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yaocs2\Desktop\design\数据准备\"/>
    </mc:Choice>
  </mc:AlternateContent>
  <xr:revisionPtr revIDLastSave="0" documentId="8_{D560512C-1A04-466B-93BF-F614923732DC}" xr6:coauthVersionLast="47" xr6:coauthVersionMax="47" xr10:uidLastSave="{00000000-0000-0000-0000-000000000000}"/>
  <bookViews>
    <workbookView xWindow="-110" yWindow="-110" windowWidth="19420" windowHeight="10420"/>
  </bookViews>
  <sheets>
    <sheet name="筛选器_大陆_20220502_012948" sheetId="1" r:id="rId1"/>
  </sheets>
  <calcPr calcId="0"/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</calcChain>
</file>

<file path=xl/sharedStrings.xml><?xml version="1.0" encoding="utf-8"?>
<sst xmlns="http://schemas.openxmlformats.org/spreadsheetml/2006/main" count="19512" uniqueCount="10264">
  <si>
    <t>交易所</t>
  </si>
  <si>
    <t>代码</t>
  </si>
  <si>
    <t>公司</t>
  </si>
  <si>
    <t>行业</t>
  </si>
  <si>
    <t>归属于母公司普通股股东权益合计 当期 2022-12-31 (元)</t>
  </si>
  <si>
    <t>归属于母公司普通股股东权益合计 当期 2021-12-31 (元)</t>
  </si>
  <si>
    <t>归属于母公司普通股股东权益合计 当期 2020-12-31 (元)</t>
  </si>
  <si>
    <t>归属于母公司普通股股东权益合计 当期 2019-12-31 (元)</t>
  </si>
  <si>
    <t>归属于母公司普通股股东权益合计 当期 2018-12-31 (元)</t>
  </si>
  <si>
    <t>归属于母公司普通股股东权益合计 当期 2017-12-31 (元)</t>
  </si>
  <si>
    <t>归属于母公司普通股股东权益合计 当期 2016-12-31 (元)</t>
  </si>
  <si>
    <t>归属于母公司普通股股东权益合计 当期 2015-12-31 (元)</t>
  </si>
  <si>
    <t>归属于母公司普通股股东权益合计 当期 2014-12-31 (元)</t>
  </si>
  <si>
    <t>归属于母公司普通股股东权益合计 当期 2013-12-31 (元)</t>
  </si>
  <si>
    <t>归属于母公司普通股股东权益合计 当期 2012-12-31 (元)</t>
  </si>
  <si>
    <t>关注度</t>
  </si>
  <si>
    <t>理杏仁Url</t>
  </si>
  <si>
    <t>sh</t>
  </si>
  <si>
    <t>浦发银行</t>
  </si>
  <si>
    <t>股份制银行</t>
  </si>
  <si>
    <t>www.lixinger.com/analytics/company/sh/600000/600000/detail</t>
  </si>
  <si>
    <t>白云机场</t>
  </si>
  <si>
    <t>机场</t>
  </si>
  <si>
    <t>www.lixinger.com/analytics/company/sh/600004/600004/detail</t>
  </si>
  <si>
    <t>武钢股份</t>
  </si>
  <si>
    <t>www.lixinger.com/analytics/company/sh/600005/600005/detail</t>
  </si>
  <si>
    <t>东风汽车</t>
  </si>
  <si>
    <t>商用载货车</t>
  </si>
  <si>
    <t>www.lixinger.com/analytics/company/sh/600006/600006/detail</t>
  </si>
  <si>
    <t>中国国贸</t>
  </si>
  <si>
    <t>商业地产</t>
  </si>
  <si>
    <t>www.lixinger.com/analytics/company/sh/600007/600007/detail</t>
  </si>
  <si>
    <t>首创环保</t>
  </si>
  <si>
    <t>水务及水治理</t>
  </si>
  <si>
    <t>www.lixinger.com/analytics/company/sh/600008/600008/detail</t>
  </si>
  <si>
    <t>上海机场</t>
  </si>
  <si>
    <t>www.lixinger.com/analytics/company/sh/600009/600009/detail</t>
  </si>
  <si>
    <t>包钢股份</t>
  </si>
  <si>
    <t>板材</t>
  </si>
  <si>
    <t>www.lixinger.com/analytics/company/sh/600010/600010/detail</t>
  </si>
  <si>
    <t>华能国际</t>
  </si>
  <si>
    <t>火力发电</t>
  </si>
  <si>
    <t>www.lixinger.com/analytics/company/sh/600011/600011/detail</t>
  </si>
  <si>
    <t>皖通高速</t>
  </si>
  <si>
    <t>高速公路</t>
  </si>
  <si>
    <t>www.lixinger.com/analytics/company/sh/600012/600012/detail</t>
  </si>
  <si>
    <t>华夏银行</t>
  </si>
  <si>
    <t>www.lixinger.com/analytics/company/sh/600015/600015/detail</t>
  </si>
  <si>
    <t>民生银行</t>
  </si>
  <si>
    <t>www.lixinger.com/analytics/company/sh/600016/600016/detail</t>
  </si>
  <si>
    <t>日照港</t>
  </si>
  <si>
    <t>港口</t>
  </si>
  <si>
    <t>www.lixinger.com/analytics/company/sh/600017/600017/detail</t>
  </si>
  <si>
    <t>上港集团</t>
  </si>
  <si>
    <t>www.lixinger.com/analytics/company/sh/600018/600018/detail</t>
  </si>
  <si>
    <t>宝钢股份</t>
  </si>
  <si>
    <t>www.lixinger.com/analytics/company/sh/600019/600019/detail</t>
  </si>
  <si>
    <t>中原高速</t>
  </si>
  <si>
    <t>www.lixinger.com/analytics/company/sh/600020/600020/detail</t>
  </si>
  <si>
    <t>上海电力</t>
  </si>
  <si>
    <t>www.lixinger.com/analytics/company/sh/600021/600021/detail</t>
  </si>
  <si>
    <t>山东钢铁</t>
  </si>
  <si>
    <t>www.lixinger.com/analytics/company/sh/600022/600022/detail</t>
  </si>
  <si>
    <t>浙能电力</t>
  </si>
  <si>
    <t>www.lixinger.com/analytics/company/sh/600023/600023/detail</t>
  </si>
  <si>
    <t>华能水电</t>
  </si>
  <si>
    <t>水力发电</t>
  </si>
  <si>
    <t>www.lixinger.com/analytics/company/sh/600025/600025/detail</t>
  </si>
  <si>
    <t>中远海能</t>
  </si>
  <si>
    <t>航运</t>
  </si>
  <si>
    <t>www.lixinger.com/analytics/company/sh/600026/600026/detail</t>
  </si>
  <si>
    <t>华电国际</t>
  </si>
  <si>
    <t>www.lixinger.com/analytics/company/sh/600027/600027/detail</t>
  </si>
  <si>
    <t>中国石化</t>
  </si>
  <si>
    <t>炼油化工</t>
  </si>
  <si>
    <t>www.lixinger.com/analytics/company/sh/600028/600028/detail</t>
  </si>
  <si>
    <t>南方航空</t>
  </si>
  <si>
    <t>航空运输</t>
  </si>
  <si>
    <t>www.lixinger.com/analytics/company/sh/600029/600029/detail</t>
  </si>
  <si>
    <t>中信证券</t>
  </si>
  <si>
    <t>证券</t>
  </si>
  <si>
    <t>www.lixinger.com/analytics/company/sh/600030/600030/detail</t>
  </si>
  <si>
    <t>三一重工</t>
  </si>
  <si>
    <t>工程机械整机</t>
  </si>
  <si>
    <t>www.lixinger.com/analytics/company/sh/600031/600031/detail</t>
  </si>
  <si>
    <t>浙江新能</t>
  </si>
  <si>
    <t>光伏发电</t>
  </si>
  <si>
    <t>www.lixinger.com/analytics/company/sh/600032/600032/detail</t>
  </si>
  <si>
    <t>福建高速</t>
  </si>
  <si>
    <t>www.lixinger.com/analytics/company/sh/600033/600033/detail</t>
  </si>
  <si>
    <t>楚天高速</t>
  </si>
  <si>
    <t>www.lixinger.com/analytics/company/sh/600035/600035/detail</t>
  </si>
  <si>
    <t>招商银行</t>
  </si>
  <si>
    <t>www.lixinger.com/analytics/company/sh/600036/600036/detail</t>
  </si>
  <si>
    <t>歌华有线</t>
  </si>
  <si>
    <t>电视广播</t>
  </si>
  <si>
    <t>www.lixinger.com/analytics/company/sh/600037/600037/detail</t>
  </si>
  <si>
    <t>中直股份</t>
  </si>
  <si>
    <t>航空装备</t>
  </si>
  <si>
    <t>www.lixinger.com/analytics/company/sh/600038/600038/detail</t>
  </si>
  <si>
    <t>四川路桥</t>
  </si>
  <si>
    <t>基建市政工程</t>
  </si>
  <si>
    <t>www.lixinger.com/analytics/company/sh/600039/600039/detail</t>
  </si>
  <si>
    <t>保利发展</t>
  </si>
  <si>
    <t>住宅开发</t>
  </si>
  <si>
    <t>www.lixinger.com/analytics/company/sh/600048/600048/detail</t>
  </si>
  <si>
    <t>中国联通</t>
  </si>
  <si>
    <t>电信运营商</t>
  </si>
  <si>
    <t>www.lixinger.com/analytics/company/sh/600050/600050/detail</t>
  </si>
  <si>
    <t>宁波联合</t>
  </si>
  <si>
    <t>综合</t>
  </si>
  <si>
    <t>www.lixinger.com/analytics/company/sh/600051/600051/detail</t>
  </si>
  <si>
    <t>东望时代</t>
  </si>
  <si>
    <t>影视动漫制作</t>
  </si>
  <si>
    <t>www.lixinger.com/analytics/company/sh/600052/600052/detail</t>
  </si>
  <si>
    <t>九鼎投资</t>
  </si>
  <si>
    <t>资产管理</t>
  </si>
  <si>
    <t>www.lixinger.com/analytics/company/sh/600053/600053/detail</t>
  </si>
  <si>
    <t>黄山旅游</t>
  </si>
  <si>
    <t>自然景区</t>
  </si>
  <si>
    <t>www.lixinger.com/analytics/company/sh/600054/600054/detail</t>
  </si>
  <si>
    <t>万东医疗</t>
  </si>
  <si>
    <t>医疗设备</t>
  </si>
  <si>
    <t>www.lixinger.com/analytics/company/sh/600055/600055/detail</t>
  </si>
  <si>
    <t>中国医药</t>
  </si>
  <si>
    <t>医药流通</t>
  </si>
  <si>
    <t>www.lixinger.com/analytics/company/sh/600056/600056/detail</t>
  </si>
  <si>
    <t>厦门象屿</t>
  </si>
  <si>
    <t>原材料供应链服务</t>
  </si>
  <si>
    <t>www.lixinger.com/analytics/company/sh/600057/600057/detail</t>
  </si>
  <si>
    <t>五矿发展</t>
  </si>
  <si>
    <t>贸易</t>
  </si>
  <si>
    <t>www.lixinger.com/analytics/company/sh/600058/600058/detail</t>
  </si>
  <si>
    <t>古越龙山</t>
  </si>
  <si>
    <t>其他酒类</t>
  </si>
  <si>
    <t>www.lixinger.com/analytics/company/sh/600059/600059/detail</t>
  </si>
  <si>
    <t>海信视像</t>
  </si>
  <si>
    <t>彩电</t>
  </si>
  <si>
    <t>www.lixinger.com/analytics/company/sh/600060/600060/detail</t>
  </si>
  <si>
    <t>国投资本</t>
  </si>
  <si>
    <t>金融控股</t>
  </si>
  <si>
    <t>www.lixinger.com/analytics/company/sh/600061/600061/detail</t>
  </si>
  <si>
    <t>华润双鹤</t>
  </si>
  <si>
    <t>化学制剂</t>
  </si>
  <si>
    <t>www.lixinger.com/analytics/company/sh/600062/600062/detail</t>
  </si>
  <si>
    <t>皖维高新</t>
  </si>
  <si>
    <t>其他化学纤维</t>
  </si>
  <si>
    <t>www.lixinger.com/analytics/company/sh/600063/600063/detail</t>
  </si>
  <si>
    <t>南京高科</t>
  </si>
  <si>
    <t>www.lixinger.com/analytics/company/sh/600064/600064/detail</t>
  </si>
  <si>
    <t>*ST联谊</t>
  </si>
  <si>
    <t>www.lixinger.com/analytics/company/sh/600065/600065/detail</t>
  </si>
  <si>
    <t>宇通客车</t>
  </si>
  <si>
    <t>商用载客车</t>
  </si>
  <si>
    <t>www.lixinger.com/analytics/company/sh/600066/600066/detail</t>
  </si>
  <si>
    <t>冠城大通</t>
  </si>
  <si>
    <t>www.lixinger.com/analytics/company/sh/600067/600067/detail</t>
  </si>
  <si>
    <t>葛洲坝</t>
  </si>
  <si>
    <t>www.lixinger.com/analytics/company/sh/600068/600068/detail</t>
  </si>
  <si>
    <t>退市银鸽</t>
  </si>
  <si>
    <t>www.lixinger.com/analytics/company/sh/600069/600069/detail</t>
  </si>
  <si>
    <t>浙江富润</t>
  </si>
  <si>
    <t>www.lixinger.com/analytics/company/sh/600070/600070/detail</t>
  </si>
  <si>
    <t>凤凰光学</t>
  </si>
  <si>
    <t>光学元件</t>
  </si>
  <si>
    <t>www.lixinger.com/analytics/company/sh/600071/600071/detail</t>
  </si>
  <si>
    <t>中船科技</t>
  </si>
  <si>
    <t>航海装备</t>
  </si>
  <si>
    <t>www.lixinger.com/analytics/company/sh/600072/600072/detail</t>
  </si>
  <si>
    <t>上海梅林</t>
  </si>
  <si>
    <t>肉制品</t>
  </si>
  <si>
    <t>www.lixinger.com/analytics/company/sh/600073/600073/detail</t>
  </si>
  <si>
    <t>退市保千</t>
  </si>
  <si>
    <t>www.lixinger.com/analytics/company/sh/600074/600074/detail</t>
  </si>
  <si>
    <t>新疆天业</t>
  </si>
  <si>
    <t>氯碱</t>
  </si>
  <si>
    <t>www.lixinger.com/analytics/company/sh/600075/600075/detail</t>
  </si>
  <si>
    <t>康欣新材</t>
  </si>
  <si>
    <t>瓷砖地板</t>
  </si>
  <si>
    <t>www.lixinger.com/analytics/company/sh/600076/600076/detail</t>
  </si>
  <si>
    <t>宋都股份</t>
  </si>
  <si>
    <t>www.lixinger.com/analytics/company/sh/600077/600077/detail</t>
  </si>
  <si>
    <t>*ST澄星</t>
  </si>
  <si>
    <t>磷肥及磷化工</t>
  </si>
  <si>
    <t>www.lixinger.com/analytics/company/sh/600078/600078/detail</t>
  </si>
  <si>
    <t>人福医药</t>
  </si>
  <si>
    <t>www.lixinger.com/analytics/company/sh/600079/600079/detail</t>
  </si>
  <si>
    <t>金花股份</t>
  </si>
  <si>
    <t>中药</t>
  </si>
  <si>
    <t>www.lixinger.com/analytics/company/sh/600080/600080/detail</t>
  </si>
  <si>
    <t>东风科技</t>
  </si>
  <si>
    <t>车身附件及饰件</t>
  </si>
  <si>
    <t>www.lixinger.com/analytics/company/sh/600081/600081/detail</t>
  </si>
  <si>
    <t>海泰发展</t>
  </si>
  <si>
    <t>产业地产</t>
  </si>
  <si>
    <t>www.lixinger.com/analytics/company/sh/600082/600082/detail</t>
  </si>
  <si>
    <t>*ST博信</t>
  </si>
  <si>
    <t>www.lixinger.com/analytics/company/sh/600083/600083/detail</t>
  </si>
  <si>
    <t>*ST中葡</t>
  </si>
  <si>
    <t>www.lixinger.com/analytics/company/sh/600084/600084/detail</t>
  </si>
  <si>
    <t>同仁堂</t>
  </si>
  <si>
    <t>www.lixinger.com/analytics/company/sh/600085/600085/detail</t>
  </si>
  <si>
    <t>退市金钰</t>
  </si>
  <si>
    <t>www.lixinger.com/analytics/company/sh/600086/600086/detail</t>
  </si>
  <si>
    <t>退市长油</t>
  </si>
  <si>
    <t>www.lixinger.com/analytics/company/sh/600087/600087/detail</t>
  </si>
  <si>
    <t>中视传媒</t>
  </si>
  <si>
    <t>营销代理</t>
  </si>
  <si>
    <t>www.lixinger.com/analytics/company/sh/600088/600088/detail</t>
  </si>
  <si>
    <t>特变电工</t>
  </si>
  <si>
    <t>输变电设备</t>
  </si>
  <si>
    <t>www.lixinger.com/analytics/company/sh/600089/600089/detail</t>
  </si>
  <si>
    <t>*ST济堂</t>
  </si>
  <si>
    <t>www.lixinger.com/analytics/company/sh/600090/600090/detail</t>
  </si>
  <si>
    <t>*ST明科</t>
  </si>
  <si>
    <t>www.lixinger.com/analytics/company/sh/600091/600091/detail</t>
  </si>
  <si>
    <t>S*ST精密</t>
  </si>
  <si>
    <t>www.lixinger.com/analytics/company/sh/600092/600092/detail</t>
  </si>
  <si>
    <t>*ST易见</t>
  </si>
  <si>
    <t>其他多元金融</t>
  </si>
  <si>
    <t>www.lixinger.com/analytics/company/sh/600093/600093/detail</t>
  </si>
  <si>
    <t>大名城</t>
  </si>
  <si>
    <t>www.lixinger.com/analytics/company/sh/600094/600094/detail</t>
  </si>
  <si>
    <t>湘财股份</t>
  </si>
  <si>
    <t>www.lixinger.com/analytics/company/sh/600095/600095/detail</t>
  </si>
  <si>
    <t>云天化</t>
  </si>
  <si>
    <t>www.lixinger.com/analytics/company/sh/600096/600096/detail</t>
  </si>
  <si>
    <t>开创国际</t>
  </si>
  <si>
    <t>海洋捕捞</t>
  </si>
  <si>
    <t>www.lixinger.com/analytics/company/sh/600097/600097/detail</t>
  </si>
  <si>
    <t>广州发展</t>
  </si>
  <si>
    <t>www.lixinger.com/analytics/company/sh/600098/600098/detail</t>
  </si>
  <si>
    <t>林海股份</t>
  </si>
  <si>
    <t>其他运输设备</t>
  </si>
  <si>
    <t>www.lixinger.com/analytics/company/sh/600099/600099/detail</t>
  </si>
  <si>
    <t>同方股份</t>
  </si>
  <si>
    <t>其他计算机设备</t>
  </si>
  <si>
    <t>www.lixinger.com/analytics/company/sh/600100/600100/detail</t>
  </si>
  <si>
    <t>明星电力</t>
  </si>
  <si>
    <t>电能综合服务</t>
  </si>
  <si>
    <t>www.lixinger.com/analytics/company/sh/600101/600101/detail</t>
  </si>
  <si>
    <t>莱钢股份</t>
  </si>
  <si>
    <t>www.lixinger.com/analytics/company/sh/600102/600102/detail</t>
  </si>
  <si>
    <t>青山纸业</t>
  </si>
  <si>
    <t>特种纸</t>
  </si>
  <si>
    <t>www.lixinger.com/analytics/company/sh/600103/600103/detail</t>
  </si>
  <si>
    <t>上汽集团</t>
  </si>
  <si>
    <t>综合乘用车</t>
  </si>
  <si>
    <t>www.lixinger.com/analytics/company/sh/600104/600104/detail</t>
  </si>
  <si>
    <t>永鼎股份</t>
  </si>
  <si>
    <t>通信线缆及配套</t>
  </si>
  <si>
    <t>www.lixinger.com/analytics/company/sh/600105/600105/detail</t>
  </si>
  <si>
    <t>重庆路桥</t>
  </si>
  <si>
    <t>www.lixinger.com/analytics/company/sh/600106/600106/detail</t>
  </si>
  <si>
    <t>美尔雅</t>
  </si>
  <si>
    <t>非运动服装</t>
  </si>
  <si>
    <t>www.lixinger.com/analytics/company/sh/600107/600107/detail</t>
  </si>
  <si>
    <t>亚盛集团</t>
  </si>
  <si>
    <t>其他种植业</t>
  </si>
  <si>
    <t>www.lixinger.com/analytics/company/sh/600108/600108/detail</t>
  </si>
  <si>
    <t>国金证券</t>
  </si>
  <si>
    <t>www.lixinger.com/analytics/company/sh/600109/600109/detail</t>
  </si>
  <si>
    <t>诺德股份</t>
  </si>
  <si>
    <t>铜</t>
  </si>
  <si>
    <t>www.lixinger.com/analytics/company/sh/600110/600110/detail</t>
  </si>
  <si>
    <t>北方稀土</t>
  </si>
  <si>
    <t>稀土</t>
  </si>
  <si>
    <t>www.lixinger.com/analytics/company/sh/600111/600111/detail</t>
  </si>
  <si>
    <t>*ST天成</t>
  </si>
  <si>
    <t>www.lixinger.com/analytics/company/sh/600112/600112/detail</t>
  </si>
  <si>
    <t>浙江东日</t>
  </si>
  <si>
    <t>商业物业经营</t>
  </si>
  <si>
    <t>www.lixinger.com/analytics/company/sh/600113/600113/detail</t>
  </si>
  <si>
    <t>东睦股份</t>
  </si>
  <si>
    <t>金属制品</t>
  </si>
  <si>
    <t>www.lixinger.com/analytics/company/sh/600114/600114/detail</t>
  </si>
  <si>
    <t>中国东航</t>
  </si>
  <si>
    <t>www.lixinger.com/analytics/company/sh/600115/600115/detail</t>
  </si>
  <si>
    <t>三峡水利</t>
  </si>
  <si>
    <t>www.lixinger.com/analytics/company/sh/600116/600116/detail</t>
  </si>
  <si>
    <t>西宁特钢</t>
  </si>
  <si>
    <t>特钢</t>
  </si>
  <si>
    <t>www.lixinger.com/analytics/company/sh/600117/600117/detail</t>
  </si>
  <si>
    <t>中国卫星</t>
  </si>
  <si>
    <t>航天装备</t>
  </si>
  <si>
    <t>www.lixinger.com/analytics/company/sh/600118/600118/detail</t>
  </si>
  <si>
    <t>长江投资</t>
  </si>
  <si>
    <t>跨境物流</t>
  </si>
  <si>
    <t>www.lixinger.com/analytics/company/sh/600119/600119/detail</t>
  </si>
  <si>
    <t>浙江东方</t>
  </si>
  <si>
    <t>www.lixinger.com/analytics/company/sh/600120/600120/detail</t>
  </si>
  <si>
    <t>郑州煤电</t>
  </si>
  <si>
    <t>动力煤</t>
  </si>
  <si>
    <t>www.lixinger.com/analytics/company/sh/600121/600121/detail</t>
  </si>
  <si>
    <t>ST宏图</t>
  </si>
  <si>
    <t>专业连锁</t>
  </si>
  <si>
    <t>www.lixinger.com/analytics/company/sh/600122/600122/detail</t>
  </si>
  <si>
    <t>兰花科创</t>
  </si>
  <si>
    <t>焦煤</t>
  </si>
  <si>
    <t>www.lixinger.com/analytics/company/sh/600123/600123/detail</t>
  </si>
  <si>
    <t>铁龙物流</t>
  </si>
  <si>
    <t>铁路运输</t>
  </si>
  <si>
    <t>www.lixinger.com/analytics/company/sh/600125/600125/detail</t>
  </si>
  <si>
    <t>杭钢股份</t>
  </si>
  <si>
    <t>www.lixinger.com/analytics/company/sh/600126/600126/detail</t>
  </si>
  <si>
    <t>金健米业</t>
  </si>
  <si>
    <t>粮油加工</t>
  </si>
  <si>
    <t>www.lixinger.com/analytics/company/sh/600127/600127/detail</t>
  </si>
  <si>
    <t>弘业股份</t>
  </si>
  <si>
    <t>www.lixinger.com/analytics/company/sh/600128/600128/detail</t>
  </si>
  <si>
    <t>太极集团</t>
  </si>
  <si>
    <t>www.lixinger.com/analytics/company/sh/600129/600129/detail</t>
  </si>
  <si>
    <t>波导股份</t>
  </si>
  <si>
    <t>消费电子零部件及组装</t>
  </si>
  <si>
    <t>www.lixinger.com/analytics/company/sh/600130/600130/detail</t>
  </si>
  <si>
    <t>国网信通</t>
  </si>
  <si>
    <t>IT服务</t>
  </si>
  <si>
    <t>www.lixinger.com/analytics/company/sh/600131/600131/detail</t>
  </si>
  <si>
    <t>重庆啤酒</t>
  </si>
  <si>
    <t>啤酒</t>
  </si>
  <si>
    <t>www.lixinger.com/analytics/company/sh/600132/600132/detail</t>
  </si>
  <si>
    <t>东湖高新</t>
  </si>
  <si>
    <t>www.lixinger.com/analytics/company/sh/600133/600133/detail</t>
  </si>
  <si>
    <t>乐凯胶片</t>
  </si>
  <si>
    <t>膜材料</t>
  </si>
  <si>
    <t>www.lixinger.com/analytics/company/sh/600135/600135/detail</t>
  </si>
  <si>
    <t>当代文体</t>
  </si>
  <si>
    <t>体育</t>
  </si>
  <si>
    <t>www.lixinger.com/analytics/company/sh/600136/600136/detail</t>
  </si>
  <si>
    <t>浪莎股份</t>
  </si>
  <si>
    <t>鞋帽及其他</t>
  </si>
  <si>
    <t>www.lixinger.com/analytics/company/sh/600137/600137/detail</t>
  </si>
  <si>
    <t>中青旅</t>
  </si>
  <si>
    <t>人工景区</t>
  </si>
  <si>
    <t>www.lixinger.com/analytics/company/sh/600138/600138/detail</t>
  </si>
  <si>
    <t>ST西源</t>
  </si>
  <si>
    <t>租赁</t>
  </si>
  <si>
    <t>www.lixinger.com/analytics/company/sh/600139/600139/detail</t>
  </si>
  <si>
    <t>兴发集团</t>
  </si>
  <si>
    <t>www.lixinger.com/analytics/company/sh/600141/600141/detail</t>
  </si>
  <si>
    <t>金发科技</t>
  </si>
  <si>
    <t>改性塑料</t>
  </si>
  <si>
    <t>www.lixinger.com/analytics/company/sh/600143/600143/detail</t>
  </si>
  <si>
    <t>退市新亿</t>
  </si>
  <si>
    <t>www.lixinger.com/analytics/company/sh/600145/600145/detail</t>
  </si>
  <si>
    <t>*ST环球</t>
  </si>
  <si>
    <t>www.lixinger.com/analytics/company/sh/600146/600146/detail</t>
  </si>
  <si>
    <t>长春一东</t>
  </si>
  <si>
    <t>底盘与发动机系统</t>
  </si>
  <si>
    <t>www.lixinger.com/analytics/company/sh/600148/600148/detail</t>
  </si>
  <si>
    <t>廊坊发展</t>
  </si>
  <si>
    <t>热力服务</t>
  </si>
  <si>
    <t>www.lixinger.com/analytics/company/sh/600149/600149/detail</t>
  </si>
  <si>
    <t>中国船舶</t>
  </si>
  <si>
    <t>www.lixinger.com/analytics/company/sh/600150/600150/detail</t>
  </si>
  <si>
    <t>航天机电</t>
  </si>
  <si>
    <t>光伏电池组件</t>
  </si>
  <si>
    <t>www.lixinger.com/analytics/company/sh/600151/600151/detail</t>
  </si>
  <si>
    <t>维科技术</t>
  </si>
  <si>
    <t>锂电池</t>
  </si>
  <si>
    <t>www.lixinger.com/analytics/company/sh/600152/600152/detail</t>
  </si>
  <si>
    <t>建发股份</t>
  </si>
  <si>
    <t>www.lixinger.com/analytics/company/sh/600153/600153/detail</t>
  </si>
  <si>
    <t>华创阳安</t>
  </si>
  <si>
    <t>www.lixinger.com/analytics/company/sh/600155/600155/detail</t>
  </si>
  <si>
    <t>华升股份</t>
  </si>
  <si>
    <t>其他纺织</t>
  </si>
  <si>
    <t>www.lixinger.com/analytics/company/sh/600156/600156/detail</t>
  </si>
  <si>
    <t>永泰能源</t>
  </si>
  <si>
    <t>www.lixinger.com/analytics/company/sh/600157/600157/detail</t>
  </si>
  <si>
    <t>中体产业</t>
  </si>
  <si>
    <t>www.lixinger.com/analytics/company/sh/600158/600158/detail</t>
  </si>
  <si>
    <t>大龙地产</t>
  </si>
  <si>
    <t>www.lixinger.com/analytics/company/sh/600159/600159/detail</t>
  </si>
  <si>
    <t>巨化股份</t>
  </si>
  <si>
    <t>氟化工</t>
  </si>
  <si>
    <t>www.lixinger.com/analytics/company/sh/600160/600160/detail</t>
  </si>
  <si>
    <t>天坛生物</t>
  </si>
  <si>
    <t>血液制品</t>
  </si>
  <si>
    <t>www.lixinger.com/analytics/company/sh/600161/600161/detail</t>
  </si>
  <si>
    <t>香江控股</t>
  </si>
  <si>
    <t>www.lixinger.com/analytics/company/sh/600162/600162/detail</t>
  </si>
  <si>
    <t>中闽能源</t>
  </si>
  <si>
    <t>风力发电</t>
  </si>
  <si>
    <t>www.lixinger.com/analytics/company/sh/600163/600163/detail</t>
  </si>
  <si>
    <t>新日恒力</t>
  </si>
  <si>
    <t>其他化学制品</t>
  </si>
  <si>
    <t>www.lixinger.com/analytics/company/sh/600165/600165/detail</t>
  </si>
  <si>
    <t>福田汽车</t>
  </si>
  <si>
    <t>www.lixinger.com/analytics/company/sh/600166/600166/detail</t>
  </si>
  <si>
    <t>联美控股</t>
  </si>
  <si>
    <t>www.lixinger.com/analytics/company/sh/600167/600167/detail</t>
  </si>
  <si>
    <t>武汉控股</t>
  </si>
  <si>
    <t>www.lixinger.com/analytics/company/sh/600168/600168/detail</t>
  </si>
  <si>
    <t>太原重工</t>
  </si>
  <si>
    <t>能源及重型设备</t>
  </si>
  <si>
    <t>www.lixinger.com/analytics/company/sh/600169/600169/detail</t>
  </si>
  <si>
    <t>上海建工</t>
  </si>
  <si>
    <t>房屋建设</t>
  </si>
  <si>
    <t>www.lixinger.com/analytics/company/sh/600170/600170/detail</t>
  </si>
  <si>
    <t>上海贝岭</t>
  </si>
  <si>
    <t>模拟芯片设计</t>
  </si>
  <si>
    <t>www.lixinger.com/analytics/company/sh/600171/600171/detail</t>
  </si>
  <si>
    <t>黄河旋风</t>
  </si>
  <si>
    <t>磨具磨料</t>
  </si>
  <si>
    <t>www.lixinger.com/analytics/company/sh/600172/600172/detail</t>
  </si>
  <si>
    <t>卧龙地产</t>
  </si>
  <si>
    <t>www.lixinger.com/analytics/company/sh/600173/600173/detail</t>
  </si>
  <si>
    <t>退市美都</t>
  </si>
  <si>
    <t>www.lixinger.com/analytics/company/sh/600175/600175/detail</t>
  </si>
  <si>
    <t>中国巨石</t>
  </si>
  <si>
    <t>玻纤制造</t>
  </si>
  <si>
    <t>www.lixinger.com/analytics/company/sh/600176/600176/detail</t>
  </si>
  <si>
    <t>雅戈尔</t>
  </si>
  <si>
    <t>www.lixinger.com/analytics/company/sh/600177/600177/detail</t>
  </si>
  <si>
    <t>东安动力</t>
  </si>
  <si>
    <t>www.lixinger.com/analytics/company/sh/600178/600178/detail</t>
  </si>
  <si>
    <t>安通控股</t>
  </si>
  <si>
    <t>www.lixinger.com/analytics/company/sh/600179/600179/detail</t>
  </si>
  <si>
    <t>瑞茂通</t>
  </si>
  <si>
    <t>www.lixinger.com/analytics/company/sh/600180/600180/detail</t>
  </si>
  <si>
    <t>SST佳通</t>
  </si>
  <si>
    <t>轮胎轮毂</t>
  </si>
  <si>
    <t>www.lixinger.com/analytics/company/sh/600182/600182/detail</t>
  </si>
  <si>
    <t>生益科技</t>
  </si>
  <si>
    <t>印制电路板</t>
  </si>
  <si>
    <t>www.lixinger.com/analytics/company/sh/600183/600183/detail</t>
  </si>
  <si>
    <t>光电股份</t>
  </si>
  <si>
    <t>地面兵装</t>
  </si>
  <si>
    <t>www.lixinger.com/analytics/company/sh/600184/600184/detail</t>
  </si>
  <si>
    <t>格力地产</t>
  </si>
  <si>
    <t>www.lixinger.com/analytics/company/sh/600185/600185/detail</t>
  </si>
  <si>
    <t>莲花健康</t>
  </si>
  <si>
    <t>调味发酵品</t>
  </si>
  <si>
    <t>www.lixinger.com/analytics/company/sh/600186/600186/detail</t>
  </si>
  <si>
    <t>国中水务</t>
  </si>
  <si>
    <t>www.lixinger.com/analytics/company/sh/600187/600187/detail</t>
  </si>
  <si>
    <t>兖矿能源</t>
  </si>
  <si>
    <t>www.lixinger.com/analytics/company/sh/600188/600188/detail</t>
  </si>
  <si>
    <t>泉阳泉</t>
  </si>
  <si>
    <t>软饮料</t>
  </si>
  <si>
    <t>www.lixinger.com/analytics/company/sh/600189/600189/detail</t>
  </si>
  <si>
    <t>锦州港</t>
  </si>
  <si>
    <t>www.lixinger.com/analytics/company/sh/600190/600190/detail</t>
  </si>
  <si>
    <t>*ST华资</t>
  </si>
  <si>
    <t>其他农产品加工</t>
  </si>
  <si>
    <t>www.lixinger.com/analytics/company/sh/600191/600191/detail</t>
  </si>
  <si>
    <t>长城电工</t>
  </si>
  <si>
    <t>www.lixinger.com/analytics/company/sh/600192/600192/detail</t>
  </si>
  <si>
    <t>创兴资源</t>
  </si>
  <si>
    <t>装修装饰</t>
  </si>
  <si>
    <t>www.lixinger.com/analytics/company/sh/600193/600193/detail</t>
  </si>
  <si>
    <t>中牧股份</t>
  </si>
  <si>
    <t>动物保健</t>
  </si>
  <si>
    <t>www.lixinger.com/analytics/company/sh/600195/600195/detail</t>
  </si>
  <si>
    <t>复星医药</t>
  </si>
  <si>
    <t>www.lixinger.com/analytics/company/sh/600196/600196/detail</t>
  </si>
  <si>
    <t>伊力特</t>
  </si>
  <si>
    <t>白酒</t>
  </si>
  <si>
    <t>www.lixinger.com/analytics/company/sh/600197/600197/detail</t>
  </si>
  <si>
    <t>大唐电信</t>
  </si>
  <si>
    <t>数字芯片设计</t>
  </si>
  <si>
    <t>www.lixinger.com/analytics/company/sh/600198/600198/detail</t>
  </si>
  <si>
    <t>金种子酒</t>
  </si>
  <si>
    <t>www.lixinger.com/analytics/company/sh/600199/600199/detail</t>
  </si>
  <si>
    <t>江苏吴中</t>
  </si>
  <si>
    <t>www.lixinger.com/analytics/company/sh/600200/600200/detail</t>
  </si>
  <si>
    <t>生物股份</t>
  </si>
  <si>
    <t>www.lixinger.com/analytics/company/sh/600201/600201/detail</t>
  </si>
  <si>
    <t>哈空调</t>
  </si>
  <si>
    <t>火电设备</t>
  </si>
  <si>
    <t>www.lixinger.com/analytics/company/sh/600202/600202/detail</t>
  </si>
  <si>
    <t>福日电子</t>
  </si>
  <si>
    <t>www.lixinger.com/analytics/company/sh/600203/600203/detail</t>
  </si>
  <si>
    <t>有研新材</t>
  </si>
  <si>
    <t>半导体材料</t>
  </si>
  <si>
    <t>www.lixinger.com/analytics/company/sh/600206/600206/detail</t>
  </si>
  <si>
    <t>安彩高科</t>
  </si>
  <si>
    <t>光伏辅材</t>
  </si>
  <si>
    <t>www.lixinger.com/analytics/company/sh/600207/600207/detail</t>
  </si>
  <si>
    <t>新湖中宝</t>
  </si>
  <si>
    <t>www.lixinger.com/analytics/company/sh/600208/600208/detail</t>
  </si>
  <si>
    <t>*ST罗顿</t>
  </si>
  <si>
    <t>www.lixinger.com/analytics/company/sh/600209/600209/detail</t>
  </si>
  <si>
    <t>紫江企业</t>
  </si>
  <si>
    <t>塑料包装</t>
  </si>
  <si>
    <t>www.lixinger.com/analytics/company/sh/600210/600210/detail</t>
  </si>
  <si>
    <t>西藏药业</t>
  </si>
  <si>
    <t>www.lixinger.com/analytics/company/sh/600211/600211/detail</t>
  </si>
  <si>
    <t>江泉实业</t>
  </si>
  <si>
    <t>www.lixinger.com/analytics/company/sh/600212/600212/detail</t>
  </si>
  <si>
    <t>亚星客车</t>
  </si>
  <si>
    <t>www.lixinger.com/analytics/company/sh/600213/600213/detail</t>
  </si>
  <si>
    <t>派斯林</t>
  </si>
  <si>
    <t>www.lixinger.com/analytics/company/sh/600215/600215/detail</t>
  </si>
  <si>
    <t>浙江医药</t>
  </si>
  <si>
    <t>原料药</t>
  </si>
  <si>
    <t>www.lixinger.com/analytics/company/sh/600216/600216/detail</t>
  </si>
  <si>
    <t>中再资环</t>
  </si>
  <si>
    <t>固废治理</t>
  </si>
  <si>
    <t>www.lixinger.com/analytics/company/sh/600217/600217/detail</t>
  </si>
  <si>
    <t>全柴动力</t>
  </si>
  <si>
    <t>www.lixinger.com/analytics/company/sh/600218/600218/detail</t>
  </si>
  <si>
    <t>南山铝业</t>
  </si>
  <si>
    <t>铝</t>
  </si>
  <si>
    <t>www.lixinger.com/analytics/company/sh/600219/600219/detail</t>
  </si>
  <si>
    <t>江苏阳光</t>
  </si>
  <si>
    <t>www.lixinger.com/analytics/company/sh/600220/600220/detail</t>
  </si>
  <si>
    <t>*ST海航</t>
  </si>
  <si>
    <t>www.lixinger.com/analytics/company/sh/600221/600221/detail</t>
  </si>
  <si>
    <t>太龙药业</t>
  </si>
  <si>
    <t>www.lixinger.com/analytics/company/sh/600222/600222/detail</t>
  </si>
  <si>
    <t>鲁商发展</t>
  </si>
  <si>
    <t>www.lixinger.com/analytics/company/sh/600223/600223/detail</t>
  </si>
  <si>
    <t>*ST松江</t>
  </si>
  <si>
    <t>www.lixinger.com/analytics/company/sh/600225/600225/detail</t>
  </si>
  <si>
    <t>ST瀚叶</t>
  </si>
  <si>
    <t>游戏</t>
  </si>
  <si>
    <t>www.lixinger.com/analytics/company/sh/600226/600226/detail</t>
  </si>
  <si>
    <t>圣济堂</t>
  </si>
  <si>
    <t>www.lixinger.com/analytics/company/sh/600227/600227/detail</t>
  </si>
  <si>
    <t>返利科技</t>
  </si>
  <si>
    <t>门户网站</t>
  </si>
  <si>
    <t>www.lixinger.com/analytics/company/sh/600228/600228/detail</t>
  </si>
  <si>
    <t>城市传媒</t>
  </si>
  <si>
    <t>大众出版</t>
  </si>
  <si>
    <t>www.lixinger.com/analytics/company/sh/600229/600229/detail</t>
  </si>
  <si>
    <t>沧州大化</t>
  </si>
  <si>
    <t>聚氨酯</t>
  </si>
  <si>
    <t>www.lixinger.com/analytics/company/sh/600230/600230/detail</t>
  </si>
  <si>
    <t>凌钢股份</t>
  </si>
  <si>
    <t>长材</t>
  </si>
  <si>
    <t>www.lixinger.com/analytics/company/sh/600231/600231/detail</t>
  </si>
  <si>
    <t>金鹰股份</t>
  </si>
  <si>
    <t>纺织服装设备</t>
  </si>
  <si>
    <t>www.lixinger.com/analytics/company/sh/600232/600232/detail</t>
  </si>
  <si>
    <t>圆通速递</t>
  </si>
  <si>
    <t>快递</t>
  </si>
  <si>
    <t>www.lixinger.com/analytics/company/sh/600233/600233/detail</t>
  </si>
  <si>
    <t>科新发展</t>
  </si>
  <si>
    <t>www.lixinger.com/analytics/company/sh/600234/600234/detail</t>
  </si>
  <si>
    <t>民丰特纸</t>
  </si>
  <si>
    <t>www.lixinger.com/analytics/company/sh/600235/600235/detail</t>
  </si>
  <si>
    <t>桂冠电力</t>
  </si>
  <si>
    <t>www.lixinger.com/analytics/company/sh/600236/600236/detail</t>
  </si>
  <si>
    <t>铜峰电子</t>
  </si>
  <si>
    <t>被动元件</t>
  </si>
  <si>
    <t>www.lixinger.com/analytics/company/sh/600237/600237/detail</t>
  </si>
  <si>
    <t>海南椰岛</t>
  </si>
  <si>
    <t>www.lixinger.com/analytics/company/sh/600238/600238/detail</t>
  </si>
  <si>
    <t>*ST云城</t>
  </si>
  <si>
    <t>www.lixinger.com/analytics/company/sh/600239/600239/detail</t>
  </si>
  <si>
    <t>退市华业</t>
  </si>
  <si>
    <t>www.lixinger.com/analytics/company/sh/600240/600240/detail</t>
  </si>
  <si>
    <t>ST时万</t>
  </si>
  <si>
    <t>蓄电池及其他电池</t>
  </si>
  <si>
    <t>www.lixinger.com/analytics/company/sh/600241/600241/detail</t>
  </si>
  <si>
    <t>ST中昌</t>
  </si>
  <si>
    <t>www.lixinger.com/analytics/company/sh/600242/600242/detail</t>
  </si>
  <si>
    <t>青海华鼎</t>
  </si>
  <si>
    <t>其他通用设备</t>
  </si>
  <si>
    <t>www.lixinger.com/analytics/company/sh/600243/600243/detail</t>
  </si>
  <si>
    <t>万通发展</t>
  </si>
  <si>
    <t>www.lixinger.com/analytics/company/sh/600246/600246/detail</t>
  </si>
  <si>
    <t>*ST成城</t>
  </si>
  <si>
    <t>www.lixinger.com/analytics/company/sh/600247/600247/detail</t>
  </si>
  <si>
    <t>陕西建工</t>
  </si>
  <si>
    <t>www.lixinger.com/analytics/company/sh/600248/600248/detail</t>
  </si>
  <si>
    <t>两面针</t>
  </si>
  <si>
    <t>洗护用品</t>
  </si>
  <si>
    <t>www.lixinger.com/analytics/company/sh/600249/600249/detail</t>
  </si>
  <si>
    <t>南纺股份</t>
  </si>
  <si>
    <t>www.lixinger.com/analytics/company/sh/600250/600250/detail</t>
  </si>
  <si>
    <t>冠农股份</t>
  </si>
  <si>
    <t>果蔬加工</t>
  </si>
  <si>
    <t>www.lixinger.com/analytics/company/sh/600251/600251/detail</t>
  </si>
  <si>
    <t>中恒集团</t>
  </si>
  <si>
    <t>www.lixinger.com/analytics/company/sh/600252/600252/detail</t>
  </si>
  <si>
    <t>天方药业</t>
  </si>
  <si>
    <t>www.lixinger.com/analytics/company/sh/600253/600253/detail</t>
  </si>
  <si>
    <t>鑫科材料</t>
  </si>
  <si>
    <t>其他金属新材料</t>
  </si>
  <si>
    <t>www.lixinger.com/analytics/company/sh/600255/600255/detail</t>
  </si>
  <si>
    <t>广汇能源</t>
  </si>
  <si>
    <t>油品石化贸易</t>
  </si>
  <si>
    <t>www.lixinger.com/analytics/company/sh/600256/600256/detail</t>
  </si>
  <si>
    <t>大湖股份</t>
  </si>
  <si>
    <t>水产养殖</t>
  </si>
  <si>
    <t>www.lixinger.com/analytics/company/sh/600257/600257/detail</t>
  </si>
  <si>
    <t>首旅酒店</t>
  </si>
  <si>
    <t>酒店</t>
  </si>
  <si>
    <t>www.lixinger.com/analytics/company/sh/600258/600258/detail</t>
  </si>
  <si>
    <t>广晟有色</t>
  </si>
  <si>
    <t>www.lixinger.com/analytics/company/sh/600259/600259/detail</t>
  </si>
  <si>
    <t>ST凯乐</t>
  </si>
  <si>
    <t>其他通信设备</t>
  </si>
  <si>
    <t>www.lixinger.com/analytics/company/sh/600260/600260/detail</t>
  </si>
  <si>
    <t>阳光照明</t>
  </si>
  <si>
    <t>照明设备</t>
  </si>
  <si>
    <t>www.lixinger.com/analytics/company/sh/600261/600261/detail</t>
  </si>
  <si>
    <t>北方股份</t>
  </si>
  <si>
    <t>www.lixinger.com/analytics/company/sh/600262/600262/detail</t>
  </si>
  <si>
    <t>*ST景谷</t>
  </si>
  <si>
    <t>林业</t>
  </si>
  <si>
    <t>www.lixinger.com/analytics/company/sh/600265/600265/detail</t>
  </si>
  <si>
    <t>城建发展</t>
  </si>
  <si>
    <t>www.lixinger.com/analytics/company/sh/600266/600266/detail</t>
  </si>
  <si>
    <t>海正药业</t>
  </si>
  <si>
    <t>www.lixinger.com/analytics/company/sh/600267/600267/detail</t>
  </si>
  <si>
    <t>国电南自</t>
  </si>
  <si>
    <t>电网自动化设备</t>
  </si>
  <si>
    <t>www.lixinger.com/analytics/company/sh/600268/600268/detail</t>
  </si>
  <si>
    <t>赣粤高速</t>
  </si>
  <si>
    <t>www.lixinger.com/analytics/company/sh/600269/600269/detail</t>
  </si>
  <si>
    <t>外运发展</t>
  </si>
  <si>
    <t>www.lixinger.com/analytics/company/sh/600270/600270/detail</t>
  </si>
  <si>
    <t>航天信息</t>
  </si>
  <si>
    <t>www.lixinger.com/analytics/company/sh/600271/600271/detail</t>
  </si>
  <si>
    <t>开开实业</t>
  </si>
  <si>
    <t>www.lixinger.com/analytics/company/sh/600272/600272/detail</t>
  </si>
  <si>
    <t>嘉化能源</t>
  </si>
  <si>
    <t>www.lixinger.com/analytics/company/sh/600273/600273/detail</t>
  </si>
  <si>
    <t>*ST昌鱼</t>
  </si>
  <si>
    <t>www.lixinger.com/analytics/company/sh/600275/600275/detail</t>
  </si>
  <si>
    <t>恒瑞医药</t>
  </si>
  <si>
    <t>www.lixinger.com/analytics/company/sh/600276/600276/detail</t>
  </si>
  <si>
    <t>亿利洁能</t>
  </si>
  <si>
    <t>www.lixinger.com/analytics/company/sh/600277/600277/detail</t>
  </si>
  <si>
    <t>东方创业</t>
  </si>
  <si>
    <t>www.lixinger.com/analytics/company/sh/600278/600278/detail</t>
  </si>
  <si>
    <t>重庆港</t>
  </si>
  <si>
    <t>www.lixinger.com/analytics/company/sh/600279/600279/detail</t>
  </si>
  <si>
    <t>中央商场</t>
  </si>
  <si>
    <t>百货</t>
  </si>
  <si>
    <t>www.lixinger.com/analytics/company/sh/600280/600280/detail</t>
  </si>
  <si>
    <t>华阳新材</t>
  </si>
  <si>
    <t>其他小金属</t>
  </si>
  <si>
    <t>www.lixinger.com/analytics/company/sh/600281/600281/detail</t>
  </si>
  <si>
    <t>南钢股份</t>
  </si>
  <si>
    <t>www.lixinger.com/analytics/company/sh/600282/600282/detail</t>
  </si>
  <si>
    <t>钱江水利</t>
  </si>
  <si>
    <t>www.lixinger.com/analytics/company/sh/600283/600283/detail</t>
  </si>
  <si>
    <t>浦东建设</t>
  </si>
  <si>
    <t>www.lixinger.com/analytics/company/sh/600284/600284/detail</t>
  </si>
  <si>
    <t>羚锐制药</t>
  </si>
  <si>
    <t>www.lixinger.com/analytics/company/sh/600285/600285/detail</t>
  </si>
  <si>
    <t>S*ST国瓷</t>
  </si>
  <si>
    <t>www.lixinger.com/analytics/company/sh/600286/600286/detail</t>
  </si>
  <si>
    <t>江苏舜天</t>
  </si>
  <si>
    <t>www.lixinger.com/analytics/company/sh/600287/600287/detail</t>
  </si>
  <si>
    <t>大恒科技</t>
  </si>
  <si>
    <t>其他电子</t>
  </si>
  <si>
    <t>www.lixinger.com/analytics/company/sh/600288/600288/detail</t>
  </si>
  <si>
    <t>ST信通</t>
  </si>
  <si>
    <t>通信工程及服务</t>
  </si>
  <si>
    <t>www.lixinger.com/analytics/company/sh/600289/600289/detail</t>
  </si>
  <si>
    <t>ST华仪</t>
  </si>
  <si>
    <t>配电设备</t>
  </si>
  <si>
    <t>www.lixinger.com/analytics/company/sh/600290/600290/detail</t>
  </si>
  <si>
    <t>*ST西水</t>
  </si>
  <si>
    <t>保险</t>
  </si>
  <si>
    <t>www.lixinger.com/analytics/company/sh/600291/600291/detail</t>
  </si>
  <si>
    <t>远达环保</t>
  </si>
  <si>
    <t>大气治理</t>
  </si>
  <si>
    <t>www.lixinger.com/analytics/company/sh/600292/600292/detail</t>
  </si>
  <si>
    <t>三峡新材</t>
  </si>
  <si>
    <t>玻璃制造</t>
  </si>
  <si>
    <t>www.lixinger.com/analytics/company/sh/600293/600293/detail</t>
  </si>
  <si>
    <t>鄂尔多斯</t>
  </si>
  <si>
    <t>冶钢辅料</t>
  </si>
  <si>
    <t>www.lixinger.com/analytics/company/sh/600295/600295/detail</t>
  </si>
  <si>
    <t>广汇汽车</t>
  </si>
  <si>
    <t>汽车经销商</t>
  </si>
  <si>
    <t>www.lixinger.com/analytics/company/sh/600297/600297/detail</t>
  </si>
  <si>
    <t>安琪酵母</t>
  </si>
  <si>
    <t>www.lixinger.com/analytics/company/sh/600298/600298/detail</t>
  </si>
  <si>
    <t>安迪苏</t>
  </si>
  <si>
    <t>食品及饲料添加剂</t>
  </si>
  <si>
    <t>www.lixinger.com/analytics/company/sh/600299/600299/detail</t>
  </si>
  <si>
    <t>维维股份</t>
  </si>
  <si>
    <t>www.lixinger.com/analytics/company/sh/600300/600300/detail</t>
  </si>
  <si>
    <t>*ST南化</t>
  </si>
  <si>
    <t>www.lixinger.com/analytics/company/sh/600301/600301/detail</t>
  </si>
  <si>
    <t>标准股份</t>
  </si>
  <si>
    <t>www.lixinger.com/analytics/company/sh/600302/600302/detail</t>
  </si>
  <si>
    <t>曙光股份</t>
  </si>
  <si>
    <t>www.lixinger.com/analytics/company/sh/600303/600303/detail</t>
  </si>
  <si>
    <t>恒顺醋业</t>
  </si>
  <si>
    <t>www.lixinger.com/analytics/company/sh/600305/600305/detail</t>
  </si>
  <si>
    <t>ST商城</t>
  </si>
  <si>
    <t>www.lixinger.com/analytics/company/sh/600306/600306/detail</t>
  </si>
  <si>
    <t>酒钢宏兴</t>
  </si>
  <si>
    <t>www.lixinger.com/analytics/company/sh/600307/600307/detail</t>
  </si>
  <si>
    <t>华泰股份</t>
  </si>
  <si>
    <t>大宗用纸</t>
  </si>
  <si>
    <t>www.lixinger.com/analytics/company/sh/600308/600308/detail</t>
  </si>
  <si>
    <t>万华化学</t>
  </si>
  <si>
    <t>www.lixinger.com/analytics/company/sh/600309/600309/detail</t>
  </si>
  <si>
    <t>桂东电力</t>
  </si>
  <si>
    <t>www.lixinger.com/analytics/company/sh/600310/600310/detail</t>
  </si>
  <si>
    <t>ST荣华</t>
  </si>
  <si>
    <t>黄金</t>
  </si>
  <si>
    <t>www.lixinger.com/analytics/company/sh/600311/600311/detail</t>
  </si>
  <si>
    <t>平高电气</t>
  </si>
  <si>
    <t>www.lixinger.com/analytics/company/sh/600312/600312/detail</t>
  </si>
  <si>
    <t>农发种业</t>
  </si>
  <si>
    <t>种子</t>
  </si>
  <si>
    <t>www.lixinger.com/analytics/company/sh/600313/600313/detail</t>
  </si>
  <si>
    <t>上海家化</t>
  </si>
  <si>
    <t>品牌化妆品</t>
  </si>
  <si>
    <t>www.lixinger.com/analytics/company/sh/600315/600315/detail</t>
  </si>
  <si>
    <t>洪都航空</t>
  </si>
  <si>
    <t>www.lixinger.com/analytics/company/sh/600316/600316/detail</t>
  </si>
  <si>
    <t>营口港</t>
  </si>
  <si>
    <t>www.lixinger.com/analytics/company/sh/600317/600317/detail</t>
  </si>
  <si>
    <t>新力金融</t>
  </si>
  <si>
    <t>www.lixinger.com/analytics/company/sh/600318/600318/detail</t>
  </si>
  <si>
    <t>*ST亚星</t>
  </si>
  <si>
    <t>www.lixinger.com/analytics/company/sh/600319/600319/detail</t>
  </si>
  <si>
    <t>振华重工</t>
  </si>
  <si>
    <t>www.lixinger.com/analytics/company/sh/600320/600320/detail</t>
  </si>
  <si>
    <t>正源股份</t>
  </si>
  <si>
    <t>其他建材</t>
  </si>
  <si>
    <t>www.lixinger.com/analytics/company/sh/600321/600321/detail</t>
  </si>
  <si>
    <t>天房发展</t>
  </si>
  <si>
    <t>www.lixinger.com/analytics/company/sh/600322/600322/detail</t>
  </si>
  <si>
    <t>瀚蓝环境</t>
  </si>
  <si>
    <t>www.lixinger.com/analytics/company/sh/600323/600323/detail</t>
  </si>
  <si>
    <t>华发股份</t>
  </si>
  <si>
    <t>www.lixinger.com/analytics/company/sh/600325/600325/detail</t>
  </si>
  <si>
    <t>西藏天路</t>
  </si>
  <si>
    <t>水泥制造</t>
  </si>
  <si>
    <t>www.lixinger.com/analytics/company/sh/600326/600326/detail</t>
  </si>
  <si>
    <t>大东方</t>
  </si>
  <si>
    <t>www.lixinger.com/analytics/company/sh/600327/600327/detail</t>
  </si>
  <si>
    <t>中盐化工</t>
  </si>
  <si>
    <t>无机盐</t>
  </si>
  <si>
    <t>www.lixinger.com/analytics/company/sh/600328/600328/detail</t>
  </si>
  <si>
    <t>中新药业</t>
  </si>
  <si>
    <t>www.lixinger.com/analytics/company/sh/600329/600329/detail</t>
  </si>
  <si>
    <t>天通股份</t>
  </si>
  <si>
    <t>其他专用设备</t>
  </si>
  <si>
    <t>www.lixinger.com/analytics/company/sh/600330/600330/detail</t>
  </si>
  <si>
    <t>宏达股份</t>
  </si>
  <si>
    <t>铅锌</t>
  </si>
  <si>
    <t>www.lixinger.com/analytics/company/sh/600331/600331/detail</t>
  </si>
  <si>
    <t>白云山</t>
  </si>
  <si>
    <t>www.lixinger.com/analytics/company/sh/600332/600332/detail</t>
  </si>
  <si>
    <t>长春燃气</t>
  </si>
  <si>
    <t>燃气</t>
  </si>
  <si>
    <t>www.lixinger.com/analytics/company/sh/600333/600333/detail</t>
  </si>
  <si>
    <t>国机汽车</t>
  </si>
  <si>
    <t>www.lixinger.com/analytics/company/sh/600335/600335/detail</t>
  </si>
  <si>
    <t>澳柯玛</t>
  </si>
  <si>
    <t>冰洗</t>
  </si>
  <si>
    <t>www.lixinger.com/analytics/company/sh/600336/600336/detail</t>
  </si>
  <si>
    <t>美克家居</t>
  </si>
  <si>
    <t>成品家居</t>
  </si>
  <si>
    <t>www.lixinger.com/analytics/company/sh/600337/600337/detail</t>
  </si>
  <si>
    <t>西藏珠峰</t>
  </si>
  <si>
    <t>www.lixinger.com/analytics/company/sh/600338/600338/detail</t>
  </si>
  <si>
    <t>中油工程</t>
  </si>
  <si>
    <t>油气及炼化工程</t>
  </si>
  <si>
    <t>www.lixinger.com/analytics/company/sh/600339/600339/detail</t>
  </si>
  <si>
    <t>华夏幸福</t>
  </si>
  <si>
    <t>www.lixinger.com/analytics/company/sh/600340/600340/detail</t>
  </si>
  <si>
    <t>航天动力</t>
  </si>
  <si>
    <t>www.lixinger.com/analytics/company/sh/600343/600343/detail</t>
  </si>
  <si>
    <t>长江通信</t>
  </si>
  <si>
    <t>www.lixinger.com/analytics/company/sh/600345/600345/detail</t>
  </si>
  <si>
    <t>恒力石化</t>
  </si>
  <si>
    <t>www.lixinger.com/analytics/company/sh/600346/600346/detail</t>
  </si>
  <si>
    <t>华阳股份</t>
  </si>
  <si>
    <t>www.lixinger.com/analytics/company/sh/600348/600348/detail</t>
  </si>
  <si>
    <t>山东高速</t>
  </si>
  <si>
    <t>www.lixinger.com/analytics/company/sh/600350/600350/detail</t>
  </si>
  <si>
    <t>亚宝药业</t>
  </si>
  <si>
    <t>www.lixinger.com/analytics/company/sh/600351/600351/detail</t>
  </si>
  <si>
    <t>浙江龙盛</t>
  </si>
  <si>
    <t>纺织化学制品</t>
  </si>
  <si>
    <t>www.lixinger.com/analytics/company/sh/600352/600352/detail</t>
  </si>
  <si>
    <t>旭光电子</t>
  </si>
  <si>
    <t>www.lixinger.com/analytics/company/sh/600353/600353/detail</t>
  </si>
  <si>
    <t>敦煌种业</t>
  </si>
  <si>
    <t>www.lixinger.com/analytics/company/sh/600354/600354/detail</t>
  </si>
  <si>
    <t>精伦电子</t>
  </si>
  <si>
    <t>通信终端及配件</t>
  </si>
  <si>
    <t>www.lixinger.com/analytics/company/sh/600355/600355/detail</t>
  </si>
  <si>
    <t>恒丰纸业</t>
  </si>
  <si>
    <t>www.lixinger.com/analytics/company/sh/600356/600356/detail</t>
  </si>
  <si>
    <t>国旅联合</t>
  </si>
  <si>
    <t>www.lixinger.com/analytics/company/sh/600358/600358/detail</t>
  </si>
  <si>
    <t>新农开发</t>
  </si>
  <si>
    <t>www.lixinger.com/analytics/company/sh/600359/600359/detail</t>
  </si>
  <si>
    <t>华微电子</t>
  </si>
  <si>
    <t>分立器件</t>
  </si>
  <si>
    <t>www.lixinger.com/analytics/company/sh/600360/600360/detail</t>
  </si>
  <si>
    <t>华联综超</t>
  </si>
  <si>
    <t>超市</t>
  </si>
  <si>
    <t>www.lixinger.com/analytics/company/sh/600361/600361/detail</t>
  </si>
  <si>
    <t>江西铜业</t>
  </si>
  <si>
    <t>www.lixinger.com/analytics/company/sh/600362/600362/detail</t>
  </si>
  <si>
    <t>联创光电</t>
  </si>
  <si>
    <t>LED</t>
  </si>
  <si>
    <t>www.lixinger.com/analytics/company/sh/600363/600363/detail</t>
  </si>
  <si>
    <t>ST通葡</t>
  </si>
  <si>
    <t>www.lixinger.com/analytics/company/sh/600365/600365/detail</t>
  </si>
  <si>
    <t>宁波韵升</t>
  </si>
  <si>
    <t>磁性材料</t>
  </si>
  <si>
    <t>www.lixinger.com/analytics/company/sh/600366/600366/detail</t>
  </si>
  <si>
    <t>红星发展</t>
  </si>
  <si>
    <t>www.lixinger.com/analytics/company/sh/600367/600367/detail</t>
  </si>
  <si>
    <t>五洲交通</t>
  </si>
  <si>
    <t>www.lixinger.com/analytics/company/sh/600368/600368/detail</t>
  </si>
  <si>
    <t>西南证券</t>
  </si>
  <si>
    <t>www.lixinger.com/analytics/company/sh/600369/600369/detail</t>
  </si>
  <si>
    <t>三房巷</t>
  </si>
  <si>
    <t>印染</t>
  </si>
  <si>
    <t>www.lixinger.com/analytics/company/sh/600370/600370/detail</t>
  </si>
  <si>
    <t>万向德农</t>
  </si>
  <si>
    <t>www.lixinger.com/analytics/company/sh/600371/600371/detail</t>
  </si>
  <si>
    <t>中航电子</t>
  </si>
  <si>
    <t>www.lixinger.com/analytics/company/sh/600372/600372/detail</t>
  </si>
  <si>
    <t>中文传媒</t>
  </si>
  <si>
    <t>www.lixinger.com/analytics/company/sh/600373/600373/detail</t>
  </si>
  <si>
    <t>汉马科技</t>
  </si>
  <si>
    <t>www.lixinger.com/analytics/company/sh/600375/600375/detail</t>
  </si>
  <si>
    <t>首开股份</t>
  </si>
  <si>
    <t>www.lixinger.com/analytics/company/sh/600376/600376/detail</t>
  </si>
  <si>
    <t>宁沪高速</t>
  </si>
  <si>
    <t>www.lixinger.com/analytics/company/sh/600377/600377/detail</t>
  </si>
  <si>
    <t>昊华科技</t>
  </si>
  <si>
    <t>www.lixinger.com/analytics/company/sh/600378/600378/detail</t>
  </si>
  <si>
    <t>宝光股份</t>
  </si>
  <si>
    <t>www.lixinger.com/analytics/company/sh/600379/600379/detail</t>
  </si>
  <si>
    <t>健康元</t>
  </si>
  <si>
    <t>www.lixinger.com/analytics/company/sh/600380/600380/detail</t>
  </si>
  <si>
    <t>青海春天</t>
  </si>
  <si>
    <t>保健品</t>
  </si>
  <si>
    <t>www.lixinger.com/analytics/company/sh/600381/600381/detail</t>
  </si>
  <si>
    <t>*ST广珠</t>
  </si>
  <si>
    <t>www.lixinger.com/analytics/company/sh/600382/600382/detail</t>
  </si>
  <si>
    <t>金地集团</t>
  </si>
  <si>
    <t>www.lixinger.com/analytics/company/sh/600383/600383/detail</t>
  </si>
  <si>
    <t>*ST金泰</t>
  </si>
  <si>
    <t>www.lixinger.com/analytics/company/sh/600385/600385/detail</t>
  </si>
  <si>
    <t>北巴传媒</t>
  </si>
  <si>
    <t>www.lixinger.com/analytics/company/sh/600386/600386/detail</t>
  </si>
  <si>
    <t>ST海越</t>
  </si>
  <si>
    <t>www.lixinger.com/analytics/company/sh/600387/600387/detail</t>
  </si>
  <si>
    <t>龙净环保</t>
  </si>
  <si>
    <t>www.lixinger.com/analytics/company/sh/600388/600388/detail</t>
  </si>
  <si>
    <t>江山股份</t>
  </si>
  <si>
    <t>农药</t>
  </si>
  <si>
    <t>www.lixinger.com/analytics/company/sh/600389/600389/detail</t>
  </si>
  <si>
    <t>五矿资本</t>
  </si>
  <si>
    <t>www.lixinger.com/analytics/company/sh/600390/600390/detail</t>
  </si>
  <si>
    <t>航发科技</t>
  </si>
  <si>
    <t>www.lixinger.com/analytics/company/sh/600391/600391/detail</t>
  </si>
  <si>
    <t>盛和资源</t>
  </si>
  <si>
    <t>www.lixinger.com/analytics/company/sh/600392/600392/detail</t>
  </si>
  <si>
    <t>ST粤泰</t>
  </si>
  <si>
    <t>www.lixinger.com/analytics/company/sh/600393/600393/detail</t>
  </si>
  <si>
    <t>盘江股份</t>
  </si>
  <si>
    <t>www.lixinger.com/analytics/company/sh/600395/600395/detail</t>
  </si>
  <si>
    <t>金山股份</t>
  </si>
  <si>
    <t>www.lixinger.com/analytics/company/sh/600396/600396/detail</t>
  </si>
  <si>
    <t>安源煤业</t>
  </si>
  <si>
    <t>www.lixinger.com/analytics/company/sh/600397/600397/detail</t>
  </si>
  <si>
    <t>海澜之家</t>
  </si>
  <si>
    <t>www.lixinger.com/analytics/company/sh/600398/600398/detail</t>
  </si>
  <si>
    <t>抚顺特钢</t>
  </si>
  <si>
    <t>www.lixinger.com/analytics/company/sh/600399/600399/detail</t>
  </si>
  <si>
    <t>红豆股份</t>
  </si>
  <si>
    <t>www.lixinger.com/analytics/company/sh/600400/600400/detail</t>
  </si>
  <si>
    <t>退市海润</t>
  </si>
  <si>
    <t>www.lixinger.com/analytics/company/sh/600401/600401/detail</t>
  </si>
  <si>
    <t>大有能源</t>
  </si>
  <si>
    <t>www.lixinger.com/analytics/company/sh/600403/600403/detail</t>
  </si>
  <si>
    <t>动力源</t>
  </si>
  <si>
    <t>其他电源设备</t>
  </si>
  <si>
    <t>www.lixinger.com/analytics/company/sh/600405/600405/detail</t>
  </si>
  <si>
    <t>国电南瑞</t>
  </si>
  <si>
    <t>www.lixinger.com/analytics/company/sh/600406/600406/detail</t>
  </si>
  <si>
    <t>ST安泰</t>
  </si>
  <si>
    <t>焦炭</t>
  </si>
  <si>
    <t>www.lixinger.com/analytics/company/sh/600408/600408/detail</t>
  </si>
  <si>
    <t>三友化工</t>
  </si>
  <si>
    <t>粘胶</t>
  </si>
  <si>
    <t>www.lixinger.com/analytics/company/sh/600409/600409/detail</t>
  </si>
  <si>
    <t>华胜天成</t>
  </si>
  <si>
    <t>www.lixinger.com/analytics/company/sh/600410/600410/detail</t>
  </si>
  <si>
    <t>小商品城</t>
  </si>
  <si>
    <t>www.lixinger.com/analytics/company/sh/600415/600415/detail</t>
  </si>
  <si>
    <t>湘电股份</t>
  </si>
  <si>
    <t>风电整机</t>
  </si>
  <si>
    <t>www.lixinger.com/analytics/company/sh/600416/600416/detail</t>
  </si>
  <si>
    <t>江淮汽车</t>
  </si>
  <si>
    <t>www.lixinger.com/analytics/company/sh/600418/600418/detail</t>
  </si>
  <si>
    <t>天润乳业</t>
  </si>
  <si>
    <t>乳品</t>
  </si>
  <si>
    <t>www.lixinger.com/analytics/company/sh/600419/600419/detail</t>
  </si>
  <si>
    <t>国药现代</t>
  </si>
  <si>
    <t>www.lixinger.com/analytics/company/sh/600420/600420/detail</t>
  </si>
  <si>
    <t>华嵘控股</t>
  </si>
  <si>
    <t>www.lixinger.com/analytics/company/sh/600421/600421/detail</t>
  </si>
  <si>
    <t>昆药集团</t>
  </si>
  <si>
    <t>www.lixinger.com/analytics/company/sh/600422/600422/detail</t>
  </si>
  <si>
    <t>柳化股份</t>
  </si>
  <si>
    <t>氮肥</t>
  </si>
  <si>
    <t>www.lixinger.com/analytics/company/sh/600423/600423/detail</t>
  </si>
  <si>
    <t>青松建化</t>
  </si>
  <si>
    <t>www.lixinger.com/analytics/company/sh/600425/600425/detail</t>
  </si>
  <si>
    <t>华鲁恒升</t>
  </si>
  <si>
    <t>煤化工</t>
  </si>
  <si>
    <t>www.lixinger.com/analytics/company/sh/600426/600426/detail</t>
  </si>
  <si>
    <t>中远海特</t>
  </si>
  <si>
    <t>www.lixinger.com/analytics/company/sh/600428/600428/detail</t>
  </si>
  <si>
    <t>三元股份</t>
  </si>
  <si>
    <t>www.lixinger.com/analytics/company/sh/600429/600429/detail</t>
  </si>
  <si>
    <t>退市吉恩</t>
  </si>
  <si>
    <t>www.lixinger.com/analytics/company/sh/600432/600432/detail</t>
  </si>
  <si>
    <t>冠豪高新</t>
  </si>
  <si>
    <t>www.lixinger.com/analytics/company/sh/600433/600433/detail</t>
  </si>
  <si>
    <t>北方导航</t>
  </si>
  <si>
    <t>www.lixinger.com/analytics/company/sh/600435/600435/detail</t>
  </si>
  <si>
    <t>片仔癀</t>
  </si>
  <si>
    <t>www.lixinger.com/analytics/company/sh/600436/600436/detail</t>
  </si>
  <si>
    <t>通威股份</t>
  </si>
  <si>
    <t>硅料硅片</t>
  </si>
  <si>
    <t>www.lixinger.com/analytics/company/sh/600438/600438/detail</t>
  </si>
  <si>
    <t>瑞贝卡</t>
  </si>
  <si>
    <t>其他饰品</t>
  </si>
  <si>
    <t>www.lixinger.com/analytics/company/sh/600439/600439/detail</t>
  </si>
  <si>
    <t>国机通用</t>
  </si>
  <si>
    <t>www.lixinger.com/analytics/company/sh/600444/600444/detail</t>
  </si>
  <si>
    <t>金证股份</t>
  </si>
  <si>
    <t>www.lixinger.com/analytics/company/sh/600446/600446/detail</t>
  </si>
  <si>
    <t>华纺股份</t>
  </si>
  <si>
    <t>www.lixinger.com/analytics/company/sh/600448/600448/detail</t>
  </si>
  <si>
    <t>宁夏建材</t>
  </si>
  <si>
    <t>www.lixinger.com/analytics/company/sh/600449/600449/detail</t>
  </si>
  <si>
    <t>涪陵电力</t>
  </si>
  <si>
    <t>www.lixinger.com/analytics/company/sh/600452/600452/detail</t>
  </si>
  <si>
    <t>博通股份</t>
  </si>
  <si>
    <t>垂直应用软件</t>
  </si>
  <si>
    <t>www.lixinger.com/analytics/company/sh/600455/600455/detail</t>
  </si>
  <si>
    <t>宝钛股份</t>
  </si>
  <si>
    <t>www.lixinger.com/analytics/company/sh/600456/600456/detail</t>
  </si>
  <si>
    <t>时代新材</t>
  </si>
  <si>
    <t>风电零部件</t>
  </si>
  <si>
    <t>www.lixinger.com/analytics/company/sh/600458/600458/detail</t>
  </si>
  <si>
    <t>贵研铂业</t>
  </si>
  <si>
    <t>www.lixinger.com/analytics/company/sh/600459/600459/detail</t>
  </si>
  <si>
    <t>士兰微</t>
  </si>
  <si>
    <t>www.lixinger.com/analytics/company/sh/600460/600460/detail</t>
  </si>
  <si>
    <t>洪城环境</t>
  </si>
  <si>
    <t>www.lixinger.com/analytics/company/sh/600461/600461/detail</t>
  </si>
  <si>
    <t>ST九有</t>
  </si>
  <si>
    <t>www.lixinger.com/analytics/company/sh/600462/600462/detail</t>
  </si>
  <si>
    <t>空港股份</t>
  </si>
  <si>
    <t>www.lixinger.com/analytics/company/sh/600463/600463/detail</t>
  </si>
  <si>
    <t>蓝光发展</t>
  </si>
  <si>
    <t>www.lixinger.com/analytics/company/sh/600466/600466/detail</t>
  </si>
  <si>
    <t>好当家</t>
  </si>
  <si>
    <t>www.lixinger.com/analytics/company/sh/600467/600467/detail</t>
  </si>
  <si>
    <t>百利电气</t>
  </si>
  <si>
    <t>www.lixinger.com/analytics/company/sh/600468/600468/detail</t>
  </si>
  <si>
    <t>风神股份</t>
  </si>
  <si>
    <t>www.lixinger.com/analytics/company/sh/600469/600469/detail</t>
  </si>
  <si>
    <t>六国化工</t>
  </si>
  <si>
    <t>www.lixinger.com/analytics/company/sh/600470/600470/detail</t>
  </si>
  <si>
    <t>华光环能</t>
  </si>
  <si>
    <t>综合电力设备商</t>
  </si>
  <si>
    <t>www.lixinger.com/analytics/company/sh/600475/600475/detail</t>
  </si>
  <si>
    <t>湘邮科技</t>
  </si>
  <si>
    <t>www.lixinger.com/analytics/company/sh/600476/600476/detail</t>
  </si>
  <si>
    <t>杭萧钢构</t>
  </si>
  <si>
    <t>钢结构</t>
  </si>
  <si>
    <t>www.lixinger.com/analytics/company/sh/600477/600477/detail</t>
  </si>
  <si>
    <t>科力远</t>
  </si>
  <si>
    <t>www.lixinger.com/analytics/company/sh/600478/600478/detail</t>
  </si>
  <si>
    <t>千金药业</t>
  </si>
  <si>
    <t>www.lixinger.com/analytics/company/sh/600479/600479/detail</t>
  </si>
  <si>
    <t>凌云股份</t>
  </si>
  <si>
    <t>其他汽车零部件</t>
  </si>
  <si>
    <t>www.lixinger.com/analytics/company/sh/600480/600480/detail</t>
  </si>
  <si>
    <t>双良节能</t>
  </si>
  <si>
    <t>制冷空调设备</t>
  </si>
  <si>
    <t>www.lixinger.com/analytics/company/sh/600481/600481/detail</t>
  </si>
  <si>
    <t>中国动力</t>
  </si>
  <si>
    <t>www.lixinger.com/analytics/company/sh/600482/600482/detail</t>
  </si>
  <si>
    <t>福能股份</t>
  </si>
  <si>
    <t>www.lixinger.com/analytics/company/sh/600483/600483/detail</t>
  </si>
  <si>
    <t>*ST信威</t>
  </si>
  <si>
    <t>www.lixinger.com/analytics/company/sh/600485/600485/detail</t>
  </si>
  <si>
    <t>扬农化工</t>
  </si>
  <si>
    <t>www.lixinger.com/analytics/company/sh/600486/600486/detail</t>
  </si>
  <si>
    <t>亨通光电</t>
  </si>
  <si>
    <t>www.lixinger.com/analytics/company/sh/600487/600487/detail</t>
  </si>
  <si>
    <t>天药股份</t>
  </si>
  <si>
    <t>www.lixinger.com/analytics/company/sh/600488/600488/detail</t>
  </si>
  <si>
    <t>中金黄金</t>
  </si>
  <si>
    <t>www.lixinger.com/analytics/company/sh/600489/600489/detail</t>
  </si>
  <si>
    <t>鹏欣资源</t>
  </si>
  <si>
    <t>www.lixinger.com/analytics/company/sh/600490/600490/detail</t>
  </si>
  <si>
    <t>龙元建设</t>
  </si>
  <si>
    <t>www.lixinger.com/analytics/company/sh/600491/600491/detail</t>
  </si>
  <si>
    <t>凤竹纺织</t>
  </si>
  <si>
    <t>棉纺</t>
  </si>
  <si>
    <t>www.lixinger.com/analytics/company/sh/600493/600493/detail</t>
  </si>
  <si>
    <t>晋西车轴</t>
  </si>
  <si>
    <t>轨交设备</t>
  </si>
  <si>
    <t>www.lixinger.com/analytics/company/sh/600495/600495/detail</t>
  </si>
  <si>
    <t>精工钢构</t>
  </si>
  <si>
    <t>www.lixinger.com/analytics/company/sh/600496/600496/detail</t>
  </si>
  <si>
    <t>驰宏锌锗</t>
  </si>
  <si>
    <t>www.lixinger.com/analytics/company/sh/600497/600497/detail</t>
  </si>
  <si>
    <t>烽火通信</t>
  </si>
  <si>
    <t>通信网络设备及器件</t>
  </si>
  <si>
    <t>www.lixinger.com/analytics/company/sh/600498/600498/detail</t>
  </si>
  <si>
    <t>科达制造</t>
  </si>
  <si>
    <t>www.lixinger.com/analytics/company/sh/600499/600499/detail</t>
  </si>
  <si>
    <t>中化国际</t>
  </si>
  <si>
    <t>www.lixinger.com/analytics/company/sh/600500/600500/detail</t>
  </si>
  <si>
    <t>航天晨光</t>
  </si>
  <si>
    <t>www.lixinger.com/analytics/company/sh/600501/600501/detail</t>
  </si>
  <si>
    <t>安徽建工</t>
  </si>
  <si>
    <t>www.lixinger.com/analytics/company/sh/600502/600502/detail</t>
  </si>
  <si>
    <t>华丽家族</t>
  </si>
  <si>
    <t>www.lixinger.com/analytics/company/sh/600503/600503/detail</t>
  </si>
  <si>
    <t>西昌电力</t>
  </si>
  <si>
    <t>www.lixinger.com/analytics/company/sh/600505/600505/detail</t>
  </si>
  <si>
    <t>*ST香梨</t>
  </si>
  <si>
    <t>www.lixinger.com/analytics/company/sh/600506/600506/detail</t>
  </si>
  <si>
    <t>方大特钢</t>
  </si>
  <si>
    <t>www.lixinger.com/analytics/company/sh/600507/600507/detail</t>
  </si>
  <si>
    <t>上海能源</t>
  </si>
  <si>
    <t>www.lixinger.com/analytics/company/sh/600508/600508/detail</t>
  </si>
  <si>
    <t>天富能源</t>
  </si>
  <si>
    <t>www.lixinger.com/analytics/company/sh/600509/600509/detail</t>
  </si>
  <si>
    <t>黑牡丹</t>
  </si>
  <si>
    <t>www.lixinger.com/analytics/company/sh/600510/600510/detail</t>
  </si>
  <si>
    <t>国药股份</t>
  </si>
  <si>
    <t>www.lixinger.com/analytics/company/sh/600511/600511/detail</t>
  </si>
  <si>
    <t>腾达建设</t>
  </si>
  <si>
    <t>www.lixinger.com/analytics/company/sh/600512/600512/detail</t>
  </si>
  <si>
    <t>联环药业</t>
  </si>
  <si>
    <t>www.lixinger.com/analytics/company/sh/600513/600513/detail</t>
  </si>
  <si>
    <t>*ST基础</t>
  </si>
  <si>
    <t>www.lixinger.com/analytics/company/sh/600515/600515/detail</t>
  </si>
  <si>
    <t>方大炭素</t>
  </si>
  <si>
    <t>www.lixinger.com/analytics/company/sh/600516/600516/detail</t>
  </si>
  <si>
    <t>国网英大</t>
  </si>
  <si>
    <t>www.lixinger.com/analytics/company/sh/600517/600517/detail</t>
  </si>
  <si>
    <t>*ST康美</t>
  </si>
  <si>
    <t>www.lixinger.com/analytics/company/sh/600518/600518/detail</t>
  </si>
  <si>
    <t>贵州茅台</t>
  </si>
  <si>
    <t>www.lixinger.com/analytics/company/sh/600519/600519/detail</t>
  </si>
  <si>
    <t>文一科技</t>
  </si>
  <si>
    <t>www.lixinger.com/analytics/company/sh/600520/600520/detail</t>
  </si>
  <si>
    <t>华海药业</t>
  </si>
  <si>
    <t>www.lixinger.com/analytics/company/sh/600521/600521/detail</t>
  </si>
  <si>
    <t>中天科技</t>
  </si>
  <si>
    <t>www.lixinger.com/analytics/company/sh/600522/600522/detail</t>
  </si>
  <si>
    <t>贵航股份</t>
  </si>
  <si>
    <t>www.lixinger.com/analytics/company/sh/600523/600523/detail</t>
  </si>
  <si>
    <t>长园集团</t>
  </si>
  <si>
    <t>www.lixinger.com/analytics/company/sh/600525/600525/detail</t>
  </si>
  <si>
    <t>菲达环保</t>
  </si>
  <si>
    <t>环保设备</t>
  </si>
  <si>
    <t>www.lixinger.com/analytics/company/sh/600526/600526/detail</t>
  </si>
  <si>
    <t>江南高纤</t>
  </si>
  <si>
    <t>www.lixinger.com/analytics/company/sh/600527/600527/detail</t>
  </si>
  <si>
    <t>中铁工业</t>
  </si>
  <si>
    <t>www.lixinger.com/analytics/company/sh/600528/600528/detail</t>
  </si>
  <si>
    <t>山东药玻</t>
  </si>
  <si>
    <t>医疗耗材</t>
  </si>
  <si>
    <t>www.lixinger.com/analytics/company/sh/600529/600529/detail</t>
  </si>
  <si>
    <t>交大昂立</t>
  </si>
  <si>
    <t>www.lixinger.com/analytics/company/sh/600530/600530/detail</t>
  </si>
  <si>
    <t>豫光金铅</t>
  </si>
  <si>
    <t>www.lixinger.com/analytics/company/sh/600531/600531/detail</t>
  </si>
  <si>
    <t>未来股份</t>
  </si>
  <si>
    <t>www.lixinger.com/analytics/company/sh/600532/600532/detail</t>
  </si>
  <si>
    <t>栖霞建设</t>
  </si>
  <si>
    <t>www.lixinger.com/analytics/company/sh/600533/600533/detail</t>
  </si>
  <si>
    <t>天士力</t>
  </si>
  <si>
    <t>www.lixinger.com/analytics/company/sh/600535/600535/detail</t>
  </si>
  <si>
    <t>中国软件</t>
  </si>
  <si>
    <t>www.lixinger.com/analytics/company/sh/600536/600536/detail</t>
  </si>
  <si>
    <t>亿晶光电</t>
  </si>
  <si>
    <t>www.lixinger.com/analytics/company/sh/600537/600537/detail</t>
  </si>
  <si>
    <t>国发股份</t>
  </si>
  <si>
    <t>www.lixinger.com/analytics/company/sh/600538/600538/detail</t>
  </si>
  <si>
    <t>狮头股份</t>
  </si>
  <si>
    <t>www.lixinger.com/analytics/company/sh/600539/600539/detail</t>
  </si>
  <si>
    <t>新赛股份</t>
  </si>
  <si>
    <t>www.lixinger.com/analytics/company/sh/600540/600540/detail</t>
  </si>
  <si>
    <t>莫高股份</t>
  </si>
  <si>
    <t>www.lixinger.com/analytics/company/sh/600543/600543/detail</t>
  </si>
  <si>
    <t>卓郎智能</t>
  </si>
  <si>
    <t>www.lixinger.com/analytics/company/sh/600545/600545/detail</t>
  </si>
  <si>
    <t>山煤国际</t>
  </si>
  <si>
    <t>www.lixinger.com/analytics/company/sh/600546/600546/detail</t>
  </si>
  <si>
    <t>山东黄金</t>
  </si>
  <si>
    <t>www.lixinger.com/analytics/company/sh/600547/600547/detail</t>
  </si>
  <si>
    <t>深高速</t>
  </si>
  <si>
    <t>www.lixinger.com/analytics/company/sh/600548/600548/detail</t>
  </si>
  <si>
    <t>厦门钨业</t>
  </si>
  <si>
    <t>钨</t>
  </si>
  <si>
    <t>www.lixinger.com/analytics/company/sh/600549/600549/detail</t>
  </si>
  <si>
    <t>保变电气</t>
  </si>
  <si>
    <t>www.lixinger.com/analytics/company/sh/600550/600550/detail</t>
  </si>
  <si>
    <t>时代出版</t>
  </si>
  <si>
    <t>www.lixinger.com/analytics/company/sh/600551/600551/detail</t>
  </si>
  <si>
    <t>凯盛科技</t>
  </si>
  <si>
    <t>面板</t>
  </si>
  <si>
    <t>www.lixinger.com/analytics/company/sh/600552/600552/detail</t>
  </si>
  <si>
    <t>*ST海创</t>
  </si>
  <si>
    <t>旅游综合</t>
  </si>
  <si>
    <t>www.lixinger.com/analytics/company/sh/600555/600555/detail</t>
  </si>
  <si>
    <t>天下秀</t>
  </si>
  <si>
    <t>www.lixinger.com/analytics/company/sh/600556/600556/detail</t>
  </si>
  <si>
    <t>康缘药业</t>
  </si>
  <si>
    <t>www.lixinger.com/analytics/company/sh/600557/600557/detail</t>
  </si>
  <si>
    <t>大西洋</t>
  </si>
  <si>
    <t>www.lixinger.com/analytics/company/sh/600558/600558/detail</t>
  </si>
  <si>
    <t>老白干酒</t>
  </si>
  <si>
    <t>www.lixinger.com/analytics/company/sh/600559/600559/detail</t>
  </si>
  <si>
    <t>金自天正</t>
  </si>
  <si>
    <t>www.lixinger.com/analytics/company/sh/600560/600560/detail</t>
  </si>
  <si>
    <t>江西长运</t>
  </si>
  <si>
    <t>公交</t>
  </si>
  <si>
    <t>www.lixinger.com/analytics/company/sh/600561/600561/detail</t>
  </si>
  <si>
    <t>国睿科技</t>
  </si>
  <si>
    <t>军工电子</t>
  </si>
  <si>
    <t>www.lixinger.com/analytics/company/sh/600562/600562/detail</t>
  </si>
  <si>
    <t>法拉电子</t>
  </si>
  <si>
    <t>www.lixinger.com/analytics/company/sh/600563/600563/detail</t>
  </si>
  <si>
    <t>迪马股份</t>
  </si>
  <si>
    <t>www.lixinger.com/analytics/company/sh/600565/600565/detail</t>
  </si>
  <si>
    <t>济川药业</t>
  </si>
  <si>
    <t>www.lixinger.com/analytics/company/sh/600566/600566/detail</t>
  </si>
  <si>
    <t>山鹰国际</t>
  </si>
  <si>
    <t>www.lixinger.com/analytics/company/sh/600567/600567/detail</t>
  </si>
  <si>
    <t>ST中珠</t>
  </si>
  <si>
    <t>医院</t>
  </si>
  <si>
    <t>www.lixinger.com/analytics/company/sh/600568/600568/detail</t>
  </si>
  <si>
    <t>安阳钢铁</t>
  </si>
  <si>
    <t>www.lixinger.com/analytics/company/sh/600569/600569/detail</t>
  </si>
  <si>
    <t>恒生电子</t>
  </si>
  <si>
    <t>www.lixinger.com/analytics/company/sh/600570/600570/detail</t>
  </si>
  <si>
    <t>信雅达</t>
  </si>
  <si>
    <t>www.lixinger.com/analytics/company/sh/600571/600571/detail</t>
  </si>
  <si>
    <t>康恩贝</t>
  </si>
  <si>
    <t>www.lixinger.com/analytics/company/sh/600572/600572/detail</t>
  </si>
  <si>
    <t>惠泉啤酒</t>
  </si>
  <si>
    <t>www.lixinger.com/analytics/company/sh/600573/600573/detail</t>
  </si>
  <si>
    <t>淮河能源</t>
  </si>
  <si>
    <t>www.lixinger.com/analytics/company/sh/600575/600575/detail</t>
  </si>
  <si>
    <t>祥源文化</t>
  </si>
  <si>
    <t>www.lixinger.com/analytics/company/sh/600576/600576/detail</t>
  </si>
  <si>
    <t>精达股份</t>
  </si>
  <si>
    <t>线缆部件及其他</t>
  </si>
  <si>
    <t>www.lixinger.com/analytics/company/sh/600577/600577/detail</t>
  </si>
  <si>
    <t>京能电力</t>
  </si>
  <si>
    <t>www.lixinger.com/analytics/company/sh/600578/600578/detail</t>
  </si>
  <si>
    <t>克劳斯</t>
  </si>
  <si>
    <t>www.lixinger.com/analytics/company/sh/600579/600579/detail</t>
  </si>
  <si>
    <t>卧龙电驱</t>
  </si>
  <si>
    <t>电机</t>
  </si>
  <si>
    <t>www.lixinger.com/analytics/company/sh/600580/600580/detail</t>
  </si>
  <si>
    <t>八一钢铁</t>
  </si>
  <si>
    <t>www.lixinger.com/analytics/company/sh/600581/600581/detail</t>
  </si>
  <si>
    <t>天地科技</t>
  </si>
  <si>
    <t>www.lixinger.com/analytics/company/sh/600582/600582/detail</t>
  </si>
  <si>
    <t>海油工程</t>
  </si>
  <si>
    <t>www.lixinger.com/analytics/company/sh/600583/600583/detail</t>
  </si>
  <si>
    <t>长电科技</t>
  </si>
  <si>
    <t>集成电路封测</t>
  </si>
  <si>
    <t>www.lixinger.com/analytics/company/sh/600584/600584/detail</t>
  </si>
  <si>
    <t>海螺水泥</t>
  </si>
  <si>
    <t>www.lixinger.com/analytics/company/sh/600585/600585/detail</t>
  </si>
  <si>
    <t>金晶科技</t>
  </si>
  <si>
    <t>www.lixinger.com/analytics/company/sh/600586/600586/detail</t>
  </si>
  <si>
    <t>新华医疗</t>
  </si>
  <si>
    <t>www.lixinger.com/analytics/company/sh/600587/600587/detail</t>
  </si>
  <si>
    <t>用友网络</t>
  </si>
  <si>
    <t>横向通用软件</t>
  </si>
  <si>
    <t>www.lixinger.com/analytics/company/sh/600588/600588/detail</t>
  </si>
  <si>
    <t>ST榕泰</t>
  </si>
  <si>
    <t>其他塑料制品</t>
  </si>
  <si>
    <t>www.lixinger.com/analytics/company/sh/600589/600589/detail</t>
  </si>
  <si>
    <t>泰豪科技</t>
  </si>
  <si>
    <t>www.lixinger.com/analytics/company/sh/600590/600590/detail</t>
  </si>
  <si>
    <t>龙溪股份</t>
  </si>
  <si>
    <t>www.lixinger.com/analytics/company/sh/600592/600592/detail</t>
  </si>
  <si>
    <t>*ST圣亚</t>
  </si>
  <si>
    <t>www.lixinger.com/analytics/company/sh/600593/600593/detail</t>
  </si>
  <si>
    <t>益佰制药</t>
  </si>
  <si>
    <t>www.lixinger.com/analytics/company/sh/600594/600594/detail</t>
  </si>
  <si>
    <t>ST中孚</t>
  </si>
  <si>
    <t>www.lixinger.com/analytics/company/sh/600595/600595/detail</t>
  </si>
  <si>
    <t>新安股份</t>
  </si>
  <si>
    <t>有机硅</t>
  </si>
  <si>
    <t>www.lixinger.com/analytics/company/sh/600596/600596/detail</t>
  </si>
  <si>
    <t>光明乳业</t>
  </si>
  <si>
    <t>www.lixinger.com/analytics/company/sh/600597/600597/detail</t>
  </si>
  <si>
    <t>北大荒</t>
  </si>
  <si>
    <t>粮食种植</t>
  </si>
  <si>
    <t>www.lixinger.com/analytics/company/sh/600598/600598/detail</t>
  </si>
  <si>
    <t>ST熊猫</t>
  </si>
  <si>
    <t>www.lixinger.com/analytics/company/sh/600599/600599/detail</t>
  </si>
  <si>
    <t>青岛啤酒</t>
  </si>
  <si>
    <t>www.lixinger.com/analytics/company/sh/600600/600600/detail</t>
  </si>
  <si>
    <t>ST方科</t>
  </si>
  <si>
    <t>www.lixinger.com/analytics/company/sh/600601/600601/detail</t>
  </si>
  <si>
    <t>云赛智联</t>
  </si>
  <si>
    <t>www.lixinger.com/analytics/company/sh/600602/600602/detail</t>
  </si>
  <si>
    <t>广汇物流</t>
  </si>
  <si>
    <t>www.lixinger.com/analytics/company/sh/600603/600603/detail</t>
  </si>
  <si>
    <t>市北高新</t>
  </si>
  <si>
    <t>www.lixinger.com/analytics/company/sh/600604/600604/detail</t>
  </si>
  <si>
    <t>汇通能源</t>
  </si>
  <si>
    <t>www.lixinger.com/analytics/company/sh/600605/600605/detail</t>
  </si>
  <si>
    <t>绿地控股</t>
  </si>
  <si>
    <t>www.lixinger.com/analytics/company/sh/600606/600606/detail</t>
  </si>
  <si>
    <t>ST沪科</t>
  </si>
  <si>
    <t>www.lixinger.com/analytics/company/sh/600608/600608/detail</t>
  </si>
  <si>
    <t>金杯汽车</t>
  </si>
  <si>
    <t>www.lixinger.com/analytics/company/sh/600609/600609/detail</t>
  </si>
  <si>
    <t>中毅达</t>
  </si>
  <si>
    <t>其他化学原料</t>
  </si>
  <si>
    <t>www.lixinger.com/analytics/company/sh/600610/600610/detail</t>
  </si>
  <si>
    <t>大众交通</t>
  </si>
  <si>
    <t>www.lixinger.com/analytics/company/sh/600611/600611/detail</t>
  </si>
  <si>
    <t>老凤祥</t>
  </si>
  <si>
    <t>钟表珠宝</t>
  </si>
  <si>
    <t>www.lixinger.com/analytics/company/sh/600612/600612/detail</t>
  </si>
  <si>
    <t>神奇制药</t>
  </si>
  <si>
    <t>www.lixinger.com/analytics/company/sh/600613/600613/detail</t>
  </si>
  <si>
    <t>退市鹏起</t>
  </si>
  <si>
    <t>www.lixinger.com/analytics/company/sh/600614/600614/detail</t>
  </si>
  <si>
    <t>*ST丰华</t>
  </si>
  <si>
    <t>www.lixinger.com/analytics/company/sh/600615/600615/detail</t>
  </si>
  <si>
    <t>金枫酒业</t>
  </si>
  <si>
    <t>www.lixinger.com/analytics/company/sh/600616/600616/detail</t>
  </si>
  <si>
    <t>国新能源</t>
  </si>
  <si>
    <t>www.lixinger.com/analytics/company/sh/600617/600617/detail</t>
  </si>
  <si>
    <t>氯碱化工</t>
  </si>
  <si>
    <t>www.lixinger.com/analytics/company/sh/600618/600618/detail</t>
  </si>
  <si>
    <t>海立股份</t>
  </si>
  <si>
    <t>家电零部件</t>
  </si>
  <si>
    <t>www.lixinger.com/analytics/company/sh/600619/600619/detail</t>
  </si>
  <si>
    <t>天宸股份</t>
  </si>
  <si>
    <t>www.lixinger.com/analytics/company/sh/600620/600620/detail</t>
  </si>
  <si>
    <t>华鑫股份</t>
  </si>
  <si>
    <t>www.lixinger.com/analytics/company/sh/600621/600621/detail</t>
  </si>
  <si>
    <t>光大嘉宝</t>
  </si>
  <si>
    <t>www.lixinger.com/analytics/company/sh/600622/600622/detail</t>
  </si>
  <si>
    <t>华谊集团</t>
  </si>
  <si>
    <t>www.lixinger.com/analytics/company/sh/600623/600623/detail</t>
  </si>
  <si>
    <t>复旦复华</t>
  </si>
  <si>
    <t>www.lixinger.com/analytics/company/sh/600624/600624/detail</t>
  </si>
  <si>
    <t>PT水仙</t>
  </si>
  <si>
    <t>www.lixinger.com/analytics/company/sh/600625/600625/detail</t>
  </si>
  <si>
    <t>申达股份</t>
  </si>
  <si>
    <t>www.lixinger.com/analytics/company/sh/600626/600626/detail</t>
  </si>
  <si>
    <t>新世界</t>
  </si>
  <si>
    <t>www.lixinger.com/analytics/company/sh/600628/600628/detail</t>
  </si>
  <si>
    <t>华建集团</t>
  </si>
  <si>
    <t>工程咨询服务</t>
  </si>
  <si>
    <t>www.lixinger.com/analytics/company/sh/600629/600629/detail</t>
  </si>
  <si>
    <t>龙头股份</t>
  </si>
  <si>
    <t>www.lixinger.com/analytics/company/sh/600630/600630/detail</t>
  </si>
  <si>
    <t>百联股份</t>
  </si>
  <si>
    <t>www.lixinger.com/analytics/company/sh/600631/600631/detail</t>
  </si>
  <si>
    <t>浙数文化</t>
  </si>
  <si>
    <t>www.lixinger.com/analytics/company/sh/600633/600633/detail</t>
  </si>
  <si>
    <t>退市富控</t>
  </si>
  <si>
    <t>www.lixinger.com/analytics/company/sh/600634/600634/detail</t>
  </si>
  <si>
    <t>大众公用</t>
  </si>
  <si>
    <t>www.lixinger.com/analytics/company/sh/600635/600635/detail</t>
  </si>
  <si>
    <t>国新文化</t>
  </si>
  <si>
    <t>教育运营及其他</t>
  </si>
  <si>
    <t>www.lixinger.com/analytics/company/sh/600636/600636/detail</t>
  </si>
  <si>
    <t>东方明珠</t>
  </si>
  <si>
    <t>www.lixinger.com/analytics/company/sh/600637/600637/detail</t>
  </si>
  <si>
    <t>新黄浦</t>
  </si>
  <si>
    <t>www.lixinger.com/analytics/company/sh/600638/600638/detail</t>
  </si>
  <si>
    <t>浦东金桥</t>
  </si>
  <si>
    <t>www.lixinger.com/analytics/company/sh/600639/600639/detail</t>
  </si>
  <si>
    <t>新国脉</t>
  </si>
  <si>
    <t>视频媒体</t>
  </si>
  <si>
    <t>www.lixinger.com/analytics/company/sh/600640/600640/detail</t>
  </si>
  <si>
    <t>万业企业</t>
  </si>
  <si>
    <t>www.lixinger.com/analytics/company/sh/600641/600641/detail</t>
  </si>
  <si>
    <t>申能股份</t>
  </si>
  <si>
    <t>www.lixinger.com/analytics/company/sh/600642/600642/detail</t>
  </si>
  <si>
    <t>爱建集团</t>
  </si>
  <si>
    <t>www.lixinger.com/analytics/company/sh/600643/600643/detail</t>
  </si>
  <si>
    <t>乐山电力</t>
  </si>
  <si>
    <t>www.lixinger.com/analytics/company/sh/600644/600644/detail</t>
  </si>
  <si>
    <t>中源协和</t>
  </si>
  <si>
    <t>体外诊断</t>
  </si>
  <si>
    <t>www.lixinger.com/analytics/company/sh/600645/600645/detail</t>
  </si>
  <si>
    <t>ST国嘉</t>
  </si>
  <si>
    <t>www.lixinger.com/analytics/company/sh/600646/600646/detail</t>
  </si>
  <si>
    <t>同达创业</t>
  </si>
  <si>
    <t>www.lixinger.com/analytics/company/sh/600647/600647/detail</t>
  </si>
  <si>
    <t>外高桥</t>
  </si>
  <si>
    <t>www.lixinger.com/analytics/company/sh/600648/600648/detail</t>
  </si>
  <si>
    <t>城投控股</t>
  </si>
  <si>
    <t>www.lixinger.com/analytics/company/sh/600649/600649/detail</t>
  </si>
  <si>
    <t>锦江在线</t>
  </si>
  <si>
    <t>www.lixinger.com/analytics/company/sh/600650/600650/detail</t>
  </si>
  <si>
    <t>飞乐音响</t>
  </si>
  <si>
    <t>www.lixinger.com/analytics/company/sh/600651/600651/detail</t>
  </si>
  <si>
    <t>*ST游久</t>
  </si>
  <si>
    <t>www.lixinger.com/analytics/company/sh/600652/600652/detail</t>
  </si>
  <si>
    <t>申华控股</t>
  </si>
  <si>
    <t>www.lixinger.com/analytics/company/sh/600653/600653/detail</t>
  </si>
  <si>
    <t>ST中安</t>
  </si>
  <si>
    <t>www.lixinger.com/analytics/company/sh/600654/600654/detail</t>
  </si>
  <si>
    <t>豫园股份</t>
  </si>
  <si>
    <t>www.lixinger.com/analytics/company/sh/600655/600655/detail</t>
  </si>
  <si>
    <t>退市博元</t>
  </si>
  <si>
    <t>www.lixinger.com/analytics/company/sh/600656/600656/detail</t>
  </si>
  <si>
    <t>信达地产</t>
  </si>
  <si>
    <t>www.lixinger.com/analytics/company/sh/600657/600657/detail</t>
  </si>
  <si>
    <t>电子城</t>
  </si>
  <si>
    <t>www.lixinger.com/analytics/company/sh/600658/600658/detail</t>
  </si>
  <si>
    <t>福耀玻璃</t>
  </si>
  <si>
    <t>www.lixinger.com/analytics/company/sh/600660/600660/detail</t>
  </si>
  <si>
    <t>昂立教育</t>
  </si>
  <si>
    <t>培训教育</t>
  </si>
  <si>
    <t>www.lixinger.com/analytics/company/sh/600661/600661/detail</t>
  </si>
  <si>
    <t>外服控股</t>
  </si>
  <si>
    <t>www.lixinger.com/analytics/company/sh/600662/600662/detail</t>
  </si>
  <si>
    <t>陆家嘴</t>
  </si>
  <si>
    <t>www.lixinger.com/analytics/company/sh/600663/600663/detail</t>
  </si>
  <si>
    <t>哈药股份</t>
  </si>
  <si>
    <t>www.lixinger.com/analytics/company/sh/600664/600664/detail</t>
  </si>
  <si>
    <t>天地源</t>
  </si>
  <si>
    <t>www.lixinger.com/analytics/company/sh/600665/600665/detail</t>
  </si>
  <si>
    <t>*ST瑞德</t>
  </si>
  <si>
    <t>www.lixinger.com/analytics/company/sh/600666/600666/detail</t>
  </si>
  <si>
    <t>太极实业</t>
  </si>
  <si>
    <t>www.lixinger.com/analytics/company/sh/600667/600667/detail</t>
  </si>
  <si>
    <t>尖峰集团</t>
  </si>
  <si>
    <t>www.lixinger.com/analytics/company/sh/600668/600668/detail</t>
  </si>
  <si>
    <t>*ST鞍成</t>
  </si>
  <si>
    <t>www.lixinger.com/analytics/company/sh/600669/600669/detail</t>
  </si>
  <si>
    <t>*ST斯达</t>
  </si>
  <si>
    <t>www.lixinger.com/analytics/company/sh/600670/600670/detail</t>
  </si>
  <si>
    <t>ST目药</t>
  </si>
  <si>
    <t>www.lixinger.com/analytics/company/sh/600671/600671/detail</t>
  </si>
  <si>
    <t>*ST华圣</t>
  </si>
  <si>
    <t>www.lixinger.com/analytics/company/sh/600672/600672/detail</t>
  </si>
  <si>
    <t>东阳光</t>
  </si>
  <si>
    <t>www.lixinger.com/analytics/company/sh/600673/600673/detail</t>
  </si>
  <si>
    <t>川投能源</t>
  </si>
  <si>
    <t>www.lixinger.com/analytics/company/sh/600674/600674/detail</t>
  </si>
  <si>
    <t>中华企业</t>
  </si>
  <si>
    <t>www.lixinger.com/analytics/company/sh/600675/600675/detail</t>
  </si>
  <si>
    <t>交运股份</t>
  </si>
  <si>
    <t>www.lixinger.com/analytics/company/sh/600676/600676/detail</t>
  </si>
  <si>
    <t>*ST航通</t>
  </si>
  <si>
    <t>www.lixinger.com/analytics/company/sh/600677/600677/detail</t>
  </si>
  <si>
    <t>四川金顶</t>
  </si>
  <si>
    <t>www.lixinger.com/analytics/company/sh/600678/600678/detail</t>
  </si>
  <si>
    <t>上海凤凰</t>
  </si>
  <si>
    <t>www.lixinger.com/analytics/company/sh/600679/600679/detail</t>
  </si>
  <si>
    <t>*ST上普</t>
  </si>
  <si>
    <t>www.lixinger.com/analytics/company/sh/600680/600680/detail</t>
  </si>
  <si>
    <t>百川能源</t>
  </si>
  <si>
    <t>www.lixinger.com/analytics/company/sh/600681/600681/detail</t>
  </si>
  <si>
    <t>南京新百</t>
  </si>
  <si>
    <t>其他生物制品</t>
  </si>
  <si>
    <t>www.lixinger.com/analytics/company/sh/600682/600682/detail</t>
  </si>
  <si>
    <t>京投发展</t>
  </si>
  <si>
    <t>www.lixinger.com/analytics/company/sh/600683/600683/detail</t>
  </si>
  <si>
    <t>珠江股份</t>
  </si>
  <si>
    <t>www.lixinger.com/analytics/company/sh/600684/600684/detail</t>
  </si>
  <si>
    <t>中船防务</t>
  </si>
  <si>
    <t>www.lixinger.com/analytics/company/sh/600685/600685/detail</t>
  </si>
  <si>
    <t>金龙汽车</t>
  </si>
  <si>
    <t>www.lixinger.com/analytics/company/sh/600686/600686/detail</t>
  </si>
  <si>
    <t>退市刚泰</t>
  </si>
  <si>
    <t>www.lixinger.com/analytics/company/sh/600687/600687/detail</t>
  </si>
  <si>
    <t>上海石化</t>
  </si>
  <si>
    <t>www.lixinger.com/analytics/company/sh/600688/600688/detail</t>
  </si>
  <si>
    <t>上海三毛</t>
  </si>
  <si>
    <t>www.lixinger.com/analytics/company/sh/600689/600689/detail</t>
  </si>
  <si>
    <t>海尔智家</t>
  </si>
  <si>
    <t>www.lixinger.com/analytics/company/sh/600690/600690/detail</t>
  </si>
  <si>
    <t>阳煤化工</t>
  </si>
  <si>
    <t>www.lixinger.com/analytics/company/sh/600691/600691/detail</t>
  </si>
  <si>
    <t>亚通股份</t>
  </si>
  <si>
    <t>www.lixinger.com/analytics/company/sh/600692/600692/detail</t>
  </si>
  <si>
    <t>东百集团</t>
  </si>
  <si>
    <t>www.lixinger.com/analytics/company/sh/600693/600693/detail</t>
  </si>
  <si>
    <t>大商股份</t>
  </si>
  <si>
    <t>多业态零售</t>
  </si>
  <si>
    <t>www.lixinger.com/analytics/company/sh/600694/600694/detail</t>
  </si>
  <si>
    <t>*ST绿庭</t>
  </si>
  <si>
    <t>www.lixinger.com/analytics/company/sh/600695/600695/detail</t>
  </si>
  <si>
    <t>岩石股份</t>
  </si>
  <si>
    <t>www.lixinger.com/analytics/company/sh/600696/600696/detail</t>
  </si>
  <si>
    <t>欧亚集团</t>
  </si>
  <si>
    <t>www.lixinger.com/analytics/company/sh/600697/600697/detail</t>
  </si>
  <si>
    <t>湖南天雁</t>
  </si>
  <si>
    <t>www.lixinger.com/analytics/company/sh/600698/600698/detail</t>
  </si>
  <si>
    <t>均胜电子</t>
  </si>
  <si>
    <t>汽车电子电气系统</t>
  </si>
  <si>
    <t>www.lixinger.com/analytics/company/sh/600699/600699/detail</t>
  </si>
  <si>
    <t>*ST数码</t>
  </si>
  <si>
    <t>www.lixinger.com/analytics/company/sh/600700/600700/detail</t>
  </si>
  <si>
    <t>退市工新</t>
  </si>
  <si>
    <t>www.lixinger.com/analytics/company/sh/600701/600701/detail</t>
  </si>
  <si>
    <t>舍得酒业</t>
  </si>
  <si>
    <t>www.lixinger.com/analytics/company/sh/600702/600702/detail</t>
  </si>
  <si>
    <t>三安光电</t>
  </si>
  <si>
    <t>www.lixinger.com/analytics/company/sh/600703/600703/detail</t>
  </si>
  <si>
    <t>物产中大</t>
  </si>
  <si>
    <t>www.lixinger.com/analytics/company/sh/600704/600704/detail</t>
  </si>
  <si>
    <t>中航产融</t>
  </si>
  <si>
    <t>www.lixinger.com/analytics/company/sh/600705/600705/detail</t>
  </si>
  <si>
    <t>曲江文旅</t>
  </si>
  <si>
    <t>www.lixinger.com/analytics/company/sh/600706/600706/detail</t>
  </si>
  <si>
    <t>彩虹股份</t>
  </si>
  <si>
    <t>www.lixinger.com/analytics/company/sh/600707/600707/detail</t>
  </si>
  <si>
    <t>光明地产</t>
  </si>
  <si>
    <t>www.lixinger.com/analytics/company/sh/600708/600708/detail</t>
  </si>
  <si>
    <t>ST生态</t>
  </si>
  <si>
    <t>www.lixinger.com/analytics/company/sh/600709/600709/detail</t>
  </si>
  <si>
    <t>苏美达</t>
  </si>
  <si>
    <t>www.lixinger.com/analytics/company/sh/600710/600710/detail</t>
  </si>
  <si>
    <t>盛屯矿业</t>
  </si>
  <si>
    <t>钴</t>
  </si>
  <si>
    <t>www.lixinger.com/analytics/company/sh/600711/600711/detail</t>
  </si>
  <si>
    <t>南宁百货</t>
  </si>
  <si>
    <t>www.lixinger.com/analytics/company/sh/600712/600712/detail</t>
  </si>
  <si>
    <t>南京医药</t>
  </si>
  <si>
    <t>www.lixinger.com/analytics/company/sh/600713/600713/detail</t>
  </si>
  <si>
    <t>金瑞矿业</t>
  </si>
  <si>
    <t>www.lixinger.com/analytics/company/sh/600714/600714/detail</t>
  </si>
  <si>
    <t>文投控股</t>
  </si>
  <si>
    <t>www.lixinger.com/analytics/company/sh/600715/600715/detail</t>
  </si>
  <si>
    <t>凤凰股份</t>
  </si>
  <si>
    <t>www.lixinger.com/analytics/company/sh/600716/600716/detail</t>
  </si>
  <si>
    <t>天津港</t>
  </si>
  <si>
    <t>www.lixinger.com/analytics/company/sh/600717/600717/detail</t>
  </si>
  <si>
    <t>东软集团</t>
  </si>
  <si>
    <t>www.lixinger.com/analytics/company/sh/600718/600718/detail</t>
  </si>
  <si>
    <t>大连热电</t>
  </si>
  <si>
    <t>www.lixinger.com/analytics/company/sh/600719/600719/detail</t>
  </si>
  <si>
    <t>祁连山</t>
  </si>
  <si>
    <t>www.lixinger.com/analytics/company/sh/600720/600720/detail</t>
  </si>
  <si>
    <t>*ST百花</t>
  </si>
  <si>
    <t>医疗研发外包</t>
  </si>
  <si>
    <t>www.lixinger.com/analytics/company/sh/600721/600721/detail</t>
  </si>
  <si>
    <t>金牛化工</t>
  </si>
  <si>
    <t>www.lixinger.com/analytics/company/sh/600722/600722/detail</t>
  </si>
  <si>
    <t>首商股份</t>
  </si>
  <si>
    <t>www.lixinger.com/analytics/company/sh/600723/600723/detail</t>
  </si>
  <si>
    <t>宁波富达</t>
  </si>
  <si>
    <t>www.lixinger.com/analytics/company/sh/600724/600724/detail</t>
  </si>
  <si>
    <t>云维股份</t>
  </si>
  <si>
    <t>www.lixinger.com/analytics/company/sh/600725/600725/detail</t>
  </si>
  <si>
    <t>*ST华源</t>
  </si>
  <si>
    <t>www.lixinger.com/analytics/company/sh/600726/600726/detail</t>
  </si>
  <si>
    <t>鲁北化工</t>
  </si>
  <si>
    <t>钛白粉</t>
  </si>
  <si>
    <t>www.lixinger.com/analytics/company/sh/600727/600727/detail</t>
  </si>
  <si>
    <t>佳都科技</t>
  </si>
  <si>
    <t>www.lixinger.com/analytics/company/sh/600728/600728/detail</t>
  </si>
  <si>
    <t>重庆百货</t>
  </si>
  <si>
    <t>www.lixinger.com/analytics/company/sh/600729/600729/detail</t>
  </si>
  <si>
    <t>中国高科</t>
  </si>
  <si>
    <t>www.lixinger.com/analytics/company/sh/600730/600730/detail</t>
  </si>
  <si>
    <t>湖南海利</t>
  </si>
  <si>
    <t>www.lixinger.com/analytics/company/sh/600731/600731/detail</t>
  </si>
  <si>
    <t>爱旭股份</t>
  </si>
  <si>
    <t>www.lixinger.com/analytics/company/sh/600732/600732/detail</t>
  </si>
  <si>
    <t>北汽蓝谷</t>
  </si>
  <si>
    <t>www.lixinger.com/analytics/company/sh/600733/600733/detail</t>
  </si>
  <si>
    <t>*ST实达</t>
  </si>
  <si>
    <t>www.lixinger.com/analytics/company/sh/600734/600734/detail</t>
  </si>
  <si>
    <t>新华锦</t>
  </si>
  <si>
    <t>www.lixinger.com/analytics/company/sh/600735/600735/detail</t>
  </si>
  <si>
    <t>苏州高新</t>
  </si>
  <si>
    <t>www.lixinger.com/analytics/company/sh/600736/600736/detail</t>
  </si>
  <si>
    <t>中粮糖业</t>
  </si>
  <si>
    <t>www.lixinger.com/analytics/company/sh/600737/600737/detail</t>
  </si>
  <si>
    <t>丽尚国潮</t>
  </si>
  <si>
    <t>www.lixinger.com/analytics/company/sh/600738/600738/detail</t>
  </si>
  <si>
    <t>辽宁成大</t>
  </si>
  <si>
    <t>疫苗</t>
  </si>
  <si>
    <t>www.lixinger.com/analytics/company/sh/600739/600739/detail</t>
  </si>
  <si>
    <t>山西焦化</t>
  </si>
  <si>
    <t>www.lixinger.com/analytics/company/sh/600740/600740/detail</t>
  </si>
  <si>
    <t>华域汽车</t>
  </si>
  <si>
    <t>www.lixinger.com/analytics/company/sh/600741/600741/detail</t>
  </si>
  <si>
    <t>一汽富维</t>
  </si>
  <si>
    <t>www.lixinger.com/analytics/company/sh/600742/600742/detail</t>
  </si>
  <si>
    <t>华远地产</t>
  </si>
  <si>
    <t>www.lixinger.com/analytics/company/sh/600743/600743/detail</t>
  </si>
  <si>
    <t>华银电力</t>
  </si>
  <si>
    <t>www.lixinger.com/analytics/company/sh/600744/600744/detail</t>
  </si>
  <si>
    <t>闻泰科技</t>
  </si>
  <si>
    <t>www.lixinger.com/analytics/company/sh/600745/600745/detail</t>
  </si>
  <si>
    <t>江苏索普</t>
  </si>
  <si>
    <t>www.lixinger.com/analytics/company/sh/600746/600746/detail</t>
  </si>
  <si>
    <t>退市大控</t>
  </si>
  <si>
    <t>www.lixinger.com/analytics/company/sh/600747/600747/detail</t>
  </si>
  <si>
    <t>上实发展</t>
  </si>
  <si>
    <t>www.lixinger.com/analytics/company/sh/600748/600748/detail</t>
  </si>
  <si>
    <t>西藏旅游</t>
  </si>
  <si>
    <t>www.lixinger.com/analytics/company/sh/600749/600749/detail</t>
  </si>
  <si>
    <t>江中药业</t>
  </si>
  <si>
    <t>www.lixinger.com/analytics/company/sh/600750/600750/detail</t>
  </si>
  <si>
    <t>海航科技</t>
  </si>
  <si>
    <t>www.lixinger.com/analytics/company/sh/600751/600751/detail</t>
  </si>
  <si>
    <t>*ST哈慈</t>
  </si>
  <si>
    <t>www.lixinger.com/analytics/company/sh/600752/600752/detail</t>
  </si>
  <si>
    <t>东方银星</t>
  </si>
  <si>
    <t>www.lixinger.com/analytics/company/sh/600753/600753/detail</t>
  </si>
  <si>
    <t>锦江酒店</t>
  </si>
  <si>
    <t>www.lixinger.com/analytics/company/sh/600754/600754/detail</t>
  </si>
  <si>
    <t>厦门国贸</t>
  </si>
  <si>
    <t>www.lixinger.com/analytics/company/sh/600755/600755/detail</t>
  </si>
  <si>
    <t>浪潮软件</t>
  </si>
  <si>
    <t>www.lixinger.com/analytics/company/sh/600756/600756/detail</t>
  </si>
  <si>
    <t>长江传媒</t>
  </si>
  <si>
    <t>教育出版</t>
  </si>
  <si>
    <t>www.lixinger.com/analytics/company/sh/600757/600757/detail</t>
  </si>
  <si>
    <t>辽宁能源</t>
  </si>
  <si>
    <t>www.lixinger.com/analytics/company/sh/600758/600758/detail</t>
  </si>
  <si>
    <t>ST洲际</t>
  </si>
  <si>
    <t>油气开采</t>
  </si>
  <si>
    <t>www.lixinger.com/analytics/company/sh/600759/600759/detail</t>
  </si>
  <si>
    <t>中航沈飞</t>
  </si>
  <si>
    <t>www.lixinger.com/analytics/company/sh/600760/600760/detail</t>
  </si>
  <si>
    <t>安徽合力</t>
  </si>
  <si>
    <t>www.lixinger.com/analytics/company/sh/600761/600761/detail</t>
  </si>
  <si>
    <t>通策医疗</t>
  </si>
  <si>
    <t>www.lixinger.com/analytics/company/sh/600763/600763/detail</t>
  </si>
  <si>
    <t>中国海防</t>
  </si>
  <si>
    <t>www.lixinger.com/analytics/company/sh/600764/600764/detail</t>
  </si>
  <si>
    <t>中航重机</t>
  </si>
  <si>
    <t>www.lixinger.com/analytics/company/sh/600765/600765/detail</t>
  </si>
  <si>
    <t>*ST园城</t>
  </si>
  <si>
    <t>www.lixinger.com/analytics/company/sh/600766/600766/detail</t>
  </si>
  <si>
    <t>*ST运盛</t>
  </si>
  <si>
    <t>www.lixinger.com/analytics/company/sh/600767/600767/detail</t>
  </si>
  <si>
    <t>宁波富邦</t>
  </si>
  <si>
    <t>www.lixinger.com/analytics/company/sh/600768/600768/detail</t>
  </si>
  <si>
    <t>祥龙电业</t>
  </si>
  <si>
    <t>www.lixinger.com/analytics/company/sh/600769/600769/detail</t>
  </si>
  <si>
    <t>综艺股份</t>
  </si>
  <si>
    <t>www.lixinger.com/analytics/company/sh/600770/600770/detail</t>
  </si>
  <si>
    <t>广誉远</t>
  </si>
  <si>
    <t>www.lixinger.com/analytics/company/sh/600771/600771/detail</t>
  </si>
  <si>
    <t>西藏城投</t>
  </si>
  <si>
    <t>www.lixinger.com/analytics/company/sh/600773/600773/detail</t>
  </si>
  <si>
    <t>汉商集团</t>
  </si>
  <si>
    <t>www.lixinger.com/analytics/company/sh/600774/600774/detail</t>
  </si>
  <si>
    <t>南京熊猫</t>
  </si>
  <si>
    <t>www.lixinger.com/analytics/company/sh/600775/600775/detail</t>
  </si>
  <si>
    <t>东方通信</t>
  </si>
  <si>
    <t>www.lixinger.com/analytics/company/sh/600776/600776/detail</t>
  </si>
  <si>
    <t>新潮能源</t>
  </si>
  <si>
    <t>www.lixinger.com/analytics/company/sh/600777/600777/detail</t>
  </si>
  <si>
    <t>友好集团</t>
  </si>
  <si>
    <t>www.lixinger.com/analytics/company/sh/600778/600778/detail</t>
  </si>
  <si>
    <t>水井坊</t>
  </si>
  <si>
    <t>www.lixinger.com/analytics/company/sh/600779/600779/detail</t>
  </si>
  <si>
    <t>通宝能源</t>
  </si>
  <si>
    <t>www.lixinger.com/analytics/company/sh/600780/600780/detail</t>
  </si>
  <si>
    <t>ST辅仁</t>
  </si>
  <si>
    <t>www.lixinger.com/analytics/company/sh/600781/600781/detail</t>
  </si>
  <si>
    <t>新钢股份</t>
  </si>
  <si>
    <t>www.lixinger.com/analytics/company/sh/600782/600782/detail</t>
  </si>
  <si>
    <t>鲁信创投</t>
  </si>
  <si>
    <t>www.lixinger.com/analytics/company/sh/600783/600783/detail</t>
  </si>
  <si>
    <t>鲁银投资</t>
  </si>
  <si>
    <t>www.lixinger.com/analytics/company/sh/600784/600784/detail</t>
  </si>
  <si>
    <t>新华百货</t>
  </si>
  <si>
    <t>www.lixinger.com/analytics/company/sh/600785/600785/detail</t>
  </si>
  <si>
    <t>中储股份</t>
  </si>
  <si>
    <t>仓储物流</t>
  </si>
  <si>
    <t>www.lixinger.com/analytics/company/sh/600787/600787/detail</t>
  </si>
  <si>
    <t>*ST达曼</t>
  </si>
  <si>
    <t>www.lixinger.com/analytics/company/sh/600788/600788/detail</t>
  </si>
  <si>
    <t>鲁抗医药</t>
  </si>
  <si>
    <t>www.lixinger.com/analytics/company/sh/600789/600789/detail</t>
  </si>
  <si>
    <t>轻纺城</t>
  </si>
  <si>
    <t>www.lixinger.com/analytics/company/sh/600790/600790/detail</t>
  </si>
  <si>
    <t>京能置业</t>
  </si>
  <si>
    <t>www.lixinger.com/analytics/company/sh/600791/600791/detail</t>
  </si>
  <si>
    <t>云煤能源</t>
  </si>
  <si>
    <t>www.lixinger.com/analytics/company/sh/600792/600792/detail</t>
  </si>
  <si>
    <t>宜宾纸业</t>
  </si>
  <si>
    <t>www.lixinger.com/analytics/company/sh/600793/600793/detail</t>
  </si>
  <si>
    <t>保税科技</t>
  </si>
  <si>
    <t>www.lixinger.com/analytics/company/sh/600794/600794/detail</t>
  </si>
  <si>
    <t>国电电力</t>
  </si>
  <si>
    <t>www.lixinger.com/analytics/company/sh/600795/600795/detail</t>
  </si>
  <si>
    <t>钱江生化</t>
  </si>
  <si>
    <t>www.lixinger.com/analytics/company/sh/600796/600796/detail</t>
  </si>
  <si>
    <t>浙大网新</t>
  </si>
  <si>
    <t>www.lixinger.com/analytics/company/sh/600797/600797/detail</t>
  </si>
  <si>
    <t>宁波海运</t>
  </si>
  <si>
    <t>www.lixinger.com/analytics/company/sh/600798/600798/detail</t>
  </si>
  <si>
    <t>渤海化学</t>
  </si>
  <si>
    <t>其他石化</t>
  </si>
  <si>
    <t>www.lixinger.com/analytics/company/sh/600800/600800/detail</t>
  </si>
  <si>
    <t>华新水泥</t>
  </si>
  <si>
    <t>www.lixinger.com/analytics/company/sh/600801/600801/detail</t>
  </si>
  <si>
    <t>福建水泥</t>
  </si>
  <si>
    <t>www.lixinger.com/analytics/company/sh/600802/600802/detail</t>
  </si>
  <si>
    <t>新奥股份</t>
  </si>
  <si>
    <t>www.lixinger.com/analytics/company/sh/600803/600803/detail</t>
  </si>
  <si>
    <t>ST鹏博士</t>
  </si>
  <si>
    <t>www.lixinger.com/analytics/company/sh/600804/600804/detail</t>
  </si>
  <si>
    <t>悦达投资</t>
  </si>
  <si>
    <t>www.lixinger.com/analytics/company/sh/600805/600805/detail</t>
  </si>
  <si>
    <t>退市昆机</t>
  </si>
  <si>
    <t>www.lixinger.com/analytics/company/sh/600806/600806/detail</t>
  </si>
  <si>
    <t>济南高新</t>
  </si>
  <si>
    <t>www.lixinger.com/analytics/company/sh/600807/600807/detail</t>
  </si>
  <si>
    <t>马钢股份</t>
  </si>
  <si>
    <t>www.lixinger.com/analytics/company/sh/600808/600808/detail</t>
  </si>
  <si>
    <t>山西汾酒</t>
  </si>
  <si>
    <t>www.lixinger.com/analytics/company/sh/600809/600809/detail</t>
  </si>
  <si>
    <t>神马股份</t>
  </si>
  <si>
    <t>锦纶</t>
  </si>
  <si>
    <t>www.lixinger.com/analytics/company/sh/600810/600810/detail</t>
  </si>
  <si>
    <t>东方集团</t>
  </si>
  <si>
    <t>www.lixinger.com/analytics/company/sh/600811/600811/detail</t>
  </si>
  <si>
    <t>华北制药</t>
  </si>
  <si>
    <t>www.lixinger.com/analytics/company/sh/600812/600812/detail</t>
  </si>
  <si>
    <t>ST鞍一工</t>
  </si>
  <si>
    <t>www.lixinger.com/analytics/company/sh/600813/600813/detail</t>
  </si>
  <si>
    <t>杭州解百</t>
  </si>
  <si>
    <t>www.lixinger.com/analytics/company/sh/600814/600814/detail</t>
  </si>
  <si>
    <t>厦工股份</t>
  </si>
  <si>
    <t>www.lixinger.com/analytics/company/sh/600815/600815/detail</t>
  </si>
  <si>
    <t>ST安信</t>
  </si>
  <si>
    <t>信托</t>
  </si>
  <si>
    <t>www.lixinger.com/analytics/company/sh/600816/600816/detail</t>
  </si>
  <si>
    <t>宇通重工</t>
  </si>
  <si>
    <t>www.lixinger.com/analytics/company/sh/600817/600817/detail</t>
  </si>
  <si>
    <t>中路股份</t>
  </si>
  <si>
    <t>摩托车</t>
  </si>
  <si>
    <t>www.lixinger.com/analytics/company/sh/600818/600818/detail</t>
  </si>
  <si>
    <t>耀皮玻璃</t>
  </si>
  <si>
    <t>www.lixinger.com/analytics/company/sh/600819/600819/detail</t>
  </si>
  <si>
    <t>隧道股份</t>
  </si>
  <si>
    <t>www.lixinger.com/analytics/company/sh/600820/600820/detail</t>
  </si>
  <si>
    <t>金开新能</t>
  </si>
  <si>
    <t>www.lixinger.com/analytics/company/sh/600821/600821/detail</t>
  </si>
  <si>
    <t>上海物贸</t>
  </si>
  <si>
    <t>www.lixinger.com/analytics/company/sh/600822/600822/detail</t>
  </si>
  <si>
    <t>世茂股份</t>
  </si>
  <si>
    <t>www.lixinger.com/analytics/company/sh/600823/600823/detail</t>
  </si>
  <si>
    <t>益民集团</t>
  </si>
  <si>
    <t>www.lixinger.com/analytics/company/sh/600824/600824/detail</t>
  </si>
  <si>
    <t>新华传媒</t>
  </si>
  <si>
    <t>www.lixinger.com/analytics/company/sh/600825/600825/detail</t>
  </si>
  <si>
    <t>兰生股份</t>
  </si>
  <si>
    <t>会展服务</t>
  </si>
  <si>
    <t>www.lixinger.com/analytics/company/sh/600826/600826/detail</t>
  </si>
  <si>
    <t>www.lixinger.com/analytics/company/sh/600827/600827/detail</t>
  </si>
  <si>
    <t>茂业商业</t>
  </si>
  <si>
    <t>www.lixinger.com/analytics/company/sh/600828/600828/detail</t>
  </si>
  <si>
    <t>人民同泰</t>
  </si>
  <si>
    <t>www.lixinger.com/analytics/company/sh/600829/600829/detail</t>
  </si>
  <si>
    <t>香溢融通</t>
  </si>
  <si>
    <t>www.lixinger.com/analytics/company/sh/600830/600830/detail</t>
  </si>
  <si>
    <t>广电网络</t>
  </si>
  <si>
    <t>www.lixinger.com/analytics/company/sh/600831/600831/detail</t>
  </si>
  <si>
    <t>www.lixinger.com/analytics/company/sh/600832/600832/detail</t>
  </si>
  <si>
    <t>第一医药</t>
  </si>
  <si>
    <t>线下药店</t>
  </si>
  <si>
    <t>www.lixinger.com/analytics/company/sh/600833/600833/detail</t>
  </si>
  <si>
    <t>申通地铁</t>
  </si>
  <si>
    <t>www.lixinger.com/analytics/company/sh/600834/600834/detail</t>
  </si>
  <si>
    <t>上海机电</t>
  </si>
  <si>
    <t>楼宇设备</t>
  </si>
  <si>
    <t>www.lixinger.com/analytics/company/sh/600835/600835/detail</t>
  </si>
  <si>
    <t>上海易连</t>
  </si>
  <si>
    <t>印刷</t>
  </si>
  <si>
    <t>www.lixinger.com/analytics/company/sh/600836/600836/detail</t>
  </si>
  <si>
    <t>海通证券</t>
  </si>
  <si>
    <t>www.lixinger.com/analytics/company/sh/600837/600837/detail</t>
  </si>
  <si>
    <t>上海九百</t>
  </si>
  <si>
    <t>www.lixinger.com/analytics/company/sh/600838/600838/detail</t>
  </si>
  <si>
    <t>四川长虹</t>
  </si>
  <si>
    <t>www.lixinger.com/analytics/company/sh/600839/600839/detail</t>
  </si>
  <si>
    <t>动力新科</t>
  </si>
  <si>
    <t>www.lixinger.com/analytics/company/sh/600841/600841/detail</t>
  </si>
  <si>
    <t>上工申贝</t>
  </si>
  <si>
    <t>www.lixinger.com/analytics/company/sh/600843/600843/detail</t>
  </si>
  <si>
    <t>丹化科技</t>
  </si>
  <si>
    <t>www.lixinger.com/analytics/company/sh/600844/600844/detail</t>
  </si>
  <si>
    <t>宝信软件</t>
  </si>
  <si>
    <t>www.lixinger.com/analytics/company/sh/600845/600845/detail</t>
  </si>
  <si>
    <t>同济科技</t>
  </si>
  <si>
    <t>www.lixinger.com/analytics/company/sh/600846/600846/detail</t>
  </si>
  <si>
    <t>万里股份</t>
  </si>
  <si>
    <t>www.lixinger.com/analytics/company/sh/600847/600847/detail</t>
  </si>
  <si>
    <t>上海临港</t>
  </si>
  <si>
    <t>www.lixinger.com/analytics/company/sh/600848/600848/detail</t>
  </si>
  <si>
    <t>上海医药</t>
  </si>
  <si>
    <t>www.lixinger.com/analytics/company/sh/600849/600849/detail</t>
  </si>
  <si>
    <t>电科数字</t>
  </si>
  <si>
    <t>www.lixinger.com/analytics/company/sh/600850/600850/detail</t>
  </si>
  <si>
    <t>海欣股份</t>
  </si>
  <si>
    <t>www.lixinger.com/analytics/company/sh/600851/600851/detail</t>
  </si>
  <si>
    <t>*ST中川</t>
  </si>
  <si>
    <t>www.lixinger.com/analytics/company/sh/600852/600852/detail</t>
  </si>
  <si>
    <t>龙建股份</t>
  </si>
  <si>
    <t>www.lixinger.com/analytics/company/sh/600853/600853/detail</t>
  </si>
  <si>
    <t>春兰股份</t>
  </si>
  <si>
    <t>空调</t>
  </si>
  <si>
    <t>www.lixinger.com/analytics/company/sh/600854/600854/detail</t>
  </si>
  <si>
    <t>航天长峰</t>
  </si>
  <si>
    <t>www.lixinger.com/analytics/company/sh/600855/600855/detail</t>
  </si>
  <si>
    <t>*ST中天</t>
  </si>
  <si>
    <t>www.lixinger.com/analytics/company/sh/600856/600856/detail</t>
  </si>
  <si>
    <t>宁波中百</t>
  </si>
  <si>
    <t>www.lixinger.com/analytics/company/sh/600857/600857/detail</t>
  </si>
  <si>
    <t>银座股份</t>
  </si>
  <si>
    <t>www.lixinger.com/analytics/company/sh/600858/600858/detail</t>
  </si>
  <si>
    <t>王府井</t>
  </si>
  <si>
    <t>www.lixinger.com/analytics/company/sh/600859/600859/detail</t>
  </si>
  <si>
    <t>京城股份</t>
  </si>
  <si>
    <t>www.lixinger.com/analytics/company/sh/600860/600860/detail</t>
  </si>
  <si>
    <t>北京城乡</t>
  </si>
  <si>
    <t>www.lixinger.com/analytics/company/sh/600861/600861/detail</t>
  </si>
  <si>
    <t>中航高科</t>
  </si>
  <si>
    <t>www.lixinger.com/analytics/company/sh/600862/600862/detail</t>
  </si>
  <si>
    <t>内蒙华电</t>
  </si>
  <si>
    <t>www.lixinger.com/analytics/company/sh/600863/600863/detail</t>
  </si>
  <si>
    <t>哈投股份</t>
  </si>
  <si>
    <t>www.lixinger.com/analytics/company/sh/600864/600864/detail</t>
  </si>
  <si>
    <t>百大集团</t>
  </si>
  <si>
    <t>www.lixinger.com/analytics/company/sh/600865/600865/detail</t>
  </si>
  <si>
    <t>星湖科技</t>
  </si>
  <si>
    <t>www.lixinger.com/analytics/company/sh/600866/600866/detail</t>
  </si>
  <si>
    <t>通化东宝</t>
  </si>
  <si>
    <t>www.lixinger.com/analytics/company/sh/600867/600867/detail</t>
  </si>
  <si>
    <t>梅雁吉祥</t>
  </si>
  <si>
    <t>www.lixinger.com/analytics/company/sh/600868/600868/detail</t>
  </si>
  <si>
    <t>远东股份</t>
  </si>
  <si>
    <t>www.lixinger.com/analytics/company/sh/600869/600869/detail</t>
  </si>
  <si>
    <t>*ST厦华</t>
  </si>
  <si>
    <t>www.lixinger.com/analytics/company/sh/600870/600870/detail</t>
  </si>
  <si>
    <t>石化油服</t>
  </si>
  <si>
    <t>油田服务</t>
  </si>
  <si>
    <t>www.lixinger.com/analytics/company/sh/600871/600871/detail</t>
  </si>
  <si>
    <t>中炬高新</t>
  </si>
  <si>
    <t>www.lixinger.com/analytics/company/sh/600872/600872/detail</t>
  </si>
  <si>
    <t>梅花生物</t>
  </si>
  <si>
    <t>www.lixinger.com/analytics/company/sh/600873/600873/detail</t>
  </si>
  <si>
    <t>创业环保</t>
  </si>
  <si>
    <t>www.lixinger.com/analytics/company/sh/600874/600874/detail</t>
  </si>
  <si>
    <t>东方电气</t>
  </si>
  <si>
    <t>www.lixinger.com/analytics/company/sh/600875/600875/detail</t>
  </si>
  <si>
    <t>洛阳玻璃</t>
  </si>
  <si>
    <t>www.lixinger.com/analytics/company/sh/600876/600876/detail</t>
  </si>
  <si>
    <t>声光电科</t>
  </si>
  <si>
    <t>www.lixinger.com/analytics/company/sh/600877/600877/detail</t>
  </si>
  <si>
    <t>*ST北科</t>
  </si>
  <si>
    <t>www.lixinger.com/analytics/company/sh/600878/600878/detail</t>
  </si>
  <si>
    <t>航天电子</t>
  </si>
  <si>
    <t>www.lixinger.com/analytics/company/sh/600879/600879/detail</t>
  </si>
  <si>
    <t>博瑞传播</t>
  </si>
  <si>
    <t>学历教育</t>
  </si>
  <si>
    <t>www.lixinger.com/analytics/company/sh/600880/600880/detail</t>
  </si>
  <si>
    <t>亚泰集团</t>
  </si>
  <si>
    <t>www.lixinger.com/analytics/company/sh/600881/600881/detail</t>
  </si>
  <si>
    <t>妙可蓝多</t>
  </si>
  <si>
    <t>www.lixinger.com/analytics/company/sh/600882/600882/detail</t>
  </si>
  <si>
    <t>博闻科技</t>
  </si>
  <si>
    <t>www.lixinger.com/analytics/company/sh/600883/600883/detail</t>
  </si>
  <si>
    <t>杉杉股份</t>
  </si>
  <si>
    <t>电池化学品</t>
  </si>
  <si>
    <t>www.lixinger.com/analytics/company/sh/600884/600884/detail</t>
  </si>
  <si>
    <t>宏发股份</t>
  </si>
  <si>
    <t>www.lixinger.com/analytics/company/sh/600885/600885/detail</t>
  </si>
  <si>
    <t>国投电力</t>
  </si>
  <si>
    <t>www.lixinger.com/analytics/company/sh/600886/600886/detail</t>
  </si>
  <si>
    <t>伊利股份</t>
  </si>
  <si>
    <t>www.lixinger.com/analytics/company/sh/600887/600887/detail</t>
  </si>
  <si>
    <t>新疆众和</t>
  </si>
  <si>
    <t>www.lixinger.com/analytics/company/sh/600888/600888/detail</t>
  </si>
  <si>
    <t>南京化纤</t>
  </si>
  <si>
    <t>www.lixinger.com/analytics/company/sh/600889/600889/detail</t>
  </si>
  <si>
    <t>*ST中房</t>
  </si>
  <si>
    <t>www.lixinger.com/analytics/company/sh/600890/600890/detail</t>
  </si>
  <si>
    <t>退市秋林</t>
  </si>
  <si>
    <t>www.lixinger.com/analytics/company/sh/600891/600891/detail</t>
  </si>
  <si>
    <t>大晟文化</t>
  </si>
  <si>
    <t>www.lixinger.com/analytics/company/sh/600892/600892/detail</t>
  </si>
  <si>
    <t>航发动力</t>
  </si>
  <si>
    <t>www.lixinger.com/analytics/company/sh/600893/600893/detail</t>
  </si>
  <si>
    <t>广日股份</t>
  </si>
  <si>
    <t>www.lixinger.com/analytics/company/sh/600894/600894/detail</t>
  </si>
  <si>
    <t>张江高科</t>
  </si>
  <si>
    <t>www.lixinger.com/analytics/company/sh/600895/600895/detail</t>
  </si>
  <si>
    <t>*ST海医</t>
  </si>
  <si>
    <t>www.lixinger.com/analytics/company/sh/600896/600896/detail</t>
  </si>
  <si>
    <t>厦门空港</t>
  </si>
  <si>
    <t>www.lixinger.com/analytics/company/sh/600897/600897/detail</t>
  </si>
  <si>
    <t>国美通讯</t>
  </si>
  <si>
    <t>www.lixinger.com/analytics/company/sh/600898/600898/detail</t>
  </si>
  <si>
    <t>长江电力</t>
  </si>
  <si>
    <t>www.lixinger.com/analytics/company/sh/600900/600900/detail</t>
  </si>
  <si>
    <t>江苏租赁</t>
  </si>
  <si>
    <t>www.lixinger.com/analytics/company/sh/600901/600901/detail</t>
  </si>
  <si>
    <t>贵州燃气</t>
  </si>
  <si>
    <t>www.lixinger.com/analytics/company/sh/600903/600903/detail</t>
  </si>
  <si>
    <t>三峡能源</t>
  </si>
  <si>
    <t>www.lixinger.com/analytics/company/sh/600905/600905/detail</t>
  </si>
  <si>
    <t>财达证券</t>
  </si>
  <si>
    <t>www.lixinger.com/analytics/company/sh/600906/600906/detail</t>
  </si>
  <si>
    <t>无锡银行</t>
  </si>
  <si>
    <t>农商行</t>
  </si>
  <si>
    <t>www.lixinger.com/analytics/company/sh/600908/600908/detail</t>
  </si>
  <si>
    <t>华安证券</t>
  </si>
  <si>
    <t>www.lixinger.com/analytics/company/sh/600909/600909/detail</t>
  </si>
  <si>
    <t>中国黄金</t>
  </si>
  <si>
    <t>www.lixinger.com/analytics/company/sh/600916/600916/detail</t>
  </si>
  <si>
    <t>重庆燃气</t>
  </si>
  <si>
    <t>www.lixinger.com/analytics/company/sh/600917/600917/detail</t>
  </si>
  <si>
    <t>中泰证券</t>
  </si>
  <si>
    <t>www.lixinger.com/analytics/company/sh/600918/600918/detail</t>
  </si>
  <si>
    <t>江苏银行</t>
  </si>
  <si>
    <t>城商行</t>
  </si>
  <si>
    <t>www.lixinger.com/analytics/company/sh/600919/600919/detail</t>
  </si>
  <si>
    <t>杭州银行</t>
  </si>
  <si>
    <t>www.lixinger.com/analytics/company/sh/600926/600926/detail</t>
  </si>
  <si>
    <t>永安期货</t>
  </si>
  <si>
    <t>期货</t>
  </si>
  <si>
    <t>www.lixinger.com/analytics/company/sh/600927/600927/detail</t>
  </si>
  <si>
    <t>西安银行</t>
  </si>
  <si>
    <t>www.lixinger.com/analytics/company/sh/600928/600928/detail</t>
  </si>
  <si>
    <t>雪天盐业</t>
  </si>
  <si>
    <t>www.lixinger.com/analytics/company/sh/600929/600929/detail</t>
  </si>
  <si>
    <t>爱柯迪</t>
  </si>
  <si>
    <t>www.lixinger.com/analytics/company/sh/600933/600933/detail</t>
  </si>
  <si>
    <t>华塑股份</t>
  </si>
  <si>
    <t>www.lixinger.com/analytics/company/sh/600935/600935/detail</t>
  </si>
  <si>
    <t>广西广电</t>
  </si>
  <si>
    <t>www.lixinger.com/analytics/company/sh/600936/600936/detail</t>
  </si>
  <si>
    <t>中国海油</t>
  </si>
  <si>
    <t>www.lixinger.com/analytics/company/sh/600938/600938/detail</t>
  </si>
  <si>
    <t>重庆建工</t>
  </si>
  <si>
    <t>www.lixinger.com/analytics/company/sh/600939/600939/detail</t>
  </si>
  <si>
    <t>中国移动</t>
  </si>
  <si>
    <t>www.lixinger.com/analytics/company/sh/600941/600941/detail</t>
  </si>
  <si>
    <t>维远股份</t>
  </si>
  <si>
    <t>www.lixinger.com/analytics/company/sh/600955/600955/detail</t>
  </si>
  <si>
    <t>新天绿能</t>
  </si>
  <si>
    <t>www.lixinger.com/analytics/company/sh/600956/600956/detail</t>
  </si>
  <si>
    <t>东方证券</t>
  </si>
  <si>
    <t>www.lixinger.com/analytics/company/sh/600958/600958/detail</t>
  </si>
  <si>
    <t>江苏有线</t>
  </si>
  <si>
    <t>www.lixinger.com/analytics/company/sh/600959/600959/detail</t>
  </si>
  <si>
    <t>渤海汽车</t>
  </si>
  <si>
    <t>www.lixinger.com/analytics/company/sh/600960/600960/detail</t>
  </si>
  <si>
    <t>株冶集团</t>
  </si>
  <si>
    <t>www.lixinger.com/analytics/company/sh/600961/600961/detail</t>
  </si>
  <si>
    <t>国投中鲁</t>
  </si>
  <si>
    <t>www.lixinger.com/analytics/company/sh/600962/600962/detail</t>
  </si>
  <si>
    <t>岳阳林纸</t>
  </si>
  <si>
    <t>www.lixinger.com/analytics/company/sh/600963/600963/detail</t>
  </si>
  <si>
    <t>福成股份</t>
  </si>
  <si>
    <t>其他养殖</t>
  </si>
  <si>
    <t>www.lixinger.com/analytics/company/sh/600965/600965/detail</t>
  </si>
  <si>
    <t>博汇纸业</t>
  </si>
  <si>
    <t>www.lixinger.com/analytics/company/sh/600966/600966/detail</t>
  </si>
  <si>
    <t>内蒙一机</t>
  </si>
  <si>
    <t>www.lixinger.com/analytics/company/sh/600967/600967/detail</t>
  </si>
  <si>
    <t>海油发展</t>
  </si>
  <si>
    <t>www.lixinger.com/analytics/company/sh/600968/600968/detail</t>
  </si>
  <si>
    <t>郴电国际</t>
  </si>
  <si>
    <t>www.lixinger.com/analytics/company/sh/600969/600969/detail</t>
  </si>
  <si>
    <t>中材国际</t>
  </si>
  <si>
    <t>国际工程</t>
  </si>
  <si>
    <t>www.lixinger.com/analytics/company/sh/600970/600970/detail</t>
  </si>
  <si>
    <t>恒源煤电</t>
  </si>
  <si>
    <t>www.lixinger.com/analytics/company/sh/600971/600971/detail</t>
  </si>
  <si>
    <t>宝胜股份</t>
  </si>
  <si>
    <t>www.lixinger.com/analytics/company/sh/600973/600973/detail</t>
  </si>
  <si>
    <t>新五丰</t>
  </si>
  <si>
    <t>生猪养殖</t>
  </si>
  <si>
    <t>www.lixinger.com/analytics/company/sh/600975/600975/detail</t>
  </si>
  <si>
    <t>健民集团</t>
  </si>
  <si>
    <t>www.lixinger.com/analytics/company/sh/600976/600976/detail</t>
  </si>
  <si>
    <t>中国电影</t>
  </si>
  <si>
    <t>www.lixinger.com/analytics/company/sh/600977/600977/detail</t>
  </si>
  <si>
    <t>*ST宜生</t>
  </si>
  <si>
    <t>www.lixinger.com/analytics/company/sh/600978/600978/detail</t>
  </si>
  <si>
    <t>广安爱众</t>
  </si>
  <si>
    <t>www.lixinger.com/analytics/company/sh/600979/600979/detail</t>
  </si>
  <si>
    <t>北矿科技</t>
  </si>
  <si>
    <t>www.lixinger.com/analytics/company/sh/600980/600980/detail</t>
  </si>
  <si>
    <t>汇鸿集团</t>
  </si>
  <si>
    <t>www.lixinger.com/analytics/company/sh/600981/600981/detail</t>
  </si>
  <si>
    <t>宁波能源</t>
  </si>
  <si>
    <t>www.lixinger.com/analytics/company/sh/600982/600982/detail</t>
  </si>
  <si>
    <t>惠而浦</t>
  </si>
  <si>
    <t>www.lixinger.com/analytics/company/sh/600983/600983/detail</t>
  </si>
  <si>
    <t>建设机械</t>
  </si>
  <si>
    <t>www.lixinger.com/analytics/company/sh/600984/600984/detail</t>
  </si>
  <si>
    <t>淮北矿业</t>
  </si>
  <si>
    <t>www.lixinger.com/analytics/company/sh/600985/600985/detail</t>
  </si>
  <si>
    <t>浙文互联</t>
  </si>
  <si>
    <t>www.lixinger.com/analytics/company/sh/600986/600986/detail</t>
  </si>
  <si>
    <t>航民股份</t>
  </si>
  <si>
    <t>www.lixinger.com/analytics/company/sh/600987/600987/detail</t>
  </si>
  <si>
    <t>赤峰黄金</t>
  </si>
  <si>
    <t>www.lixinger.com/analytics/company/sh/600988/600988/detail</t>
  </si>
  <si>
    <t>宝丰能源</t>
  </si>
  <si>
    <t>www.lixinger.com/analytics/company/sh/600989/600989/detail</t>
  </si>
  <si>
    <t>四创电子</t>
  </si>
  <si>
    <t>www.lixinger.com/analytics/company/sh/600990/600990/detail</t>
  </si>
  <si>
    <t>贵绳股份</t>
  </si>
  <si>
    <t>www.lixinger.com/analytics/company/sh/600992/600992/detail</t>
  </si>
  <si>
    <t>马应龙</t>
  </si>
  <si>
    <t>www.lixinger.com/analytics/company/sh/600993/600993/detail</t>
  </si>
  <si>
    <t>文山电力</t>
  </si>
  <si>
    <t>www.lixinger.com/analytics/company/sh/600995/600995/detail</t>
  </si>
  <si>
    <t>贵广网络</t>
  </si>
  <si>
    <t>www.lixinger.com/analytics/company/sh/600996/600996/detail</t>
  </si>
  <si>
    <t>开滦股份</t>
  </si>
  <si>
    <t>www.lixinger.com/analytics/company/sh/600997/600997/detail</t>
  </si>
  <si>
    <t>九州通</t>
  </si>
  <si>
    <t>www.lixinger.com/analytics/company/sh/600998/600998/detail</t>
  </si>
  <si>
    <t>招商证券</t>
  </si>
  <si>
    <t>www.lixinger.com/analytics/company/sh/600999/600999/detail</t>
  </si>
  <si>
    <t>唐山港</t>
  </si>
  <si>
    <t>www.lixinger.com/analytics/company/sh/601000/601000/detail</t>
  </si>
  <si>
    <t>晋控煤业</t>
  </si>
  <si>
    <t>www.lixinger.com/analytics/company/sh/601001/601001/detail</t>
  </si>
  <si>
    <t>晋亿实业</t>
  </si>
  <si>
    <t>www.lixinger.com/analytics/company/sh/601002/601002/detail</t>
  </si>
  <si>
    <t>柳钢股份</t>
  </si>
  <si>
    <t>www.lixinger.com/analytics/company/sh/601003/601003/detail</t>
  </si>
  <si>
    <t>重庆钢铁</t>
  </si>
  <si>
    <t>www.lixinger.com/analytics/company/sh/601005/601005/detail</t>
  </si>
  <si>
    <t>大秦铁路</t>
  </si>
  <si>
    <t>www.lixinger.com/analytics/company/sh/601006/601006/detail</t>
  </si>
  <si>
    <t>金陵饭店</t>
  </si>
  <si>
    <t>www.lixinger.com/analytics/company/sh/601007/601007/detail</t>
  </si>
  <si>
    <t>连云港</t>
  </si>
  <si>
    <t>www.lixinger.com/analytics/company/sh/601008/601008/detail</t>
  </si>
  <si>
    <t>南京银行</t>
  </si>
  <si>
    <t>www.lixinger.com/analytics/company/sh/601009/601009/detail</t>
  </si>
  <si>
    <t>文峰股份</t>
  </si>
  <si>
    <t>www.lixinger.com/analytics/company/sh/601010/601010/detail</t>
  </si>
  <si>
    <t>宝泰隆</t>
  </si>
  <si>
    <t>www.lixinger.com/analytics/company/sh/601011/601011/detail</t>
  </si>
  <si>
    <t>隆基股份</t>
  </si>
  <si>
    <t>www.lixinger.com/analytics/company/sh/601012/601012/detail</t>
  </si>
  <si>
    <t>陕西黑猫</t>
  </si>
  <si>
    <t>www.lixinger.com/analytics/company/sh/601015/601015/detail</t>
  </si>
  <si>
    <t>节能风电</t>
  </si>
  <si>
    <t>www.lixinger.com/analytics/company/sh/601016/601016/detail</t>
  </si>
  <si>
    <t>宁波港</t>
  </si>
  <si>
    <t>www.lixinger.com/analytics/company/sh/601018/601018/detail</t>
  </si>
  <si>
    <t>山东出版</t>
  </si>
  <si>
    <t>www.lixinger.com/analytics/company/sh/601019/601019/detail</t>
  </si>
  <si>
    <t>ST华钰</t>
  </si>
  <si>
    <t>www.lixinger.com/analytics/company/sh/601020/601020/detail</t>
  </si>
  <si>
    <t>春秋航空</t>
  </si>
  <si>
    <t>www.lixinger.com/analytics/company/sh/601021/601021/detail</t>
  </si>
  <si>
    <t>玉龙股份</t>
  </si>
  <si>
    <t>www.lixinger.com/analytics/company/sh/601028/601028/detail</t>
  </si>
  <si>
    <t>一拖股份</t>
  </si>
  <si>
    <t>农用机械</t>
  </si>
  <si>
    <t>www.lixinger.com/analytics/company/sh/601038/601038/detail</t>
  </si>
  <si>
    <t>赛轮轮胎</t>
  </si>
  <si>
    <t>www.lixinger.com/analytics/company/sh/601058/601058/detail</t>
  </si>
  <si>
    <t>中信建投</t>
  </si>
  <si>
    <t>www.lixinger.com/analytics/company/sh/601066/601066/detail</t>
  </si>
  <si>
    <t>中铝国际</t>
  </si>
  <si>
    <t>其他专业工程</t>
  </si>
  <si>
    <t>www.lixinger.com/analytics/company/sh/601068/601068/detail</t>
  </si>
  <si>
    <t>西部黄金</t>
  </si>
  <si>
    <t>www.lixinger.com/analytics/company/sh/601069/601069/detail</t>
  </si>
  <si>
    <t>渝农商行</t>
  </si>
  <si>
    <t>www.lixinger.com/analytics/company/sh/601077/601077/detail</t>
  </si>
  <si>
    <t>国芳集团</t>
  </si>
  <si>
    <t>www.lixinger.com/analytics/company/sh/601086/601086/detail</t>
  </si>
  <si>
    <t>中国神华</t>
  </si>
  <si>
    <t>www.lixinger.com/analytics/company/sh/601088/601088/detail</t>
  </si>
  <si>
    <t>中南传媒</t>
  </si>
  <si>
    <t>www.lixinger.com/analytics/company/sh/601098/601098/detail</t>
  </si>
  <si>
    <t>太平洋</t>
  </si>
  <si>
    <t>www.lixinger.com/analytics/company/sh/601099/601099/detail</t>
  </si>
  <si>
    <t>恒立液压</t>
  </si>
  <si>
    <t>工程机械器件</t>
  </si>
  <si>
    <t>www.lixinger.com/analytics/company/sh/601100/601100/detail</t>
  </si>
  <si>
    <t>昊华能源</t>
  </si>
  <si>
    <t>www.lixinger.com/analytics/company/sh/601101/601101/detail</t>
  </si>
  <si>
    <t>中国一重</t>
  </si>
  <si>
    <t>www.lixinger.com/analytics/company/sh/601106/601106/detail</t>
  </si>
  <si>
    <t>四川成渝</t>
  </si>
  <si>
    <t>www.lixinger.com/analytics/company/sh/601107/601107/detail</t>
  </si>
  <si>
    <t>财通证券</t>
  </si>
  <si>
    <t>www.lixinger.com/analytics/company/sh/601108/601108/detail</t>
  </si>
  <si>
    <t>中国国航</t>
  </si>
  <si>
    <t>www.lixinger.com/analytics/company/sh/601111/601111/detail</t>
  </si>
  <si>
    <t>ST华鼎</t>
  </si>
  <si>
    <t>跨境电商</t>
  </si>
  <si>
    <t>www.lixinger.com/analytics/company/sh/601113/601113/detail</t>
  </si>
  <si>
    <t>三江购物</t>
  </si>
  <si>
    <t>www.lixinger.com/analytics/company/sh/601116/601116/detail</t>
  </si>
  <si>
    <t>中国化学</t>
  </si>
  <si>
    <t>化学工程</t>
  </si>
  <si>
    <t>www.lixinger.com/analytics/company/sh/601117/601117/detail</t>
  </si>
  <si>
    <t>海南橡胶</t>
  </si>
  <si>
    <t>www.lixinger.com/analytics/company/sh/601118/601118/detail</t>
  </si>
  <si>
    <t>四方股份</t>
  </si>
  <si>
    <t>www.lixinger.com/analytics/company/sh/601126/601126/detail</t>
  </si>
  <si>
    <t>小康股份</t>
  </si>
  <si>
    <t>www.lixinger.com/analytics/company/sh/601127/601127/detail</t>
  </si>
  <si>
    <t>常熟银行</t>
  </si>
  <si>
    <t>www.lixinger.com/analytics/company/sh/601128/601128/detail</t>
  </si>
  <si>
    <t>博威合金</t>
  </si>
  <si>
    <t>www.lixinger.com/analytics/company/sh/601137/601137/detail</t>
  </si>
  <si>
    <t>工业富联</t>
  </si>
  <si>
    <t>www.lixinger.com/analytics/company/sh/601138/601138/detail</t>
  </si>
  <si>
    <t>深圳燃气</t>
  </si>
  <si>
    <t>www.lixinger.com/analytics/company/sh/601139/601139/detail</t>
  </si>
  <si>
    <t>新城控股</t>
  </si>
  <si>
    <t>www.lixinger.com/analytics/company/sh/601155/601155/detail</t>
  </si>
  <si>
    <t>东航物流</t>
  </si>
  <si>
    <t>www.lixinger.com/analytics/company/sh/601156/601156/detail</t>
  </si>
  <si>
    <t>重庆水务</t>
  </si>
  <si>
    <t>www.lixinger.com/analytics/company/sh/601158/601158/detail</t>
  </si>
  <si>
    <t>天风证券</t>
  </si>
  <si>
    <t>www.lixinger.com/analytics/company/sh/601162/601162/detail</t>
  </si>
  <si>
    <t>三角轮胎</t>
  </si>
  <si>
    <t>www.lixinger.com/analytics/company/sh/601163/601163/detail</t>
  </si>
  <si>
    <t>兴业银行</t>
  </si>
  <si>
    <t>www.lixinger.com/analytics/company/sh/601166/601166/detail</t>
  </si>
  <si>
    <t>西部矿业</t>
  </si>
  <si>
    <t>www.lixinger.com/analytics/company/sh/601168/601168/detail</t>
  </si>
  <si>
    <t>北京银行</t>
  </si>
  <si>
    <t>www.lixinger.com/analytics/company/sh/601169/601169/detail</t>
  </si>
  <si>
    <t>杭齿前进</t>
  </si>
  <si>
    <t>www.lixinger.com/analytics/company/sh/601177/601177/detail</t>
  </si>
  <si>
    <t>中国西电</t>
  </si>
  <si>
    <t>www.lixinger.com/analytics/company/sh/601179/601179/detail</t>
  </si>
  <si>
    <t>中国铁建</t>
  </si>
  <si>
    <t>www.lixinger.com/analytics/company/sh/601186/601186/detail</t>
  </si>
  <si>
    <t>厦门银行</t>
  </si>
  <si>
    <t>www.lixinger.com/analytics/company/sh/601187/601187/detail</t>
  </si>
  <si>
    <t>龙江交通</t>
  </si>
  <si>
    <t>www.lixinger.com/analytics/company/sh/601188/601188/detail</t>
  </si>
  <si>
    <t>东兴证券</t>
  </si>
  <si>
    <t>www.lixinger.com/analytics/company/sh/601198/601198/detail</t>
  </si>
  <si>
    <t>江南水务</t>
  </si>
  <si>
    <t>www.lixinger.com/analytics/company/sh/601199/601199/detail</t>
  </si>
  <si>
    <t>上海环境</t>
  </si>
  <si>
    <t>www.lixinger.com/analytics/company/sh/601200/601200/detail</t>
  </si>
  <si>
    <t>海尔施</t>
  </si>
  <si>
    <t>医疗器械</t>
  </si>
  <si>
    <t>www.lixinger.com/analytics/company/sh/601206/601206/detail</t>
  </si>
  <si>
    <t>东材科技</t>
  </si>
  <si>
    <t>www.lixinger.com/analytics/company/sh/601208/601208/detail</t>
  </si>
  <si>
    <t>国泰君安</t>
  </si>
  <si>
    <t>www.lixinger.com/analytics/company/sh/601211/601211/detail</t>
  </si>
  <si>
    <t>白银有色</t>
  </si>
  <si>
    <t>白银</t>
  </si>
  <si>
    <t>www.lixinger.com/analytics/company/sh/601212/601212/detail</t>
  </si>
  <si>
    <t>君正集团</t>
  </si>
  <si>
    <t>www.lixinger.com/analytics/company/sh/601216/601216/detail</t>
  </si>
  <si>
    <t>吉鑫科技</t>
  </si>
  <si>
    <t>www.lixinger.com/analytics/company/sh/601218/601218/detail</t>
  </si>
  <si>
    <t>林洋能源</t>
  </si>
  <si>
    <t>www.lixinger.com/analytics/company/sh/601222/601222/detail</t>
  </si>
  <si>
    <t>陕西煤业</t>
  </si>
  <si>
    <t>www.lixinger.com/analytics/company/sh/601225/601225/detail</t>
  </si>
  <si>
    <t>华电重工</t>
  </si>
  <si>
    <t>www.lixinger.com/analytics/company/sh/601226/601226/detail</t>
  </si>
  <si>
    <t>广州港</t>
  </si>
  <si>
    <t>www.lixinger.com/analytics/company/sh/601228/601228/detail</t>
  </si>
  <si>
    <t>上海银行</t>
  </si>
  <si>
    <t>www.lixinger.com/analytics/company/sh/601229/601229/detail</t>
  </si>
  <si>
    <t>环旭电子</t>
  </si>
  <si>
    <t>www.lixinger.com/analytics/company/sh/601231/601231/detail</t>
  </si>
  <si>
    <t>桐昆股份</t>
  </si>
  <si>
    <t>www.lixinger.com/analytics/company/sh/601233/601233/detail</t>
  </si>
  <si>
    <t>红塔证券</t>
  </si>
  <si>
    <t>www.lixinger.com/analytics/company/sh/601236/601236/detail</t>
  </si>
  <si>
    <t>广汽集团</t>
  </si>
  <si>
    <t>www.lixinger.com/analytics/company/sh/601238/601238/detail</t>
  </si>
  <si>
    <t>庞大集团</t>
  </si>
  <si>
    <t>www.lixinger.com/analytics/company/sh/601258/601258/detail</t>
  </si>
  <si>
    <t>*ST二重</t>
  </si>
  <si>
    <t>www.lixinger.com/analytics/company/sh/601268/601268/detail</t>
  </si>
  <si>
    <t>英利汽车</t>
  </si>
  <si>
    <t>www.lixinger.com/analytics/company/sh/601279/601279/detail</t>
  </si>
  <si>
    <t>农业银行</t>
  </si>
  <si>
    <t>国有大型银行</t>
  </si>
  <si>
    <t>www.lixinger.com/analytics/company/sh/601288/601288/detail</t>
  </si>
  <si>
    <t>青岛港</t>
  </si>
  <si>
    <t>www.lixinger.com/analytics/company/sh/601298/601298/detail</t>
  </si>
  <si>
    <t>中国北车</t>
  </si>
  <si>
    <t>www.lixinger.com/analytics/company/sh/601299/601299/detail</t>
  </si>
  <si>
    <t>骆驼股份</t>
  </si>
  <si>
    <t>www.lixinger.com/analytics/company/sh/601311/601311/detail</t>
  </si>
  <si>
    <t>江南嘉捷</t>
  </si>
  <si>
    <t>www.lixinger.com/analytics/company/sh/601313/601313/detail</t>
  </si>
  <si>
    <t>中国平安</t>
  </si>
  <si>
    <t>www.lixinger.com/analytics/company/sh/601318/601318/detail</t>
  </si>
  <si>
    <t>中国人保</t>
  </si>
  <si>
    <t>www.lixinger.com/analytics/company/sh/601319/601319/detail</t>
  </si>
  <si>
    <t>秦港股份</t>
  </si>
  <si>
    <t>www.lixinger.com/analytics/company/sh/601326/601326/detail</t>
  </si>
  <si>
    <t>交通银行</t>
  </si>
  <si>
    <t>www.lixinger.com/analytics/company/sh/601328/601328/detail</t>
  </si>
  <si>
    <t>绿色动力</t>
  </si>
  <si>
    <t>www.lixinger.com/analytics/company/sh/601330/601330/detail</t>
  </si>
  <si>
    <t>广深铁路</t>
  </si>
  <si>
    <t>www.lixinger.com/analytics/company/sh/601333/601333/detail</t>
  </si>
  <si>
    <t>新华保险</t>
  </si>
  <si>
    <t>www.lixinger.com/analytics/company/sh/601336/601336/detail</t>
  </si>
  <si>
    <t>百隆东方</t>
  </si>
  <si>
    <t>www.lixinger.com/analytics/company/sh/601339/601339/detail</t>
  </si>
  <si>
    <t>三六零</t>
  </si>
  <si>
    <t>www.lixinger.com/analytics/company/sh/601360/601360/detail</t>
  </si>
  <si>
    <t>利群股份</t>
  </si>
  <si>
    <t>www.lixinger.com/analytics/company/sh/601366/601366/detail</t>
  </si>
  <si>
    <t>绿城水务</t>
  </si>
  <si>
    <t>www.lixinger.com/analytics/company/sh/601368/601368/detail</t>
  </si>
  <si>
    <t>陕鼓动力</t>
  </si>
  <si>
    <t>www.lixinger.com/analytics/company/sh/601369/601369/detail</t>
  </si>
  <si>
    <t>中原证券</t>
  </si>
  <si>
    <t>www.lixinger.com/analytics/company/sh/601375/601375/detail</t>
  </si>
  <si>
    <t>兴业证券</t>
  </si>
  <si>
    <t>www.lixinger.com/analytics/company/sh/601377/601377/detail</t>
  </si>
  <si>
    <t>怡球资源</t>
  </si>
  <si>
    <t>www.lixinger.com/analytics/company/sh/601388/601388/detail</t>
  </si>
  <si>
    <t>中国中铁</t>
  </si>
  <si>
    <t>www.lixinger.com/analytics/company/sh/601390/601390/detail</t>
  </si>
  <si>
    <t>工商银行</t>
  </si>
  <si>
    <t>www.lixinger.com/analytics/company/sh/601398/601398/detail</t>
  </si>
  <si>
    <t>国机重装</t>
  </si>
  <si>
    <t>www.lixinger.com/analytics/company/sh/601399/601399/detail</t>
  </si>
  <si>
    <t>国联证券</t>
  </si>
  <si>
    <t>www.lixinger.com/analytics/company/sh/601456/601456/detail</t>
  </si>
  <si>
    <t>通用股份</t>
  </si>
  <si>
    <t>www.lixinger.com/analytics/company/sh/601500/601500/detail</t>
  </si>
  <si>
    <t>中新集团</t>
  </si>
  <si>
    <t>www.lixinger.com/analytics/company/sh/601512/601512/detail</t>
  </si>
  <si>
    <t>东风股份</t>
  </si>
  <si>
    <t>纸包装</t>
  </si>
  <si>
    <t>www.lixinger.com/analytics/company/sh/601515/601515/detail</t>
  </si>
  <si>
    <t>吉林高速</t>
  </si>
  <si>
    <t>www.lixinger.com/analytics/company/sh/601518/601518/detail</t>
  </si>
  <si>
    <t>大智慧</t>
  </si>
  <si>
    <t>www.lixinger.com/analytics/company/sh/601519/601519/detail</t>
  </si>
  <si>
    <t>瑞丰银行</t>
  </si>
  <si>
    <t>www.lixinger.com/analytics/company/sh/601528/601528/detail</t>
  </si>
  <si>
    <t>东吴证券</t>
  </si>
  <si>
    <t>www.lixinger.com/analytics/company/sh/601555/601555/detail</t>
  </si>
  <si>
    <t>退市锐电</t>
  </si>
  <si>
    <t>www.lixinger.com/analytics/company/sh/601558/601558/detail</t>
  </si>
  <si>
    <t>九牧王</t>
  </si>
  <si>
    <t>www.lixinger.com/analytics/company/sh/601566/601566/detail</t>
  </si>
  <si>
    <t>三星医疗</t>
  </si>
  <si>
    <t>电工仪器仪表</t>
  </si>
  <si>
    <t>www.lixinger.com/analytics/company/sh/601567/601567/detail</t>
  </si>
  <si>
    <t>北元集团</t>
  </si>
  <si>
    <t>www.lixinger.com/analytics/company/sh/601568/601568/detail</t>
  </si>
  <si>
    <t>长沙银行</t>
  </si>
  <si>
    <t>www.lixinger.com/analytics/company/sh/601577/601577/detail</t>
  </si>
  <si>
    <t>会稽山</t>
  </si>
  <si>
    <t>www.lixinger.com/analytics/company/sh/601579/601579/detail</t>
  </si>
  <si>
    <t>北辰实业</t>
  </si>
  <si>
    <t>www.lixinger.com/analytics/company/sh/601588/601588/detail</t>
  </si>
  <si>
    <t>上海电影</t>
  </si>
  <si>
    <t>www.lixinger.com/analytics/company/sh/601595/601595/detail</t>
  </si>
  <si>
    <t>中国外运</t>
  </si>
  <si>
    <t>www.lixinger.com/analytics/company/sh/601598/601598/detail</t>
  </si>
  <si>
    <t>浙文影业</t>
  </si>
  <si>
    <t>www.lixinger.com/analytics/company/sh/601599/601599/detail</t>
  </si>
  <si>
    <t>中国铝业</t>
  </si>
  <si>
    <t>www.lixinger.com/analytics/company/sh/601600/601600/detail</t>
  </si>
  <si>
    <t>中国太保</t>
  </si>
  <si>
    <t>www.lixinger.com/analytics/company/sh/601601/601601/detail</t>
  </si>
  <si>
    <t>长城军工</t>
  </si>
  <si>
    <t>www.lixinger.com/analytics/company/sh/601606/601606/detail</t>
  </si>
  <si>
    <t>www.lixinger.com/analytics/company/sh/601607/601607/detail</t>
  </si>
  <si>
    <t>中信重工</t>
  </si>
  <si>
    <t>www.lixinger.com/analytics/company/sh/601608/601608/detail</t>
  </si>
  <si>
    <t>金田铜业</t>
  </si>
  <si>
    <t>www.lixinger.com/analytics/company/sh/601609/601609/detail</t>
  </si>
  <si>
    <t>中国核建</t>
  </si>
  <si>
    <t>www.lixinger.com/analytics/company/sh/601611/601611/detail</t>
  </si>
  <si>
    <t>明阳智能</t>
  </si>
  <si>
    <t>www.lixinger.com/analytics/company/sh/601615/601615/detail</t>
  </si>
  <si>
    <t>广电电气</t>
  </si>
  <si>
    <t>www.lixinger.com/analytics/company/sh/601616/601616/detail</t>
  </si>
  <si>
    <t>中国中冶</t>
  </si>
  <si>
    <t>www.lixinger.com/analytics/company/sh/601618/601618/detail</t>
  </si>
  <si>
    <t>嘉泽新能</t>
  </si>
  <si>
    <t>www.lixinger.com/analytics/company/sh/601619/601619/detail</t>
  </si>
  <si>
    <t>中国人寿</t>
  </si>
  <si>
    <t>www.lixinger.com/analytics/company/sh/601628/601628/detail</t>
  </si>
  <si>
    <t>长城汽车</t>
  </si>
  <si>
    <t>www.lixinger.com/analytics/company/sh/601633/601633/detail</t>
  </si>
  <si>
    <t>旗滨集团</t>
  </si>
  <si>
    <t>www.lixinger.com/analytics/company/sh/601636/601636/detail</t>
  </si>
  <si>
    <t>邮储银行</t>
  </si>
  <si>
    <t>www.lixinger.com/analytics/company/sh/601658/601658/detail</t>
  </si>
  <si>
    <t>齐鲁银行</t>
  </si>
  <si>
    <t>www.lixinger.com/analytics/company/sh/601665/601665/detail</t>
  </si>
  <si>
    <t>平煤股份</t>
  </si>
  <si>
    <t>www.lixinger.com/analytics/company/sh/601666/601666/detail</t>
  </si>
  <si>
    <t>中国建筑</t>
  </si>
  <si>
    <t>www.lixinger.com/analytics/company/sh/601668/601668/detail</t>
  </si>
  <si>
    <t>中国电建</t>
  </si>
  <si>
    <t>www.lixinger.com/analytics/company/sh/601669/601669/detail</t>
  </si>
  <si>
    <t>明泰铝业</t>
  </si>
  <si>
    <t>www.lixinger.com/analytics/company/sh/601677/601677/detail</t>
  </si>
  <si>
    <t>滨化股份</t>
  </si>
  <si>
    <t>www.lixinger.com/analytics/company/sh/601678/601678/detail</t>
  </si>
  <si>
    <t>友发集团</t>
  </si>
  <si>
    <t>钢铁管材</t>
  </si>
  <si>
    <t>www.lixinger.com/analytics/company/sh/601686/601686/detail</t>
  </si>
  <si>
    <t>华泰证券</t>
  </si>
  <si>
    <t>www.lixinger.com/analytics/company/sh/601688/601688/detail</t>
  </si>
  <si>
    <t>拓普集团</t>
  </si>
  <si>
    <t>www.lixinger.com/analytics/company/sh/601689/601689/detail</t>
  </si>
  <si>
    <t>中银证券</t>
  </si>
  <si>
    <t>www.lixinger.com/analytics/company/sh/601696/601696/detail</t>
  </si>
  <si>
    <t>中国卫通</t>
  </si>
  <si>
    <t>www.lixinger.com/analytics/company/sh/601698/601698/detail</t>
  </si>
  <si>
    <t>潞安环能</t>
  </si>
  <si>
    <t>www.lixinger.com/analytics/company/sh/601699/601699/detail</t>
  </si>
  <si>
    <t>风范股份</t>
  </si>
  <si>
    <t>www.lixinger.com/analytics/company/sh/601700/601700/detail</t>
  </si>
  <si>
    <t>华峰铝业</t>
  </si>
  <si>
    <t>www.lixinger.com/analytics/company/sh/601702/601702/detail</t>
  </si>
  <si>
    <t>郑煤机</t>
  </si>
  <si>
    <t>www.lixinger.com/analytics/company/sh/601717/601717/detail</t>
  </si>
  <si>
    <t>际华集团</t>
  </si>
  <si>
    <t>www.lixinger.com/analytics/company/sh/601718/601718/detail</t>
  </si>
  <si>
    <t>上海电气</t>
  </si>
  <si>
    <t>www.lixinger.com/analytics/company/sh/601727/601727/detail</t>
  </si>
  <si>
    <t>中国电信</t>
  </si>
  <si>
    <t>www.lixinger.com/analytics/company/sh/601728/601728/detail</t>
  </si>
  <si>
    <t>中国中车</t>
  </si>
  <si>
    <t>www.lixinger.com/analytics/company/sh/601766/601766/detail</t>
  </si>
  <si>
    <t>力帆科技</t>
  </si>
  <si>
    <t>www.lixinger.com/analytics/company/sh/601777/601777/detail</t>
  </si>
  <si>
    <t>晶科科技</t>
  </si>
  <si>
    <t>www.lixinger.com/analytics/company/sh/601778/601778/detail</t>
  </si>
  <si>
    <t>光大证券</t>
  </si>
  <si>
    <t>www.lixinger.com/analytics/company/sh/601788/601788/detail</t>
  </si>
  <si>
    <t>宁波建工</t>
  </si>
  <si>
    <t>www.lixinger.com/analytics/company/sh/601789/601789/detail</t>
  </si>
  <si>
    <t>蓝科高新</t>
  </si>
  <si>
    <t>www.lixinger.com/analytics/company/sh/601798/601798/detail</t>
  </si>
  <si>
    <t>星宇股份</t>
  </si>
  <si>
    <t>www.lixinger.com/analytics/company/sh/601799/601799/detail</t>
  </si>
  <si>
    <t>中国交建</t>
  </si>
  <si>
    <t>www.lixinger.com/analytics/company/sh/601800/601800/detail</t>
  </si>
  <si>
    <t>皖新传媒</t>
  </si>
  <si>
    <t>www.lixinger.com/analytics/company/sh/601801/601801/detail</t>
  </si>
  <si>
    <t>中海油服</t>
  </si>
  <si>
    <t>www.lixinger.com/analytics/company/sh/601808/601808/detail</t>
  </si>
  <si>
    <t>新华文轩</t>
  </si>
  <si>
    <t>www.lixinger.com/analytics/company/sh/601811/601811/detail</t>
  </si>
  <si>
    <t>京沪高铁</t>
  </si>
  <si>
    <t>www.lixinger.com/analytics/company/sh/601816/601816/detail</t>
  </si>
  <si>
    <t>光大银行</t>
  </si>
  <si>
    <t>www.lixinger.com/analytics/company/sh/601818/601818/detail</t>
  </si>
  <si>
    <t>沪农商行</t>
  </si>
  <si>
    <t>www.lixinger.com/analytics/company/sh/601825/601825/detail</t>
  </si>
  <si>
    <t>三峰环境</t>
  </si>
  <si>
    <t>www.lixinger.com/analytics/company/sh/601827/601827/detail</t>
  </si>
  <si>
    <t>美凯龙</t>
  </si>
  <si>
    <t>www.lixinger.com/analytics/company/sh/601828/601828/detail</t>
  </si>
  <si>
    <t>成都银行</t>
  </si>
  <si>
    <t>www.lixinger.com/analytics/company/sh/601838/601838/detail</t>
  </si>
  <si>
    <t>中国石油</t>
  </si>
  <si>
    <t>www.lixinger.com/analytics/company/sh/601857/601857/detail</t>
  </si>
  <si>
    <t>中国科传</t>
  </si>
  <si>
    <t>www.lixinger.com/analytics/company/sh/601858/601858/detail</t>
  </si>
  <si>
    <t>紫金银行</t>
  </si>
  <si>
    <t>www.lixinger.com/analytics/company/sh/601860/601860/detail</t>
  </si>
  <si>
    <t>福莱特</t>
  </si>
  <si>
    <t>www.lixinger.com/analytics/company/sh/601865/601865/detail</t>
  </si>
  <si>
    <t>中远海发</t>
  </si>
  <si>
    <t>www.lixinger.com/analytics/company/sh/601866/601866/detail</t>
  </si>
  <si>
    <t>中国能建</t>
  </si>
  <si>
    <t>www.lixinger.com/analytics/company/sh/601868/601868/detail</t>
  </si>
  <si>
    <t>长飞光纤</t>
  </si>
  <si>
    <t>www.lixinger.com/analytics/company/sh/601869/601869/detail</t>
  </si>
  <si>
    <t>招商轮船</t>
  </si>
  <si>
    <t>www.lixinger.com/analytics/company/sh/601872/601872/detail</t>
  </si>
  <si>
    <t>正泰电器</t>
  </si>
  <si>
    <t>www.lixinger.com/analytics/company/sh/601877/601877/detail</t>
  </si>
  <si>
    <t>浙商证券</t>
  </si>
  <si>
    <t>www.lixinger.com/analytics/company/sh/601878/601878/detail</t>
  </si>
  <si>
    <t>辽港股份</t>
  </si>
  <si>
    <t>www.lixinger.com/analytics/company/sh/601880/601880/detail</t>
  </si>
  <si>
    <t>中国银河</t>
  </si>
  <si>
    <t>www.lixinger.com/analytics/company/sh/601881/601881/detail</t>
  </si>
  <si>
    <t>海天精工</t>
  </si>
  <si>
    <t>机床工具</t>
  </si>
  <si>
    <t>www.lixinger.com/analytics/company/sh/601882/601882/detail</t>
  </si>
  <si>
    <t>江河集团</t>
  </si>
  <si>
    <t>www.lixinger.com/analytics/company/sh/601886/601886/detail</t>
  </si>
  <si>
    <t>中国中免</t>
  </si>
  <si>
    <t>旅游零售</t>
  </si>
  <si>
    <t>www.lixinger.com/analytics/company/sh/601888/601888/detail</t>
  </si>
  <si>
    <t>亚星锚链</t>
  </si>
  <si>
    <t>www.lixinger.com/analytics/company/sh/601890/601890/detail</t>
  </si>
  <si>
    <t>中煤能源</t>
  </si>
  <si>
    <t>www.lixinger.com/analytics/company/sh/601898/601898/detail</t>
  </si>
  <si>
    <t>紫金矿业</t>
  </si>
  <si>
    <t>www.lixinger.com/analytics/company/sh/601899/601899/detail</t>
  </si>
  <si>
    <t>南方传媒</t>
  </si>
  <si>
    <t>www.lixinger.com/analytics/company/sh/601900/601900/detail</t>
  </si>
  <si>
    <t>方正证券</t>
  </si>
  <si>
    <t>www.lixinger.com/analytics/company/sh/601901/601901/detail</t>
  </si>
  <si>
    <t>京运通</t>
  </si>
  <si>
    <t>www.lixinger.com/analytics/company/sh/601908/601908/detail</t>
  </si>
  <si>
    <t>浙商银行</t>
  </si>
  <si>
    <t>www.lixinger.com/analytics/company/sh/601916/601916/detail</t>
  </si>
  <si>
    <t>新集能源</t>
  </si>
  <si>
    <t>www.lixinger.com/analytics/company/sh/601918/601918/detail</t>
  </si>
  <si>
    <t>中远海控</t>
  </si>
  <si>
    <t>www.lixinger.com/analytics/company/sh/601919/601919/detail</t>
  </si>
  <si>
    <t>浙版传媒</t>
  </si>
  <si>
    <t>www.lixinger.com/analytics/company/sh/601921/601921/detail</t>
  </si>
  <si>
    <t>凤凰传媒</t>
  </si>
  <si>
    <t>www.lixinger.com/analytics/company/sh/601928/601928/detail</t>
  </si>
  <si>
    <t>吉视传媒</t>
  </si>
  <si>
    <t>www.lixinger.com/analytics/company/sh/601929/601929/detail</t>
  </si>
  <si>
    <t>永辉超市</t>
  </si>
  <si>
    <t>www.lixinger.com/analytics/company/sh/601933/601933/detail</t>
  </si>
  <si>
    <t>建设银行</t>
  </si>
  <si>
    <t>www.lixinger.com/analytics/company/sh/601939/601939/detail</t>
  </si>
  <si>
    <t>中国出版</t>
  </si>
  <si>
    <t>www.lixinger.com/analytics/company/sh/601949/601949/detail</t>
  </si>
  <si>
    <t>苏垦农发</t>
  </si>
  <si>
    <t>www.lixinger.com/analytics/company/sh/601952/601952/detail</t>
  </si>
  <si>
    <t>东贝集团</t>
  </si>
  <si>
    <t>www.lixinger.com/analytics/company/sh/601956/601956/detail</t>
  </si>
  <si>
    <t>金钼股份</t>
  </si>
  <si>
    <t>钼</t>
  </si>
  <si>
    <t>www.lixinger.com/analytics/company/sh/601958/601958/detail</t>
  </si>
  <si>
    <t>重庆银行</t>
  </si>
  <si>
    <t>www.lixinger.com/analytics/company/sh/601963/601963/detail</t>
  </si>
  <si>
    <t>中国汽研</t>
  </si>
  <si>
    <t>汽车综合服务</t>
  </si>
  <si>
    <t>www.lixinger.com/analytics/company/sh/601965/601965/detail</t>
  </si>
  <si>
    <t>玲珑轮胎</t>
  </si>
  <si>
    <t>www.lixinger.com/analytics/company/sh/601966/601966/detail</t>
  </si>
  <si>
    <t>宝钢包装</t>
  </si>
  <si>
    <t>金属包装</t>
  </si>
  <si>
    <t>www.lixinger.com/analytics/company/sh/601968/601968/detail</t>
  </si>
  <si>
    <t>海南矿业</t>
  </si>
  <si>
    <t>铁矿石</t>
  </si>
  <si>
    <t>www.lixinger.com/analytics/company/sh/601969/601969/detail</t>
  </si>
  <si>
    <t>招商南油</t>
  </si>
  <si>
    <t>www.lixinger.com/analytics/company/sh/601975/601975/detail</t>
  </si>
  <si>
    <t>中国核电</t>
  </si>
  <si>
    <t>核力发电</t>
  </si>
  <si>
    <t>www.lixinger.com/analytics/company/sh/601985/601985/detail</t>
  </si>
  <si>
    <t>中国银行</t>
  </si>
  <si>
    <t>www.lixinger.com/analytics/company/sh/601988/601988/detail</t>
  </si>
  <si>
    <t>中国重工</t>
  </si>
  <si>
    <t>www.lixinger.com/analytics/company/sh/601989/601989/detail</t>
  </si>
  <si>
    <t>南京证券</t>
  </si>
  <si>
    <t>www.lixinger.com/analytics/company/sh/601990/601990/detail</t>
  </si>
  <si>
    <t>大唐发电</t>
  </si>
  <si>
    <t>www.lixinger.com/analytics/company/sh/601991/601991/detail</t>
  </si>
  <si>
    <t>金隅集团</t>
  </si>
  <si>
    <t>www.lixinger.com/analytics/company/sh/601992/601992/detail</t>
  </si>
  <si>
    <t>中金公司</t>
  </si>
  <si>
    <t>www.lixinger.com/analytics/company/sh/601995/601995/detail</t>
  </si>
  <si>
    <t>丰林集团</t>
  </si>
  <si>
    <t>www.lixinger.com/analytics/company/sh/601996/601996/detail</t>
  </si>
  <si>
    <t>贵阳银行</t>
  </si>
  <si>
    <t>www.lixinger.com/analytics/company/sh/601997/601997/detail</t>
  </si>
  <si>
    <t>中信银行</t>
  </si>
  <si>
    <t>www.lixinger.com/analytics/company/sh/601998/601998/detail</t>
  </si>
  <si>
    <t>出版传媒</t>
  </si>
  <si>
    <t>www.lixinger.com/analytics/company/sh/601999/601999/detail</t>
  </si>
  <si>
    <t>人民网</t>
  </si>
  <si>
    <t>www.lixinger.com/analytics/company/sh/603000/603000/detail</t>
  </si>
  <si>
    <t>奥康国际</t>
  </si>
  <si>
    <t>www.lixinger.com/analytics/company/sh/603001/603001/detail</t>
  </si>
  <si>
    <t>宏昌电子</t>
  </si>
  <si>
    <t>电子化学品</t>
  </si>
  <si>
    <t>www.lixinger.com/analytics/company/sh/603002/603002/detail</t>
  </si>
  <si>
    <t>龙宇燃油</t>
  </si>
  <si>
    <t>www.lixinger.com/analytics/company/sh/603003/603003/detail</t>
  </si>
  <si>
    <t>晶方科技</t>
  </si>
  <si>
    <t>www.lixinger.com/analytics/company/sh/603005/603005/detail</t>
  </si>
  <si>
    <t>联明股份</t>
  </si>
  <si>
    <t>www.lixinger.com/analytics/company/sh/603006/603006/detail</t>
  </si>
  <si>
    <t>ST花王</t>
  </si>
  <si>
    <t>园林工程</t>
  </si>
  <si>
    <t>www.lixinger.com/analytics/company/sh/603007/603007/detail</t>
  </si>
  <si>
    <t>喜临门</t>
  </si>
  <si>
    <t>www.lixinger.com/analytics/company/sh/603008/603008/detail</t>
  </si>
  <si>
    <t>北特科技</t>
  </si>
  <si>
    <t>www.lixinger.com/analytics/company/sh/603009/603009/detail</t>
  </si>
  <si>
    <t>万盛股份</t>
  </si>
  <si>
    <t>www.lixinger.com/analytics/company/sh/603010/603010/detail</t>
  </si>
  <si>
    <t>合锻智能</t>
  </si>
  <si>
    <t>www.lixinger.com/analytics/company/sh/603011/603011/detail</t>
  </si>
  <si>
    <t>创力集团</t>
  </si>
  <si>
    <t>www.lixinger.com/analytics/company/sh/603012/603012/detail</t>
  </si>
  <si>
    <t>亚普股份</t>
  </si>
  <si>
    <t>www.lixinger.com/analytics/company/sh/603013/603013/detail</t>
  </si>
  <si>
    <t>弘讯科技</t>
  </si>
  <si>
    <t>工控设备</t>
  </si>
  <si>
    <t>www.lixinger.com/analytics/company/sh/603015/603015/detail</t>
  </si>
  <si>
    <t>新宏泰</t>
  </si>
  <si>
    <t>www.lixinger.com/analytics/company/sh/603016/603016/detail</t>
  </si>
  <si>
    <t>中衡设计</t>
  </si>
  <si>
    <t>www.lixinger.com/analytics/company/sh/603017/603017/detail</t>
  </si>
  <si>
    <t>华设集团</t>
  </si>
  <si>
    <t>www.lixinger.com/analytics/company/sh/603018/603018/detail</t>
  </si>
  <si>
    <t>中科曙光</t>
  </si>
  <si>
    <t>www.lixinger.com/analytics/company/sh/603019/603019/detail</t>
  </si>
  <si>
    <t>爱普股份</t>
  </si>
  <si>
    <t>www.lixinger.com/analytics/company/sh/603020/603020/detail</t>
  </si>
  <si>
    <t>山东华鹏</t>
  </si>
  <si>
    <t>其他家居用品</t>
  </si>
  <si>
    <t>www.lixinger.com/analytics/company/sh/603021/603021/detail</t>
  </si>
  <si>
    <t>新通联</t>
  </si>
  <si>
    <t>综合包装</t>
  </si>
  <si>
    <t>www.lixinger.com/analytics/company/sh/603022/603022/detail</t>
  </si>
  <si>
    <t>威帝股份</t>
  </si>
  <si>
    <t>www.lixinger.com/analytics/company/sh/603023/603023/detail</t>
  </si>
  <si>
    <t>大豪科技</t>
  </si>
  <si>
    <t>www.lixinger.com/analytics/company/sh/603025/603025/detail</t>
  </si>
  <si>
    <t>石大胜华</t>
  </si>
  <si>
    <t>www.lixinger.com/analytics/company/sh/603026/603026/detail</t>
  </si>
  <si>
    <t>千禾味业</t>
  </si>
  <si>
    <t>www.lixinger.com/analytics/company/sh/603027/603027/detail</t>
  </si>
  <si>
    <t>赛福天</t>
  </si>
  <si>
    <t>www.lixinger.com/analytics/company/sh/603028/603028/detail</t>
  </si>
  <si>
    <t>天鹅股份</t>
  </si>
  <si>
    <t>www.lixinger.com/analytics/company/sh/603029/603029/detail</t>
  </si>
  <si>
    <t>全筑股份</t>
  </si>
  <si>
    <t>www.lixinger.com/analytics/company/sh/603030/603030/detail</t>
  </si>
  <si>
    <t>安德利</t>
  </si>
  <si>
    <t>www.lixinger.com/analytics/company/sh/603031/603031/detail</t>
  </si>
  <si>
    <t>*ST德新</t>
  </si>
  <si>
    <t>www.lixinger.com/analytics/company/sh/603032/603032/detail</t>
  </si>
  <si>
    <t>三维股份</t>
  </si>
  <si>
    <t>其他橡胶制品</t>
  </si>
  <si>
    <t>www.lixinger.com/analytics/company/sh/603033/603033/detail</t>
  </si>
  <si>
    <t>常熟汽饰</t>
  </si>
  <si>
    <t>www.lixinger.com/analytics/company/sh/603035/603035/detail</t>
  </si>
  <si>
    <t>如通股份</t>
  </si>
  <si>
    <t>www.lixinger.com/analytics/company/sh/603036/603036/detail</t>
  </si>
  <si>
    <t>凯众股份</t>
  </si>
  <si>
    <t>www.lixinger.com/analytics/company/sh/603037/603037/detail</t>
  </si>
  <si>
    <t>华立股份</t>
  </si>
  <si>
    <t>www.lixinger.com/analytics/company/sh/603038/603038/detail</t>
  </si>
  <si>
    <t>泛微网络</t>
  </si>
  <si>
    <t>www.lixinger.com/analytics/company/sh/603039/603039/detail</t>
  </si>
  <si>
    <t>新坐标</t>
  </si>
  <si>
    <t>www.lixinger.com/analytics/company/sh/603040/603040/detail</t>
  </si>
  <si>
    <t>美思德</t>
  </si>
  <si>
    <t>www.lixinger.com/analytics/company/sh/603041/603041/detail</t>
  </si>
  <si>
    <t>华脉科技</t>
  </si>
  <si>
    <t>www.lixinger.com/analytics/company/sh/603042/603042/detail</t>
  </si>
  <si>
    <t>广州酒家</t>
  </si>
  <si>
    <t>烘焙食品</t>
  </si>
  <si>
    <t>www.lixinger.com/analytics/company/sh/603043/603043/detail</t>
  </si>
  <si>
    <t>福达合金</t>
  </si>
  <si>
    <t>www.lixinger.com/analytics/company/sh/603045/603045/detail</t>
  </si>
  <si>
    <t>浙江黎明</t>
  </si>
  <si>
    <t>www.lixinger.com/analytics/company/sh/603048/603048/detail</t>
  </si>
  <si>
    <t>科林电气</t>
  </si>
  <si>
    <t>www.lixinger.com/analytics/company/sh/603050/603050/detail</t>
  </si>
  <si>
    <t>鹿山新材</t>
  </si>
  <si>
    <t>www.lixinger.com/analytics/company/sh/603051/603051/detail</t>
  </si>
  <si>
    <t>成都燃气</t>
  </si>
  <si>
    <t>www.lixinger.com/analytics/company/sh/603053/603053/detail</t>
  </si>
  <si>
    <t>台华新材</t>
  </si>
  <si>
    <t>www.lixinger.com/analytics/company/sh/603055/603055/detail</t>
  </si>
  <si>
    <t>德邦股份</t>
  </si>
  <si>
    <t>公路货运</t>
  </si>
  <si>
    <t>www.lixinger.com/analytics/company/sh/603056/603056/detail</t>
  </si>
  <si>
    <t>永吉股份</t>
  </si>
  <si>
    <t>www.lixinger.com/analytics/company/sh/603058/603058/detail</t>
  </si>
  <si>
    <t>倍加洁</t>
  </si>
  <si>
    <t>www.lixinger.com/analytics/company/sh/603059/603059/detail</t>
  </si>
  <si>
    <t>国检集团</t>
  </si>
  <si>
    <t>检测服务</t>
  </si>
  <si>
    <t>www.lixinger.com/analytics/company/sh/603060/603060/detail</t>
  </si>
  <si>
    <t>禾望电气</t>
  </si>
  <si>
    <t>www.lixinger.com/analytics/company/sh/603063/603063/detail</t>
  </si>
  <si>
    <t>音飞储存</t>
  </si>
  <si>
    <t>www.lixinger.com/analytics/company/sh/603066/603066/detail</t>
  </si>
  <si>
    <t>振华股份</t>
  </si>
  <si>
    <t>www.lixinger.com/analytics/company/sh/603067/603067/detail</t>
  </si>
  <si>
    <t>博通集成</t>
  </si>
  <si>
    <t>www.lixinger.com/analytics/company/sh/603068/603068/detail</t>
  </si>
  <si>
    <t>海汽集团</t>
  </si>
  <si>
    <t>www.lixinger.com/analytics/company/sh/603069/603069/detail</t>
  </si>
  <si>
    <t>万控智造</t>
  </si>
  <si>
    <t>www.lixinger.com/analytics/company/sh/603070/603070/detail</t>
  </si>
  <si>
    <t>物产环能</t>
  </si>
  <si>
    <t>www.lixinger.com/analytics/company/sh/603071/603071/detail</t>
  </si>
  <si>
    <t>乐惠国际</t>
  </si>
  <si>
    <t>www.lixinger.com/analytics/company/sh/603076/603076/detail</t>
  </si>
  <si>
    <t>和邦生物</t>
  </si>
  <si>
    <t>纯碱</t>
  </si>
  <si>
    <t>www.lixinger.com/analytics/company/sh/603077/603077/detail</t>
  </si>
  <si>
    <t>江化微</t>
  </si>
  <si>
    <t>www.lixinger.com/analytics/company/sh/603078/603078/detail</t>
  </si>
  <si>
    <t>圣达生物</t>
  </si>
  <si>
    <t>www.lixinger.com/analytics/company/sh/603079/603079/detail</t>
  </si>
  <si>
    <t>新疆火炬</t>
  </si>
  <si>
    <t>www.lixinger.com/analytics/company/sh/603080/603080/detail</t>
  </si>
  <si>
    <t>大丰实业</t>
  </si>
  <si>
    <t>www.lixinger.com/analytics/company/sh/603081/603081/detail</t>
  </si>
  <si>
    <t>剑桥科技</t>
  </si>
  <si>
    <t>www.lixinger.com/analytics/company/sh/603083/603083/detail</t>
  </si>
  <si>
    <t>天成自控</t>
  </si>
  <si>
    <t>www.lixinger.com/analytics/company/sh/603085/603085/detail</t>
  </si>
  <si>
    <t>先达股份</t>
  </si>
  <si>
    <t>www.lixinger.com/analytics/company/sh/603086/603086/detail</t>
  </si>
  <si>
    <t>甘李药业</t>
  </si>
  <si>
    <t>www.lixinger.com/analytics/company/sh/603087/603087/detail</t>
  </si>
  <si>
    <t>宁波精达</t>
  </si>
  <si>
    <t>www.lixinger.com/analytics/company/sh/603088/603088/detail</t>
  </si>
  <si>
    <t>正裕工业</t>
  </si>
  <si>
    <t>www.lixinger.com/analytics/company/sh/603089/603089/detail</t>
  </si>
  <si>
    <t>宏盛股份</t>
  </si>
  <si>
    <t>www.lixinger.com/analytics/company/sh/603090/603090/detail</t>
  </si>
  <si>
    <t>南华期货</t>
  </si>
  <si>
    <t>www.lixinger.com/analytics/company/sh/603093/603093/detail</t>
  </si>
  <si>
    <t>越剑智能</t>
  </si>
  <si>
    <t>www.lixinger.com/analytics/company/sh/603095/603095/detail</t>
  </si>
  <si>
    <t>新经典</t>
  </si>
  <si>
    <t>www.lixinger.com/analytics/company/sh/603096/603096/detail</t>
  </si>
  <si>
    <t>江苏华辰</t>
  </si>
  <si>
    <t>www.lixinger.com/analytics/company/sh/603097/603097/detail</t>
  </si>
  <si>
    <t>森特股份</t>
  </si>
  <si>
    <t>www.lixinger.com/analytics/company/sh/603098/603098/detail</t>
  </si>
  <si>
    <t>长白山</t>
  </si>
  <si>
    <t>www.lixinger.com/analytics/company/sh/603099/603099/detail</t>
  </si>
  <si>
    <t>川仪股份</t>
  </si>
  <si>
    <t>仪器仪表</t>
  </si>
  <si>
    <t>www.lixinger.com/analytics/company/sh/603100/603100/detail</t>
  </si>
  <si>
    <t>汇嘉时代</t>
  </si>
  <si>
    <t>www.lixinger.com/analytics/company/sh/603101/603101/detail</t>
  </si>
  <si>
    <t>百合股份</t>
  </si>
  <si>
    <t>www.lixinger.com/analytics/company/sh/603102/603102/detail</t>
  </si>
  <si>
    <t>横店影视</t>
  </si>
  <si>
    <t>院线</t>
  </si>
  <si>
    <t>www.lixinger.com/analytics/company/sh/603103/603103/detail</t>
  </si>
  <si>
    <t>芯能科技</t>
  </si>
  <si>
    <t>www.lixinger.com/analytics/company/sh/603105/603105/detail</t>
  </si>
  <si>
    <t>恒银科技</t>
  </si>
  <si>
    <t>www.lixinger.com/analytics/company/sh/603106/603106/detail</t>
  </si>
  <si>
    <t>润达医疗</t>
  </si>
  <si>
    <t>诊断服务</t>
  </si>
  <si>
    <t>www.lixinger.com/analytics/company/sh/603108/603108/detail</t>
  </si>
  <si>
    <t>神驰机电</t>
  </si>
  <si>
    <t>www.lixinger.com/analytics/company/sh/603109/603109/detail</t>
  </si>
  <si>
    <t>东方材料</t>
  </si>
  <si>
    <t>涂料油墨</t>
  </si>
  <si>
    <t>www.lixinger.com/analytics/company/sh/603110/603110/detail</t>
  </si>
  <si>
    <t>康尼机电</t>
  </si>
  <si>
    <t>www.lixinger.com/analytics/company/sh/603111/603111/detail</t>
  </si>
  <si>
    <t>华翔股份</t>
  </si>
  <si>
    <t>www.lixinger.com/analytics/company/sh/603112/603112/detail</t>
  </si>
  <si>
    <t>金能科技</t>
  </si>
  <si>
    <t>www.lixinger.com/analytics/company/sh/603113/603113/detail</t>
  </si>
  <si>
    <t>海星股份</t>
  </si>
  <si>
    <t>www.lixinger.com/analytics/company/sh/603115/603115/detail</t>
  </si>
  <si>
    <t>红蜻蜓</t>
  </si>
  <si>
    <t>www.lixinger.com/analytics/company/sh/603116/603116/detail</t>
  </si>
  <si>
    <t>万林物流</t>
  </si>
  <si>
    <t>www.lixinger.com/analytics/company/sh/603117/603117/detail</t>
  </si>
  <si>
    <t>共进股份</t>
  </si>
  <si>
    <t>www.lixinger.com/analytics/company/sh/603118/603118/detail</t>
  </si>
  <si>
    <t>华培动力</t>
  </si>
  <si>
    <t>www.lixinger.com/analytics/company/sh/603121/603121/detail</t>
  </si>
  <si>
    <t>合富中国</t>
  </si>
  <si>
    <t>www.lixinger.com/analytics/company/sh/603122/603122/detail</t>
  </si>
  <si>
    <t>翠微股份</t>
  </si>
  <si>
    <t>www.lixinger.com/analytics/company/sh/603123/603123/detail</t>
  </si>
  <si>
    <t>中材节能</t>
  </si>
  <si>
    <t>www.lixinger.com/analytics/company/sh/603126/603126/detail</t>
  </si>
  <si>
    <t>昭衍新药</t>
  </si>
  <si>
    <t>www.lixinger.com/analytics/company/sh/603127/603127/detail</t>
  </si>
  <si>
    <t>华贸物流</t>
  </si>
  <si>
    <t>www.lixinger.com/analytics/company/sh/603128/603128/detail</t>
  </si>
  <si>
    <t>春风动力</t>
  </si>
  <si>
    <t>www.lixinger.com/analytics/company/sh/603129/603129/detail</t>
  </si>
  <si>
    <t>上海沪工</t>
  </si>
  <si>
    <t>www.lixinger.com/analytics/company/sh/603131/603131/detail</t>
  </si>
  <si>
    <t>金徽股份</t>
  </si>
  <si>
    <t>www.lixinger.com/analytics/company/sh/603132/603132/detail</t>
  </si>
  <si>
    <t>碳元科技</t>
  </si>
  <si>
    <t>www.lixinger.com/analytics/company/sh/603133/603133/detail</t>
  </si>
  <si>
    <t>天目湖</t>
  </si>
  <si>
    <t>www.lixinger.com/analytics/company/sh/603136/603136/detail</t>
  </si>
  <si>
    <t>海量数据</t>
  </si>
  <si>
    <t>www.lixinger.com/analytics/company/sh/603138/603138/detail</t>
  </si>
  <si>
    <t>康惠制药</t>
  </si>
  <si>
    <t>www.lixinger.com/analytics/company/sh/603139/603139/detail</t>
  </si>
  <si>
    <t>万朗磁塑</t>
  </si>
  <si>
    <t>www.lixinger.com/analytics/company/sh/603150/603150/detail</t>
  </si>
  <si>
    <t>新亚强</t>
  </si>
  <si>
    <t>www.lixinger.com/analytics/company/sh/603155/603155/detail</t>
  </si>
  <si>
    <t>养元饮品</t>
  </si>
  <si>
    <t>www.lixinger.com/analytics/company/sh/603156/603156/detail</t>
  </si>
  <si>
    <t>退市拉夏</t>
  </si>
  <si>
    <t>www.lixinger.com/analytics/company/sh/603157/603157/detail</t>
  </si>
  <si>
    <t>腾龙股份</t>
  </si>
  <si>
    <t>www.lixinger.com/analytics/company/sh/603158/603158/detail</t>
  </si>
  <si>
    <t>上海亚虹</t>
  </si>
  <si>
    <t>www.lixinger.com/analytics/company/sh/603159/603159/detail</t>
  </si>
  <si>
    <t>汇顶科技</t>
  </si>
  <si>
    <t>www.lixinger.com/analytics/company/sh/603160/603160/detail</t>
  </si>
  <si>
    <t>科华控股</t>
  </si>
  <si>
    <t>www.lixinger.com/analytics/company/sh/603161/603161/detail</t>
  </si>
  <si>
    <t>荣晟环保</t>
  </si>
  <si>
    <t>www.lixinger.com/analytics/company/sh/603165/603165/detail</t>
  </si>
  <si>
    <t>福达股份</t>
  </si>
  <si>
    <t>www.lixinger.com/analytics/company/sh/603166/603166/detail</t>
  </si>
  <si>
    <t>渤海轮渡</t>
  </si>
  <si>
    <t>www.lixinger.com/analytics/company/sh/603167/603167/detail</t>
  </si>
  <si>
    <t>莎普爱思</t>
  </si>
  <si>
    <t>www.lixinger.com/analytics/company/sh/603168/603168/detail</t>
  </si>
  <si>
    <t>兰石重装</t>
  </si>
  <si>
    <t>www.lixinger.com/analytics/company/sh/603169/603169/detail</t>
  </si>
  <si>
    <t>税友股份</t>
  </si>
  <si>
    <t>www.lixinger.com/analytics/company/sh/603171/603171/detail</t>
  </si>
  <si>
    <t>汇通集团</t>
  </si>
  <si>
    <t>www.lixinger.com/analytics/company/sh/603176/603176/detail</t>
  </si>
  <si>
    <t>德创环保</t>
  </si>
  <si>
    <t>www.lixinger.com/analytics/company/sh/603177/603177/detail</t>
  </si>
  <si>
    <t>圣龙股份</t>
  </si>
  <si>
    <t>www.lixinger.com/analytics/company/sh/603178/603178/detail</t>
  </si>
  <si>
    <t>新泉股份</t>
  </si>
  <si>
    <t>www.lixinger.com/analytics/company/sh/603179/603179/detail</t>
  </si>
  <si>
    <t>金牌厨柜</t>
  </si>
  <si>
    <t>定制家居</t>
  </si>
  <si>
    <t>www.lixinger.com/analytics/company/sh/603180/603180/detail</t>
  </si>
  <si>
    <t>皇马科技</t>
  </si>
  <si>
    <t>www.lixinger.com/analytics/company/sh/603181/603181/detail</t>
  </si>
  <si>
    <t>建研院</t>
  </si>
  <si>
    <t>www.lixinger.com/analytics/company/sh/603183/603183/detail</t>
  </si>
  <si>
    <t>上机数控</t>
  </si>
  <si>
    <t>光伏加工设备</t>
  </si>
  <si>
    <t>www.lixinger.com/analytics/company/sh/603185/603185/detail</t>
  </si>
  <si>
    <t>华正新材</t>
  </si>
  <si>
    <t>www.lixinger.com/analytics/company/sh/603186/603186/detail</t>
  </si>
  <si>
    <t>海容冷链</t>
  </si>
  <si>
    <t>www.lixinger.com/analytics/company/sh/603187/603187/detail</t>
  </si>
  <si>
    <t>亚邦股份</t>
  </si>
  <si>
    <t>www.lixinger.com/analytics/company/sh/603188/603188/detail</t>
  </si>
  <si>
    <t>网达软件</t>
  </si>
  <si>
    <t>www.lixinger.com/analytics/company/sh/603189/603189/detail</t>
  </si>
  <si>
    <t>望变电气</t>
  </si>
  <si>
    <t>www.lixinger.com/analytics/company/sh/603191/603191/detail</t>
  </si>
  <si>
    <t>汇得科技</t>
  </si>
  <si>
    <t>www.lixinger.com/analytics/company/sh/603192/603192/detail</t>
  </si>
  <si>
    <t>公牛集团</t>
  </si>
  <si>
    <t>www.lixinger.com/analytics/company/sh/603195/603195/detail</t>
  </si>
  <si>
    <t>日播时尚</t>
  </si>
  <si>
    <t>www.lixinger.com/analytics/company/sh/603196/603196/detail</t>
  </si>
  <si>
    <t>保隆科技</t>
  </si>
  <si>
    <t>www.lixinger.com/analytics/company/sh/603197/603197/detail</t>
  </si>
  <si>
    <t>迎驾贡酒</t>
  </si>
  <si>
    <t>www.lixinger.com/analytics/company/sh/603198/603198/detail</t>
  </si>
  <si>
    <t>九华旅游</t>
  </si>
  <si>
    <t>www.lixinger.com/analytics/company/sh/603199/603199/detail</t>
  </si>
  <si>
    <t>上海洗霸</t>
  </si>
  <si>
    <t>www.lixinger.com/analytics/company/sh/603200/603200/detail</t>
  </si>
  <si>
    <t>快克股份</t>
  </si>
  <si>
    <t>www.lixinger.com/analytics/company/sh/603203/603203/detail</t>
  </si>
  <si>
    <t>嘉环科技</t>
  </si>
  <si>
    <t>www.lixinger.com/analytics/company/sh/603206/603206/detail</t>
  </si>
  <si>
    <t>江山欧派</t>
  </si>
  <si>
    <t>www.lixinger.com/analytics/company/sh/603208/603208/detail</t>
  </si>
  <si>
    <t>兴通股份</t>
  </si>
  <si>
    <t>www.lixinger.com/analytics/company/sh/603209/603209/detail</t>
  </si>
  <si>
    <t>赛伍技术</t>
  </si>
  <si>
    <t>www.lixinger.com/analytics/company/sh/603212/603212/detail</t>
  </si>
  <si>
    <t>镇洋发展</t>
  </si>
  <si>
    <t>www.lixinger.com/analytics/company/sh/603213/603213/detail</t>
  </si>
  <si>
    <t>爱婴室</t>
  </si>
  <si>
    <t>www.lixinger.com/analytics/company/sh/603214/603214/detail</t>
  </si>
  <si>
    <t>比依股份</t>
  </si>
  <si>
    <t>www.lixinger.com/analytics/company/sh/603215/603215/detail</t>
  </si>
  <si>
    <t>梦天家居</t>
  </si>
  <si>
    <t>www.lixinger.com/analytics/company/sh/603216/603216/detail</t>
  </si>
  <si>
    <t>元利科技</t>
  </si>
  <si>
    <t>www.lixinger.com/analytics/company/sh/603217/603217/detail</t>
  </si>
  <si>
    <t>日月股份</t>
  </si>
  <si>
    <t>www.lixinger.com/analytics/company/sh/603218/603218/detail</t>
  </si>
  <si>
    <t>富佳股份</t>
  </si>
  <si>
    <t>清洁小家电</t>
  </si>
  <si>
    <t>www.lixinger.com/analytics/company/sh/603219/603219/detail</t>
  </si>
  <si>
    <t>中贝通信</t>
  </si>
  <si>
    <t>www.lixinger.com/analytics/company/sh/603220/603220/detail</t>
  </si>
  <si>
    <t>爱丽家居</t>
  </si>
  <si>
    <t>www.lixinger.com/analytics/company/sh/603221/603221/detail</t>
  </si>
  <si>
    <t>济民医疗</t>
  </si>
  <si>
    <t>www.lixinger.com/analytics/company/sh/603222/603222/detail</t>
  </si>
  <si>
    <t>恒通股份</t>
  </si>
  <si>
    <t>www.lixinger.com/analytics/company/sh/603223/603223/detail</t>
  </si>
  <si>
    <t>新凤鸣</t>
  </si>
  <si>
    <t>涤纶</t>
  </si>
  <si>
    <t>www.lixinger.com/analytics/company/sh/603225/603225/detail</t>
  </si>
  <si>
    <t>菲林格尔</t>
  </si>
  <si>
    <t>www.lixinger.com/analytics/company/sh/603226/603226/detail</t>
  </si>
  <si>
    <t>雪峰科技</t>
  </si>
  <si>
    <t>民爆制品</t>
  </si>
  <si>
    <t>www.lixinger.com/analytics/company/sh/603227/603227/detail</t>
  </si>
  <si>
    <t>景旺电子</t>
  </si>
  <si>
    <t>www.lixinger.com/analytics/company/sh/603228/603228/detail</t>
  </si>
  <si>
    <t>奥翔药业</t>
  </si>
  <si>
    <t>www.lixinger.com/analytics/company/sh/603229/603229/detail</t>
  </si>
  <si>
    <t>内蒙新华</t>
  </si>
  <si>
    <t>www.lixinger.com/analytics/company/sh/603230/603230/detail</t>
  </si>
  <si>
    <t>格尔软件</t>
  </si>
  <si>
    <t>www.lixinger.com/analytics/company/sh/603232/603232/detail</t>
  </si>
  <si>
    <t>大参林</t>
  </si>
  <si>
    <t>www.lixinger.com/analytics/company/sh/603233/603233/detail</t>
  </si>
  <si>
    <t>移远通信</t>
  </si>
  <si>
    <t>www.lixinger.com/analytics/company/sh/603236/603236/detail</t>
  </si>
  <si>
    <t>诺邦股份</t>
  </si>
  <si>
    <t>生活用纸</t>
  </si>
  <si>
    <t>www.lixinger.com/analytics/company/sh/603238/603238/detail</t>
  </si>
  <si>
    <t>浙江仙通</t>
  </si>
  <si>
    <t>www.lixinger.com/analytics/company/sh/603239/603239/detail</t>
  </si>
  <si>
    <t>宏和科技</t>
  </si>
  <si>
    <t>www.lixinger.com/analytics/company/sh/603256/603256/detail</t>
  </si>
  <si>
    <t>电魂网络</t>
  </si>
  <si>
    <t>www.lixinger.com/analytics/company/sh/603258/603258/detail</t>
  </si>
  <si>
    <t>药明康德</t>
  </si>
  <si>
    <t>www.lixinger.com/analytics/company/sh/603259/603259/detail</t>
  </si>
  <si>
    <t>合盛硅业</t>
  </si>
  <si>
    <t>非金属材料</t>
  </si>
  <si>
    <t>www.lixinger.com/analytics/company/sh/603260/603260/detail</t>
  </si>
  <si>
    <t>立航科技</t>
  </si>
  <si>
    <t>www.lixinger.com/analytics/company/sh/603261/603261/detail</t>
  </si>
  <si>
    <t>天龙股份</t>
  </si>
  <si>
    <t>www.lixinger.com/analytics/company/sh/603266/603266/detail</t>
  </si>
  <si>
    <t>鸿远电子</t>
  </si>
  <si>
    <t>www.lixinger.com/analytics/company/sh/603267/603267/detail</t>
  </si>
  <si>
    <t>松发股份</t>
  </si>
  <si>
    <t>www.lixinger.com/analytics/company/sh/603268/603268/detail</t>
  </si>
  <si>
    <t>海鸥股份</t>
  </si>
  <si>
    <t>www.lixinger.com/analytics/company/sh/603269/603269/detail</t>
  </si>
  <si>
    <t>联翔股份</t>
  </si>
  <si>
    <t>www.lixinger.com/analytics/company/sh/603272/603272/detail</t>
  </si>
  <si>
    <t>银都股份</t>
  </si>
  <si>
    <t>www.lixinger.com/analytics/company/sh/603277/603277/detail</t>
  </si>
  <si>
    <t>大业股份</t>
  </si>
  <si>
    <t>www.lixinger.com/analytics/company/sh/603278/603278/detail</t>
  </si>
  <si>
    <t>景津装备</t>
  </si>
  <si>
    <t>www.lixinger.com/analytics/company/sh/603279/603279/detail</t>
  </si>
  <si>
    <t>赛腾股份</t>
  </si>
  <si>
    <t>www.lixinger.com/analytics/company/sh/603283/603283/detail</t>
  </si>
  <si>
    <t>日盈电子</t>
  </si>
  <si>
    <t>www.lixinger.com/analytics/company/sh/603286/603286/detail</t>
  </si>
  <si>
    <t>海天味业</t>
  </si>
  <si>
    <t>www.lixinger.com/analytics/company/sh/603288/603288/detail</t>
  </si>
  <si>
    <t>泰瑞机器</t>
  </si>
  <si>
    <t>www.lixinger.com/analytics/company/sh/603289/603289/detail</t>
  </si>
  <si>
    <t>斯达半导</t>
  </si>
  <si>
    <t>www.lixinger.com/analytics/company/sh/603290/603290/detail</t>
  </si>
  <si>
    <t>永新光学</t>
  </si>
  <si>
    <t>www.lixinger.com/analytics/company/sh/603297/603297/detail</t>
  </si>
  <si>
    <t>杭叉集团</t>
  </si>
  <si>
    <t>www.lixinger.com/analytics/company/sh/603298/603298/detail</t>
  </si>
  <si>
    <t>苏盐井神</t>
  </si>
  <si>
    <t>www.lixinger.com/analytics/company/sh/603299/603299/detail</t>
  </si>
  <si>
    <t>华铁应急</t>
  </si>
  <si>
    <t>www.lixinger.com/analytics/company/sh/603300/603300/detail</t>
  </si>
  <si>
    <t>振德医疗</t>
  </si>
  <si>
    <t>www.lixinger.com/analytics/company/sh/603301/603301/detail</t>
  </si>
  <si>
    <t>鑫广绿环</t>
  </si>
  <si>
    <t>www.lixinger.com/analytics/company/sh/603302/603302/detail</t>
  </si>
  <si>
    <t>得邦照明</t>
  </si>
  <si>
    <t>www.lixinger.com/analytics/company/sh/603303/603303/detail</t>
  </si>
  <si>
    <t>旭升股份</t>
  </si>
  <si>
    <t>www.lixinger.com/analytics/company/sh/603305/603305/detail</t>
  </si>
  <si>
    <t>华懋科技</t>
  </si>
  <si>
    <t>www.lixinger.com/analytics/company/sh/603306/603306/detail</t>
  </si>
  <si>
    <t>应流股份</t>
  </si>
  <si>
    <t>www.lixinger.com/analytics/company/sh/603308/603308/detail</t>
  </si>
  <si>
    <t>维力医疗</t>
  </si>
  <si>
    <t>www.lixinger.com/analytics/company/sh/603309/603309/detail</t>
  </si>
  <si>
    <t>金海高科</t>
  </si>
  <si>
    <t>www.lixinger.com/analytics/company/sh/603311/603311/detail</t>
  </si>
  <si>
    <t>梦百合</t>
  </si>
  <si>
    <t>www.lixinger.com/analytics/company/sh/603313/603313/detail</t>
  </si>
  <si>
    <t>福鞍股份</t>
  </si>
  <si>
    <t>www.lixinger.com/analytics/company/sh/603315/603315/detail</t>
  </si>
  <si>
    <t>诚邦股份</t>
  </si>
  <si>
    <t>www.lixinger.com/analytics/company/sh/603316/603316/detail</t>
  </si>
  <si>
    <t>天味食品</t>
  </si>
  <si>
    <t>www.lixinger.com/analytics/company/sh/603317/603317/detail</t>
  </si>
  <si>
    <t>水发燃气</t>
  </si>
  <si>
    <t>www.lixinger.com/analytics/company/sh/603318/603318/detail</t>
  </si>
  <si>
    <t>湘油泵</t>
  </si>
  <si>
    <t>www.lixinger.com/analytics/company/sh/603319/603319/detail</t>
  </si>
  <si>
    <t>迪贝电气</t>
  </si>
  <si>
    <t>www.lixinger.com/analytics/company/sh/603320/603320/detail</t>
  </si>
  <si>
    <t>梅轮电梯</t>
  </si>
  <si>
    <t>www.lixinger.com/analytics/company/sh/603321/603321/detail</t>
  </si>
  <si>
    <t>超讯通信</t>
  </si>
  <si>
    <t>www.lixinger.com/analytics/company/sh/603322/603322/detail</t>
  </si>
  <si>
    <t>苏农银行</t>
  </si>
  <si>
    <t>www.lixinger.com/analytics/company/sh/603323/603323/detail</t>
  </si>
  <si>
    <t>盛剑环境</t>
  </si>
  <si>
    <t>www.lixinger.com/analytics/company/sh/603324/603324/detail</t>
  </si>
  <si>
    <t>我乐家居</t>
  </si>
  <si>
    <t>www.lixinger.com/analytics/company/sh/603326/603326/detail</t>
  </si>
  <si>
    <t>福蓉科技</t>
  </si>
  <si>
    <t>www.lixinger.com/analytics/company/sh/603327/603327/detail</t>
  </si>
  <si>
    <t>依顿电子</t>
  </si>
  <si>
    <t>www.lixinger.com/analytics/company/sh/603328/603328/detail</t>
  </si>
  <si>
    <t>上海雅仕</t>
  </si>
  <si>
    <t>www.lixinger.com/analytics/company/sh/603329/603329/detail</t>
  </si>
  <si>
    <t>上海天洋</t>
  </si>
  <si>
    <t>www.lixinger.com/analytics/company/sh/603330/603330/detail</t>
  </si>
  <si>
    <t>百达精工</t>
  </si>
  <si>
    <t>www.lixinger.com/analytics/company/sh/603331/603331/detail</t>
  </si>
  <si>
    <t>苏州龙杰</t>
  </si>
  <si>
    <t>www.lixinger.com/analytics/company/sh/603332/603332/detail</t>
  </si>
  <si>
    <t>尚纬股份</t>
  </si>
  <si>
    <t>www.lixinger.com/analytics/company/sh/603333/603333/detail</t>
  </si>
  <si>
    <t>迪生力</t>
  </si>
  <si>
    <t>www.lixinger.com/analytics/company/sh/603335/603335/detail</t>
  </si>
  <si>
    <t>宏辉果蔬</t>
  </si>
  <si>
    <t>www.lixinger.com/analytics/company/sh/603336/603336/detail</t>
  </si>
  <si>
    <t>杰克股份</t>
  </si>
  <si>
    <t>www.lixinger.com/analytics/company/sh/603337/603337/detail</t>
  </si>
  <si>
    <t>浙江鼎力</t>
  </si>
  <si>
    <t>www.lixinger.com/analytics/company/sh/603338/603338/detail</t>
  </si>
  <si>
    <t>四方科技</t>
  </si>
  <si>
    <t>www.lixinger.com/analytics/company/sh/603339/603339/detail</t>
  </si>
  <si>
    <t>安井食品</t>
  </si>
  <si>
    <t>预加工食品</t>
  </si>
  <si>
    <t>www.lixinger.com/analytics/company/sh/603345/603345/detail</t>
  </si>
  <si>
    <t>文灿股份</t>
  </si>
  <si>
    <t>www.lixinger.com/analytics/company/sh/603348/603348/detail</t>
  </si>
  <si>
    <t>威尔药业</t>
  </si>
  <si>
    <t>www.lixinger.com/analytics/company/sh/603351/603351/detail</t>
  </si>
  <si>
    <t>和顺石油</t>
  </si>
  <si>
    <t>www.lixinger.com/analytics/company/sh/603353/603353/detail</t>
  </si>
  <si>
    <t>莱克电气</t>
  </si>
  <si>
    <t>www.lixinger.com/analytics/company/sh/603355/603355/detail</t>
  </si>
  <si>
    <t>华菱精工</t>
  </si>
  <si>
    <t>www.lixinger.com/analytics/company/sh/603356/603356/detail</t>
  </si>
  <si>
    <t>设计总院</t>
  </si>
  <si>
    <t>www.lixinger.com/analytics/company/sh/603357/603357/detail</t>
  </si>
  <si>
    <t>华达科技</t>
  </si>
  <si>
    <t>www.lixinger.com/analytics/company/sh/603358/603358/detail</t>
  </si>
  <si>
    <t>东珠生态</t>
  </si>
  <si>
    <t>www.lixinger.com/analytics/company/sh/603359/603359/detail</t>
  </si>
  <si>
    <t>百傲化学</t>
  </si>
  <si>
    <t>www.lixinger.com/analytics/company/sh/603360/603360/detail</t>
  </si>
  <si>
    <t>傲农生物</t>
  </si>
  <si>
    <t>畜禽饲料</t>
  </si>
  <si>
    <t>www.lixinger.com/analytics/company/sh/603363/603363/detail</t>
  </si>
  <si>
    <t>水星家纺</t>
  </si>
  <si>
    <t>家纺</t>
  </si>
  <si>
    <t>www.lixinger.com/analytics/company/sh/603365/603365/detail</t>
  </si>
  <si>
    <t>日出东方</t>
  </si>
  <si>
    <t>卫浴电器</t>
  </si>
  <si>
    <t>www.lixinger.com/analytics/company/sh/603366/603366/detail</t>
  </si>
  <si>
    <t>辰欣药业</t>
  </si>
  <si>
    <t>www.lixinger.com/analytics/company/sh/603367/603367/detail</t>
  </si>
  <si>
    <t>柳药股份</t>
  </si>
  <si>
    <t>www.lixinger.com/analytics/company/sh/603368/603368/detail</t>
  </si>
  <si>
    <t>今世缘</t>
  </si>
  <si>
    <t>www.lixinger.com/analytics/company/sh/603369/603369/detail</t>
  </si>
  <si>
    <t>东方时尚</t>
  </si>
  <si>
    <t>www.lixinger.com/analytics/company/sh/603377/603377/detail</t>
  </si>
  <si>
    <t>亚士创能</t>
  </si>
  <si>
    <t>涂料</t>
  </si>
  <si>
    <t>www.lixinger.com/analytics/company/sh/603378/603378/detail</t>
  </si>
  <si>
    <t>三美股份</t>
  </si>
  <si>
    <t>www.lixinger.com/analytics/company/sh/603379/603379/detail</t>
  </si>
  <si>
    <t>易德龙</t>
  </si>
  <si>
    <t>www.lixinger.com/analytics/company/sh/603380/603380/detail</t>
  </si>
  <si>
    <t>顶点软件</t>
  </si>
  <si>
    <t>www.lixinger.com/analytics/company/sh/603383/603383/detail</t>
  </si>
  <si>
    <t>惠达卫浴</t>
  </si>
  <si>
    <t>卫浴制品</t>
  </si>
  <si>
    <t>www.lixinger.com/analytics/company/sh/603385/603385/detail</t>
  </si>
  <si>
    <t>广东骏亚</t>
  </si>
  <si>
    <t>www.lixinger.com/analytics/company/sh/603386/603386/detail</t>
  </si>
  <si>
    <t>基蛋生物</t>
  </si>
  <si>
    <t>www.lixinger.com/analytics/company/sh/603387/603387/detail</t>
  </si>
  <si>
    <t>元成股份</t>
  </si>
  <si>
    <t>www.lixinger.com/analytics/company/sh/603388/603388/detail</t>
  </si>
  <si>
    <t>亚振家居</t>
  </si>
  <si>
    <t>www.lixinger.com/analytics/company/sh/603389/603389/detail</t>
  </si>
  <si>
    <t>通达电气</t>
  </si>
  <si>
    <t>www.lixinger.com/analytics/company/sh/603390/603390/detail</t>
  </si>
  <si>
    <t>万泰生物</t>
  </si>
  <si>
    <t>www.lixinger.com/analytics/company/sh/603392/603392/detail</t>
  </si>
  <si>
    <t>新天然气</t>
  </si>
  <si>
    <t>www.lixinger.com/analytics/company/sh/603393/603393/detail</t>
  </si>
  <si>
    <t>金辰股份</t>
  </si>
  <si>
    <t>www.lixinger.com/analytics/company/sh/603396/603396/detail</t>
  </si>
  <si>
    <t>沐邦高科</t>
  </si>
  <si>
    <t>娱乐用品</t>
  </si>
  <si>
    <t>www.lixinger.com/analytics/company/sh/603398/603398/detail</t>
  </si>
  <si>
    <t>吉翔股份</t>
  </si>
  <si>
    <t>www.lixinger.com/analytics/company/sh/603399/603399/detail</t>
  </si>
  <si>
    <t>建霖家居</t>
  </si>
  <si>
    <t>www.lixinger.com/analytics/company/sh/603408/603408/detail</t>
  </si>
  <si>
    <t>信捷电气</t>
  </si>
  <si>
    <t>机器人</t>
  </si>
  <si>
    <t>www.lixinger.com/analytics/company/sh/603416/603416/detail</t>
  </si>
  <si>
    <t>鼎信通讯</t>
  </si>
  <si>
    <t>www.lixinger.com/analytics/company/sh/603421/603421/detail</t>
  </si>
  <si>
    <t>集友股份</t>
  </si>
  <si>
    <t>www.lixinger.com/analytics/company/sh/603429/603429/detail</t>
  </si>
  <si>
    <t>贵州三力</t>
  </si>
  <si>
    <t>www.lixinger.com/analytics/company/sh/603439/603439/detail</t>
  </si>
  <si>
    <t>吉比特</t>
  </si>
  <si>
    <t>www.lixinger.com/analytics/company/sh/603444/603444/detail</t>
  </si>
  <si>
    <t>九洲药业</t>
  </si>
  <si>
    <t>www.lixinger.com/analytics/company/sh/603456/603456/detail</t>
  </si>
  <si>
    <t>勘设股份</t>
  </si>
  <si>
    <t>www.lixinger.com/analytics/company/sh/603458/603458/detail</t>
  </si>
  <si>
    <t>风语筑</t>
  </si>
  <si>
    <t>其他数字媒体</t>
  </si>
  <si>
    <t>www.lixinger.com/analytics/company/sh/603466/603466/detail</t>
  </si>
  <si>
    <t>巨星农牧</t>
  </si>
  <si>
    <t>辅料</t>
  </si>
  <si>
    <t>www.lixinger.com/analytics/company/sh/603477/603477/detail</t>
  </si>
  <si>
    <t>科沃斯</t>
  </si>
  <si>
    <t>www.lixinger.com/analytics/company/sh/603486/603486/detail</t>
  </si>
  <si>
    <t>展鹏科技</t>
  </si>
  <si>
    <t>www.lixinger.com/analytics/company/sh/603488/603488/detail</t>
  </si>
  <si>
    <t>八方股份</t>
  </si>
  <si>
    <t>www.lixinger.com/analytics/company/sh/603489/603489/detail</t>
  </si>
  <si>
    <t>恒为科技</t>
  </si>
  <si>
    <t>www.lixinger.com/analytics/company/sh/603496/603496/detail</t>
  </si>
  <si>
    <t>翔港科技</t>
  </si>
  <si>
    <t>www.lixinger.com/analytics/company/sh/603499/603499/detail</t>
  </si>
  <si>
    <t>祥和实业</t>
  </si>
  <si>
    <t>www.lixinger.com/analytics/company/sh/603500/603500/detail</t>
  </si>
  <si>
    <t>韦尔股份</t>
  </si>
  <si>
    <t>www.lixinger.com/analytics/company/sh/603501/603501/detail</t>
  </si>
  <si>
    <t>金石资源</t>
  </si>
  <si>
    <t>www.lixinger.com/analytics/company/sh/603505/603505/detail</t>
  </si>
  <si>
    <t>南都物业</t>
  </si>
  <si>
    <t>物业管理</t>
  </si>
  <si>
    <t>www.lixinger.com/analytics/company/sh/603506/603506/detail</t>
  </si>
  <si>
    <t>振江股份</t>
  </si>
  <si>
    <t>www.lixinger.com/analytics/company/sh/603507/603507/detail</t>
  </si>
  <si>
    <t>思维列控</t>
  </si>
  <si>
    <t>安防设备</t>
  </si>
  <si>
    <t>www.lixinger.com/analytics/company/sh/603508/603508/detail</t>
  </si>
  <si>
    <t>爱慕股份</t>
  </si>
  <si>
    <t>www.lixinger.com/analytics/company/sh/603511/603511/detail</t>
  </si>
  <si>
    <t>欧普照明</t>
  </si>
  <si>
    <t>www.lixinger.com/analytics/company/sh/603515/603515/detail</t>
  </si>
  <si>
    <t>淳中科技</t>
  </si>
  <si>
    <t>www.lixinger.com/analytics/company/sh/603516/603516/detail</t>
  </si>
  <si>
    <t>绝味食品</t>
  </si>
  <si>
    <t>熟食</t>
  </si>
  <si>
    <t>www.lixinger.com/analytics/company/sh/603517/603517/detail</t>
  </si>
  <si>
    <t>锦泓集团</t>
  </si>
  <si>
    <t>www.lixinger.com/analytics/company/sh/603518/603518/detail</t>
  </si>
  <si>
    <t>立霸股份</t>
  </si>
  <si>
    <t>www.lixinger.com/analytics/company/sh/603519/603519/detail</t>
  </si>
  <si>
    <t>司太立</t>
  </si>
  <si>
    <t>www.lixinger.com/analytics/company/sh/603520/603520/detail</t>
  </si>
  <si>
    <t>众源新材</t>
  </si>
  <si>
    <t>www.lixinger.com/analytics/company/sh/603527/603527/detail</t>
  </si>
  <si>
    <t>多伦科技</t>
  </si>
  <si>
    <t>www.lixinger.com/analytics/company/sh/603528/603528/detail</t>
  </si>
  <si>
    <t>爱玛科技</t>
  </si>
  <si>
    <t>www.lixinger.com/analytics/company/sh/603529/603529/detail</t>
  </si>
  <si>
    <t>神马电力</t>
  </si>
  <si>
    <t>www.lixinger.com/analytics/company/sh/603530/603530/detail</t>
  </si>
  <si>
    <t>掌阅科技</t>
  </si>
  <si>
    <t>文字媒体</t>
  </si>
  <si>
    <t>www.lixinger.com/analytics/company/sh/603533/603533/detail</t>
  </si>
  <si>
    <t>嘉诚国际</t>
  </si>
  <si>
    <t>www.lixinger.com/analytics/company/sh/603535/603535/detail</t>
  </si>
  <si>
    <t>惠发食品</t>
  </si>
  <si>
    <t>www.lixinger.com/analytics/company/sh/603536/603536/detail</t>
  </si>
  <si>
    <t>美诺华</t>
  </si>
  <si>
    <t>www.lixinger.com/analytics/company/sh/603538/603538/detail</t>
  </si>
  <si>
    <t>奥普家居</t>
  </si>
  <si>
    <t>www.lixinger.com/analytics/company/sh/603551/603551/detail</t>
  </si>
  <si>
    <t>ST贵人</t>
  </si>
  <si>
    <t>运动服装</t>
  </si>
  <si>
    <t>www.lixinger.com/analytics/company/sh/603555/603555/detail</t>
  </si>
  <si>
    <t>海兴电力</t>
  </si>
  <si>
    <t>www.lixinger.com/analytics/company/sh/603556/603556/detail</t>
  </si>
  <si>
    <t>ST起步</t>
  </si>
  <si>
    <t>www.lixinger.com/analytics/company/sh/603557/603557/detail</t>
  </si>
  <si>
    <t>健盛集团</t>
  </si>
  <si>
    <t>www.lixinger.com/analytics/company/sh/603558/603558/detail</t>
  </si>
  <si>
    <t>中通国脉</t>
  </si>
  <si>
    <t>www.lixinger.com/analytics/company/sh/603559/603559/detail</t>
  </si>
  <si>
    <t>中谷物流</t>
  </si>
  <si>
    <t>www.lixinger.com/analytics/company/sh/603565/603565/detail</t>
  </si>
  <si>
    <t>普莱柯</t>
  </si>
  <si>
    <t>www.lixinger.com/analytics/company/sh/603566/603566/detail</t>
  </si>
  <si>
    <t>珍宝岛</t>
  </si>
  <si>
    <t>www.lixinger.com/analytics/company/sh/603567/603567/detail</t>
  </si>
  <si>
    <t>伟明环保</t>
  </si>
  <si>
    <t>www.lixinger.com/analytics/company/sh/603568/603568/detail</t>
  </si>
  <si>
    <t>长久物流</t>
  </si>
  <si>
    <t>www.lixinger.com/analytics/company/sh/603569/603569/detail</t>
  </si>
  <si>
    <t>汇金通</t>
  </si>
  <si>
    <t>www.lixinger.com/analytics/company/sh/603577/603577/detail</t>
  </si>
  <si>
    <t>三星新材</t>
  </si>
  <si>
    <t>www.lixinger.com/analytics/company/sh/603578/603578/detail</t>
  </si>
  <si>
    <t>荣泰健康</t>
  </si>
  <si>
    <t>其他家电</t>
  </si>
  <si>
    <t>www.lixinger.com/analytics/company/sh/603579/603579/detail</t>
  </si>
  <si>
    <t>艾艾精工</t>
  </si>
  <si>
    <t>www.lixinger.com/analytics/company/sh/603580/603580/detail</t>
  </si>
  <si>
    <t>捷昌驱动</t>
  </si>
  <si>
    <t>www.lixinger.com/analytics/company/sh/603583/603583/detail</t>
  </si>
  <si>
    <t>苏利股份</t>
  </si>
  <si>
    <t>www.lixinger.com/analytics/company/sh/603585/603585/detail</t>
  </si>
  <si>
    <t>金麒麟</t>
  </si>
  <si>
    <t>www.lixinger.com/analytics/company/sh/603586/603586/detail</t>
  </si>
  <si>
    <t>地素时尚</t>
  </si>
  <si>
    <t>www.lixinger.com/analytics/company/sh/603587/603587/detail</t>
  </si>
  <si>
    <t>高能环境</t>
  </si>
  <si>
    <t>www.lixinger.com/analytics/company/sh/603588/603588/detail</t>
  </si>
  <si>
    <t>口子窖</t>
  </si>
  <si>
    <t>www.lixinger.com/analytics/company/sh/603589/603589/detail</t>
  </si>
  <si>
    <t>康辰药业</t>
  </si>
  <si>
    <t>www.lixinger.com/analytics/company/sh/603590/603590/detail</t>
  </si>
  <si>
    <t>东尼电子</t>
  </si>
  <si>
    <t>www.lixinger.com/analytics/company/sh/603595/603595/detail</t>
  </si>
  <si>
    <t>伯特利</t>
  </si>
  <si>
    <t>www.lixinger.com/analytics/company/sh/603596/603596/detail</t>
  </si>
  <si>
    <t>引力传媒</t>
  </si>
  <si>
    <t>www.lixinger.com/analytics/company/sh/603598/603598/detail</t>
  </si>
  <si>
    <t>广信股份</t>
  </si>
  <si>
    <t>www.lixinger.com/analytics/company/sh/603599/603599/detail</t>
  </si>
  <si>
    <t>永艺股份</t>
  </si>
  <si>
    <t>www.lixinger.com/analytics/company/sh/603600/603600/detail</t>
  </si>
  <si>
    <t>再升科技</t>
  </si>
  <si>
    <t>www.lixinger.com/analytics/company/sh/603601/603601/detail</t>
  </si>
  <si>
    <t>纵横通信</t>
  </si>
  <si>
    <t>www.lixinger.com/analytics/company/sh/603602/603602/detail</t>
  </si>
  <si>
    <t>博天环境</t>
  </si>
  <si>
    <t>www.lixinger.com/analytics/company/sh/603603/603603/detail</t>
  </si>
  <si>
    <t>珀莱雅</t>
  </si>
  <si>
    <t>www.lixinger.com/analytics/company/sh/603605/603605/detail</t>
  </si>
  <si>
    <t>东方电缆</t>
  </si>
  <si>
    <t>www.lixinger.com/analytics/company/sh/603606/603606/detail</t>
  </si>
  <si>
    <t>京华激光</t>
  </si>
  <si>
    <t>www.lixinger.com/analytics/company/sh/603607/603607/detail</t>
  </si>
  <si>
    <t>天创时尚</t>
  </si>
  <si>
    <t>www.lixinger.com/analytics/company/sh/603608/603608/detail</t>
  </si>
  <si>
    <t>禾丰股份</t>
  </si>
  <si>
    <t>www.lixinger.com/analytics/company/sh/603609/603609/detail</t>
  </si>
  <si>
    <t>麒盛科技</t>
  </si>
  <si>
    <t>www.lixinger.com/analytics/company/sh/603610/603610/detail</t>
  </si>
  <si>
    <t>诺力股份</t>
  </si>
  <si>
    <t>www.lixinger.com/analytics/company/sh/603611/603611/detail</t>
  </si>
  <si>
    <t>索通发展</t>
  </si>
  <si>
    <t>www.lixinger.com/analytics/company/sh/603612/603612/detail</t>
  </si>
  <si>
    <t>国联股份</t>
  </si>
  <si>
    <t>综合电商</t>
  </si>
  <si>
    <t>www.lixinger.com/analytics/company/sh/603613/603613/detail</t>
  </si>
  <si>
    <t>茶花股份</t>
  </si>
  <si>
    <t>www.lixinger.com/analytics/company/sh/603615/603615/detail</t>
  </si>
  <si>
    <t>韩建河山</t>
  </si>
  <si>
    <t>水泥制品</t>
  </si>
  <si>
    <t>www.lixinger.com/analytics/company/sh/603616/603616/detail</t>
  </si>
  <si>
    <t>君禾股份</t>
  </si>
  <si>
    <t>www.lixinger.com/analytics/company/sh/603617/603617/detail</t>
  </si>
  <si>
    <t>杭电股份</t>
  </si>
  <si>
    <t>www.lixinger.com/analytics/company/sh/603618/603618/detail</t>
  </si>
  <si>
    <t>中曼石油</t>
  </si>
  <si>
    <t>www.lixinger.com/analytics/company/sh/603619/603619/detail</t>
  </si>
  <si>
    <t>科森科技</t>
  </si>
  <si>
    <t>www.lixinger.com/analytics/company/sh/603626/603626/detail</t>
  </si>
  <si>
    <t>清源股份</t>
  </si>
  <si>
    <t>www.lixinger.com/analytics/company/sh/603628/603628/detail</t>
  </si>
  <si>
    <t>利通电子</t>
  </si>
  <si>
    <t>www.lixinger.com/analytics/company/sh/603629/603629/detail</t>
  </si>
  <si>
    <t>拉芳家化</t>
  </si>
  <si>
    <t>www.lixinger.com/analytics/company/sh/603630/603630/detail</t>
  </si>
  <si>
    <t>徕木股份</t>
  </si>
  <si>
    <t>www.lixinger.com/analytics/company/sh/603633/603633/detail</t>
  </si>
  <si>
    <t>南威软件</t>
  </si>
  <si>
    <t>www.lixinger.com/analytics/company/sh/603636/603636/detail</t>
  </si>
  <si>
    <t>镇海股份</t>
  </si>
  <si>
    <t>www.lixinger.com/analytics/company/sh/603637/603637/detail</t>
  </si>
  <si>
    <t>艾迪精密</t>
  </si>
  <si>
    <t>www.lixinger.com/analytics/company/sh/603638/603638/detail</t>
  </si>
  <si>
    <t>海利尔</t>
  </si>
  <si>
    <t>www.lixinger.com/analytics/company/sh/603639/603639/detail</t>
  </si>
  <si>
    <t>畅联股份</t>
  </si>
  <si>
    <t>中间产品及消费品供应链服务</t>
  </si>
  <si>
    <t>www.lixinger.com/analytics/company/sh/603648/603648/detail</t>
  </si>
  <si>
    <t>彤程新材</t>
  </si>
  <si>
    <t>橡胶助剂</t>
  </si>
  <si>
    <t>www.lixinger.com/analytics/company/sh/603650/603650/detail</t>
  </si>
  <si>
    <t>朗博科技</t>
  </si>
  <si>
    <t>www.lixinger.com/analytics/company/sh/603655/603655/detail</t>
  </si>
  <si>
    <t>泰禾智能</t>
  </si>
  <si>
    <t>www.lixinger.com/analytics/company/sh/603656/603656/detail</t>
  </si>
  <si>
    <t>春光科技</t>
  </si>
  <si>
    <t>www.lixinger.com/analytics/company/sh/603657/603657/detail</t>
  </si>
  <si>
    <t>安图生物</t>
  </si>
  <si>
    <t>www.lixinger.com/analytics/company/sh/603658/603658/detail</t>
  </si>
  <si>
    <t>璞泰来</t>
  </si>
  <si>
    <t>www.lixinger.com/analytics/company/sh/603659/603659/detail</t>
  </si>
  <si>
    <t>苏州科达</t>
  </si>
  <si>
    <t>www.lixinger.com/analytics/company/sh/603660/603660/detail</t>
  </si>
  <si>
    <t>恒林股份</t>
  </si>
  <si>
    <t>www.lixinger.com/analytics/company/sh/603661/603661/detail</t>
  </si>
  <si>
    <t>柯力传感</t>
  </si>
  <si>
    <t>www.lixinger.com/analytics/company/sh/603662/603662/detail</t>
  </si>
  <si>
    <t>三祥新材</t>
  </si>
  <si>
    <t>www.lixinger.com/analytics/company/sh/603663/603663/detail</t>
  </si>
  <si>
    <t>康隆达</t>
  </si>
  <si>
    <t>www.lixinger.com/analytics/company/sh/603665/603665/detail</t>
  </si>
  <si>
    <t>亿嘉和</t>
  </si>
  <si>
    <t>www.lixinger.com/analytics/company/sh/603666/603666/detail</t>
  </si>
  <si>
    <t>五洲新春</t>
  </si>
  <si>
    <t>www.lixinger.com/analytics/company/sh/603667/603667/detail</t>
  </si>
  <si>
    <t>天马科技</t>
  </si>
  <si>
    <t>水产饲料</t>
  </si>
  <si>
    <t>www.lixinger.com/analytics/company/sh/603668/603668/detail</t>
  </si>
  <si>
    <t>灵康药业</t>
  </si>
  <si>
    <t>www.lixinger.com/analytics/company/sh/603669/603669/detail</t>
  </si>
  <si>
    <t>卫信康</t>
  </si>
  <si>
    <t>www.lixinger.com/analytics/company/sh/603676/603676/detail</t>
  </si>
  <si>
    <t>奇精机械</t>
  </si>
  <si>
    <t>www.lixinger.com/analytics/company/sh/603677/603677/detail</t>
  </si>
  <si>
    <t>火炬电子</t>
  </si>
  <si>
    <t>www.lixinger.com/analytics/company/sh/603678/603678/detail</t>
  </si>
  <si>
    <t>华体科技</t>
  </si>
  <si>
    <t>www.lixinger.com/analytics/company/sh/603679/603679/detail</t>
  </si>
  <si>
    <t>今创集团</t>
  </si>
  <si>
    <t>www.lixinger.com/analytics/company/sh/603680/603680/detail</t>
  </si>
  <si>
    <t>永冠新材</t>
  </si>
  <si>
    <t>胶黏剂及胶带</t>
  </si>
  <si>
    <t>www.lixinger.com/analytics/company/sh/603681/603681/detail</t>
  </si>
  <si>
    <t>锦和商业</t>
  </si>
  <si>
    <t>www.lixinger.com/analytics/company/sh/603682/603682/detail</t>
  </si>
  <si>
    <t>晶华新材</t>
  </si>
  <si>
    <t>www.lixinger.com/analytics/company/sh/603683/603683/detail</t>
  </si>
  <si>
    <t>晨丰科技</t>
  </si>
  <si>
    <t>www.lixinger.com/analytics/company/sh/603685/603685/detail</t>
  </si>
  <si>
    <t>福龙马</t>
  </si>
  <si>
    <t>www.lixinger.com/analytics/company/sh/603686/603686/detail</t>
  </si>
  <si>
    <t>大胜达</t>
  </si>
  <si>
    <t>www.lixinger.com/analytics/company/sh/603687/603687/detail</t>
  </si>
  <si>
    <t>石英股份</t>
  </si>
  <si>
    <t>www.lixinger.com/analytics/company/sh/603688/603688/detail</t>
  </si>
  <si>
    <t>皖天然气</t>
  </si>
  <si>
    <t>www.lixinger.com/analytics/company/sh/603689/603689/detail</t>
  </si>
  <si>
    <t>至纯科技</t>
  </si>
  <si>
    <t>半导体设备</t>
  </si>
  <si>
    <t>www.lixinger.com/analytics/company/sh/603690/603690/detail</t>
  </si>
  <si>
    <t>江苏新能</t>
  </si>
  <si>
    <t>www.lixinger.com/analytics/company/sh/603693/603693/detail</t>
  </si>
  <si>
    <t>安记食品</t>
  </si>
  <si>
    <t>www.lixinger.com/analytics/company/sh/603696/603696/detail</t>
  </si>
  <si>
    <t>有友食品</t>
  </si>
  <si>
    <t>零食</t>
  </si>
  <si>
    <t>www.lixinger.com/analytics/company/sh/603697/603697/detail</t>
  </si>
  <si>
    <t>航天工程</t>
  </si>
  <si>
    <t>www.lixinger.com/analytics/company/sh/603698/603698/detail</t>
  </si>
  <si>
    <t>纽威股份</t>
  </si>
  <si>
    <t>www.lixinger.com/analytics/company/sh/603699/603699/detail</t>
  </si>
  <si>
    <t>宁水集团</t>
  </si>
  <si>
    <t>www.lixinger.com/analytics/company/sh/603700/603700/detail</t>
  </si>
  <si>
    <t>德宏股份</t>
  </si>
  <si>
    <t>www.lixinger.com/analytics/company/sh/603701/603701/detail</t>
  </si>
  <si>
    <t>盛洋科技</t>
  </si>
  <si>
    <t>www.lixinger.com/analytics/company/sh/603703/603703/detail</t>
  </si>
  <si>
    <t>东方环宇</t>
  </si>
  <si>
    <t>www.lixinger.com/analytics/company/sh/603706/603706/detail</t>
  </si>
  <si>
    <t>健友股份</t>
  </si>
  <si>
    <t>www.lixinger.com/analytics/company/sh/603707/603707/detail</t>
  </si>
  <si>
    <t>家家悦</t>
  </si>
  <si>
    <t>www.lixinger.com/analytics/company/sh/603708/603708/detail</t>
  </si>
  <si>
    <t>中源家居</t>
  </si>
  <si>
    <t>www.lixinger.com/analytics/company/sh/603709/603709/detail</t>
  </si>
  <si>
    <t>香飘飘</t>
  </si>
  <si>
    <t>www.lixinger.com/analytics/company/sh/603711/603711/detail</t>
  </si>
  <si>
    <t>七一二</t>
  </si>
  <si>
    <t>www.lixinger.com/analytics/company/sh/603712/603712/detail</t>
  </si>
  <si>
    <t>密尔克卫</t>
  </si>
  <si>
    <t>www.lixinger.com/analytics/company/sh/603713/603713/detail</t>
  </si>
  <si>
    <t>塞力医疗</t>
  </si>
  <si>
    <t>www.lixinger.com/analytics/company/sh/603716/603716/detail</t>
  </si>
  <si>
    <t>天域生态</t>
  </si>
  <si>
    <t>www.lixinger.com/analytics/company/sh/603717/603717/detail</t>
  </si>
  <si>
    <t>海利生物</t>
  </si>
  <si>
    <t>www.lixinger.com/analytics/company/sh/603718/603718/detail</t>
  </si>
  <si>
    <t>良品铺子</t>
  </si>
  <si>
    <t>www.lixinger.com/analytics/company/sh/603719/603719/detail</t>
  </si>
  <si>
    <t>中广天择</t>
  </si>
  <si>
    <t>www.lixinger.com/analytics/company/sh/603721/603721/detail</t>
  </si>
  <si>
    <t>阿科力</t>
  </si>
  <si>
    <t>www.lixinger.com/analytics/company/sh/603722/603722/detail</t>
  </si>
  <si>
    <t>天安新材</t>
  </si>
  <si>
    <t>www.lixinger.com/analytics/company/sh/603725/603725/detail</t>
  </si>
  <si>
    <t>朗迪集团</t>
  </si>
  <si>
    <t>www.lixinger.com/analytics/company/sh/603726/603726/detail</t>
  </si>
  <si>
    <t>博迈科</t>
  </si>
  <si>
    <t>www.lixinger.com/analytics/company/sh/603727/603727/detail</t>
  </si>
  <si>
    <t>鸣志电器</t>
  </si>
  <si>
    <t>www.lixinger.com/analytics/company/sh/603728/603728/detail</t>
  </si>
  <si>
    <t>ST龙韵</t>
  </si>
  <si>
    <t>www.lixinger.com/analytics/company/sh/603729/603729/detail</t>
  </si>
  <si>
    <t>岱美股份</t>
  </si>
  <si>
    <t>www.lixinger.com/analytics/company/sh/603730/603730/detail</t>
  </si>
  <si>
    <t>仙鹤股份</t>
  </si>
  <si>
    <t>www.lixinger.com/analytics/company/sh/603733/603733/detail</t>
  </si>
  <si>
    <t>三棵树</t>
  </si>
  <si>
    <t>www.lixinger.com/analytics/company/sh/603737/603737/detail</t>
  </si>
  <si>
    <t>泰晶科技</t>
  </si>
  <si>
    <t>www.lixinger.com/analytics/company/sh/603738/603738/detail</t>
  </si>
  <si>
    <t>蔚蓝生物</t>
  </si>
  <si>
    <t>www.lixinger.com/analytics/company/sh/603739/603739/detail</t>
  </si>
  <si>
    <t>日辰股份</t>
  </si>
  <si>
    <t>www.lixinger.com/analytics/company/sh/603755/603755/detail</t>
  </si>
  <si>
    <t>大元泵业</t>
  </si>
  <si>
    <t>www.lixinger.com/analytics/company/sh/603757/603757/detail</t>
  </si>
  <si>
    <t>秦安股份</t>
  </si>
  <si>
    <t>www.lixinger.com/analytics/company/sh/603758/603758/detail</t>
  </si>
  <si>
    <t>海天股份</t>
  </si>
  <si>
    <t>www.lixinger.com/analytics/company/sh/603759/603759/detail</t>
  </si>
  <si>
    <t>隆鑫通用</t>
  </si>
  <si>
    <t>www.lixinger.com/analytics/company/sh/603766/603766/detail</t>
  </si>
  <si>
    <t>中马传动</t>
  </si>
  <si>
    <t>www.lixinger.com/analytics/company/sh/603767/603767/detail</t>
  </si>
  <si>
    <t>常青股份</t>
  </si>
  <si>
    <t>www.lixinger.com/analytics/company/sh/603768/603768/detail</t>
  </si>
  <si>
    <t>沃格光电</t>
  </si>
  <si>
    <t>www.lixinger.com/analytics/company/sh/603773/603773/detail</t>
  </si>
  <si>
    <t>永安行</t>
  </si>
  <si>
    <t>www.lixinger.com/analytics/company/sh/603776/603776/detail</t>
  </si>
  <si>
    <t>来伊份</t>
  </si>
  <si>
    <t>www.lixinger.com/analytics/company/sh/603777/603777/detail</t>
  </si>
  <si>
    <t>乾景园林</t>
  </si>
  <si>
    <t>www.lixinger.com/analytics/company/sh/603778/603778/detail</t>
  </si>
  <si>
    <t>威龙股份</t>
  </si>
  <si>
    <t>www.lixinger.com/analytics/company/sh/603779/603779/detail</t>
  </si>
  <si>
    <t>科博达</t>
  </si>
  <si>
    <t>www.lixinger.com/analytics/company/sh/603786/603786/detail</t>
  </si>
  <si>
    <t>新日股份</t>
  </si>
  <si>
    <t>www.lixinger.com/analytics/company/sh/603787/603787/detail</t>
  </si>
  <si>
    <t>宁波高发</t>
  </si>
  <si>
    <t>www.lixinger.com/analytics/company/sh/603788/603788/detail</t>
  </si>
  <si>
    <t>星光农机</t>
  </si>
  <si>
    <t>www.lixinger.com/analytics/company/sh/603789/603789/detail</t>
  </si>
  <si>
    <t>雅运股份</t>
  </si>
  <si>
    <t>www.lixinger.com/analytics/company/sh/603790/603790/detail</t>
  </si>
  <si>
    <t>联泰环保</t>
  </si>
  <si>
    <t>www.lixinger.com/analytics/company/sh/603797/603797/detail</t>
  </si>
  <si>
    <t>康普顿</t>
  </si>
  <si>
    <t>www.lixinger.com/analytics/company/sh/603798/603798/detail</t>
  </si>
  <si>
    <t>华友钴业</t>
  </si>
  <si>
    <t>www.lixinger.com/analytics/company/sh/603799/603799/detail</t>
  </si>
  <si>
    <t>道森股份</t>
  </si>
  <si>
    <t>www.lixinger.com/analytics/company/sh/603800/603800/detail</t>
  </si>
  <si>
    <t>志邦家居</t>
  </si>
  <si>
    <t>www.lixinger.com/analytics/company/sh/603801/603801/detail</t>
  </si>
  <si>
    <t>瑞斯康达</t>
  </si>
  <si>
    <t>www.lixinger.com/analytics/company/sh/603803/603803/detail</t>
  </si>
  <si>
    <t>福斯特</t>
  </si>
  <si>
    <t>www.lixinger.com/analytics/company/sh/603806/603806/detail</t>
  </si>
  <si>
    <t>歌力思</t>
  </si>
  <si>
    <t>www.lixinger.com/analytics/company/sh/603808/603808/detail</t>
  </si>
  <si>
    <t>豪能股份</t>
  </si>
  <si>
    <t>www.lixinger.com/analytics/company/sh/603809/603809/detail</t>
  </si>
  <si>
    <t>丰山集团</t>
  </si>
  <si>
    <t>www.lixinger.com/analytics/company/sh/603810/603810/detail</t>
  </si>
  <si>
    <t>诚意药业</t>
  </si>
  <si>
    <t>www.lixinger.com/analytics/company/sh/603811/603811/detail</t>
  </si>
  <si>
    <t>原尚股份</t>
  </si>
  <si>
    <t>www.lixinger.com/analytics/company/sh/603813/603813/detail</t>
  </si>
  <si>
    <t>交建股份</t>
  </si>
  <si>
    <t>www.lixinger.com/analytics/company/sh/603815/603815/detail</t>
  </si>
  <si>
    <t>顾家家居</t>
  </si>
  <si>
    <t>www.lixinger.com/analytics/company/sh/603816/603816/detail</t>
  </si>
  <si>
    <t>海峡环保</t>
  </si>
  <si>
    <t>www.lixinger.com/analytics/company/sh/603817/603817/detail</t>
  </si>
  <si>
    <t>曲美家居</t>
  </si>
  <si>
    <t>www.lixinger.com/analytics/company/sh/603818/603818/detail</t>
  </si>
  <si>
    <t>神力股份</t>
  </si>
  <si>
    <t>www.lixinger.com/analytics/company/sh/603819/603819/detail</t>
  </si>
  <si>
    <t>嘉澳环保</t>
  </si>
  <si>
    <t>www.lixinger.com/analytics/company/sh/603822/603822/detail</t>
  </si>
  <si>
    <t>百合花</t>
  </si>
  <si>
    <t>www.lixinger.com/analytics/company/sh/603823/603823/detail</t>
  </si>
  <si>
    <t>华扬联众</t>
  </si>
  <si>
    <t>www.lixinger.com/analytics/company/sh/603825/603825/detail</t>
  </si>
  <si>
    <t>坤彩科技</t>
  </si>
  <si>
    <t>www.lixinger.com/analytics/company/sh/603826/603826/detail</t>
  </si>
  <si>
    <t>柯利达</t>
  </si>
  <si>
    <t>www.lixinger.com/analytics/company/sh/603828/603828/detail</t>
  </si>
  <si>
    <t>洛凯股份</t>
  </si>
  <si>
    <t>www.lixinger.com/analytics/company/sh/603829/603829/detail</t>
  </si>
  <si>
    <t>欧派家居</t>
  </si>
  <si>
    <t>www.lixinger.com/analytics/company/sh/603833/603833/detail</t>
  </si>
  <si>
    <t>海程邦达</t>
  </si>
  <si>
    <t>www.lixinger.com/analytics/company/sh/603836/603836/detail</t>
  </si>
  <si>
    <t>四通股份</t>
  </si>
  <si>
    <t>www.lixinger.com/analytics/company/sh/603838/603838/detail</t>
  </si>
  <si>
    <t>安正时尚</t>
  </si>
  <si>
    <t>www.lixinger.com/analytics/company/sh/603839/603839/detail</t>
  </si>
  <si>
    <t>正平股份</t>
  </si>
  <si>
    <t>www.lixinger.com/analytics/company/sh/603843/603843/detail</t>
  </si>
  <si>
    <t>好太太</t>
  </si>
  <si>
    <t>www.lixinger.com/analytics/company/sh/603848/603848/detail</t>
  </si>
  <si>
    <t>华荣股份</t>
  </si>
  <si>
    <t>www.lixinger.com/analytics/company/sh/603855/603855/detail</t>
  </si>
  <si>
    <t>东宏股份</t>
  </si>
  <si>
    <t>管材</t>
  </si>
  <si>
    <t>www.lixinger.com/analytics/company/sh/603856/603856/detail</t>
  </si>
  <si>
    <t>步长制药</t>
  </si>
  <si>
    <t>www.lixinger.com/analytics/company/sh/603858/603858/detail</t>
  </si>
  <si>
    <t>能科科技</t>
  </si>
  <si>
    <t>www.lixinger.com/analytics/company/sh/603859/603859/detail</t>
  </si>
  <si>
    <t>中公高科</t>
  </si>
  <si>
    <t>www.lixinger.com/analytics/company/sh/603860/603860/detail</t>
  </si>
  <si>
    <t>白云电器</t>
  </si>
  <si>
    <t>www.lixinger.com/analytics/company/sh/603861/603861/detail</t>
  </si>
  <si>
    <t>松炀资源</t>
  </si>
  <si>
    <t>www.lixinger.com/analytics/company/sh/603863/603863/detail</t>
  </si>
  <si>
    <t>桃李面包</t>
  </si>
  <si>
    <t>www.lixinger.com/analytics/company/sh/603866/603866/detail</t>
  </si>
  <si>
    <t>新化股份</t>
  </si>
  <si>
    <t>www.lixinger.com/analytics/company/sh/603867/603867/detail</t>
  </si>
  <si>
    <t>飞科电器</t>
  </si>
  <si>
    <t>个护小家电</t>
  </si>
  <si>
    <t>www.lixinger.com/analytics/company/sh/603868/603868/detail</t>
  </si>
  <si>
    <t>新智认知</t>
  </si>
  <si>
    <t>www.lixinger.com/analytics/company/sh/603869/603869/detail</t>
  </si>
  <si>
    <t>嘉友国际</t>
  </si>
  <si>
    <t>www.lixinger.com/analytics/company/sh/603871/603871/detail</t>
  </si>
  <si>
    <t>鼎胜新材</t>
  </si>
  <si>
    <t>www.lixinger.com/analytics/company/sh/603876/603876/detail</t>
  </si>
  <si>
    <t>太平鸟</t>
  </si>
  <si>
    <t>www.lixinger.com/analytics/company/sh/603877/603877/detail</t>
  </si>
  <si>
    <t>武进不锈</t>
  </si>
  <si>
    <t>www.lixinger.com/analytics/company/sh/603878/603878/detail</t>
  </si>
  <si>
    <t>永悦科技</t>
  </si>
  <si>
    <t>合成树脂</t>
  </si>
  <si>
    <t>www.lixinger.com/analytics/company/sh/603879/603879/detail</t>
  </si>
  <si>
    <t>南卫股份</t>
  </si>
  <si>
    <t>www.lixinger.com/analytics/company/sh/603880/603880/detail</t>
  </si>
  <si>
    <t>数据港</t>
  </si>
  <si>
    <t>www.lixinger.com/analytics/company/sh/603881/603881/detail</t>
  </si>
  <si>
    <t>金域医学</t>
  </si>
  <si>
    <t>www.lixinger.com/analytics/company/sh/603882/603882/detail</t>
  </si>
  <si>
    <t>老百姓</t>
  </si>
  <si>
    <t>www.lixinger.com/analytics/company/sh/603883/603883/detail</t>
  </si>
  <si>
    <t>吉祥航空</t>
  </si>
  <si>
    <t>www.lixinger.com/analytics/company/sh/603885/603885/detail</t>
  </si>
  <si>
    <t>元祖股份</t>
  </si>
  <si>
    <t>www.lixinger.com/analytics/company/sh/603886/603886/detail</t>
  </si>
  <si>
    <t>城地香江</t>
  </si>
  <si>
    <t>www.lixinger.com/analytics/company/sh/603887/603887/detail</t>
  </si>
  <si>
    <t>新华网</t>
  </si>
  <si>
    <t>www.lixinger.com/analytics/company/sh/603888/603888/detail</t>
  </si>
  <si>
    <t>新澳股份</t>
  </si>
  <si>
    <t>www.lixinger.com/analytics/company/sh/603889/603889/detail</t>
  </si>
  <si>
    <t>春秋电子</t>
  </si>
  <si>
    <t>www.lixinger.com/analytics/company/sh/603890/603890/detail</t>
  </si>
  <si>
    <t>瑞芯微</t>
  </si>
  <si>
    <t>www.lixinger.com/analytics/company/sh/603893/603893/detail</t>
  </si>
  <si>
    <t>天永智能</t>
  </si>
  <si>
    <t>www.lixinger.com/analytics/company/sh/603895/603895/detail</t>
  </si>
  <si>
    <t>寿仙谷</t>
  </si>
  <si>
    <t>www.lixinger.com/analytics/company/sh/603896/603896/detail</t>
  </si>
  <si>
    <t>长城科技</t>
  </si>
  <si>
    <t>www.lixinger.com/analytics/company/sh/603897/603897/detail</t>
  </si>
  <si>
    <t>好莱客</t>
  </si>
  <si>
    <t>www.lixinger.com/analytics/company/sh/603898/603898/detail</t>
  </si>
  <si>
    <t>晨光股份</t>
  </si>
  <si>
    <t>文化用品</t>
  </si>
  <si>
    <t>www.lixinger.com/analytics/company/sh/603899/603899/detail</t>
  </si>
  <si>
    <t>莱绅通灵</t>
  </si>
  <si>
    <t>www.lixinger.com/analytics/company/sh/603900/603900/detail</t>
  </si>
  <si>
    <t>永创智能</t>
  </si>
  <si>
    <t>印刷包装机械</t>
  </si>
  <si>
    <t>www.lixinger.com/analytics/company/sh/603901/603901/detail</t>
  </si>
  <si>
    <t>中持股份</t>
  </si>
  <si>
    <t>www.lixinger.com/analytics/company/sh/603903/603903/detail</t>
  </si>
  <si>
    <t>龙蟠科技</t>
  </si>
  <si>
    <t>www.lixinger.com/analytics/company/sh/603906/603906/detail</t>
  </si>
  <si>
    <t>牧高笛</t>
  </si>
  <si>
    <t>www.lixinger.com/analytics/company/sh/603908/603908/detail</t>
  </si>
  <si>
    <t>合诚股份</t>
  </si>
  <si>
    <t>www.lixinger.com/analytics/company/sh/603909/603909/detail</t>
  </si>
  <si>
    <t>佳力图</t>
  </si>
  <si>
    <t>www.lixinger.com/analytics/company/sh/603912/603912/detail</t>
  </si>
  <si>
    <t>国茂股份</t>
  </si>
  <si>
    <t>www.lixinger.com/analytics/company/sh/603915/603915/detail</t>
  </si>
  <si>
    <t>苏博特</t>
  </si>
  <si>
    <t>www.lixinger.com/analytics/company/sh/603916/603916/detail</t>
  </si>
  <si>
    <t>合力科技</t>
  </si>
  <si>
    <t>www.lixinger.com/analytics/company/sh/603917/603917/detail</t>
  </si>
  <si>
    <t>金桥信息</t>
  </si>
  <si>
    <t>www.lixinger.com/analytics/company/sh/603918/603918/detail</t>
  </si>
  <si>
    <t>金徽酒</t>
  </si>
  <si>
    <t>www.lixinger.com/analytics/company/sh/603919/603919/detail</t>
  </si>
  <si>
    <t>世运电路</t>
  </si>
  <si>
    <t>www.lixinger.com/analytics/company/sh/603920/603920/detail</t>
  </si>
  <si>
    <t>金鸿顺</t>
  </si>
  <si>
    <t>www.lixinger.com/analytics/company/sh/603922/603922/detail</t>
  </si>
  <si>
    <t>铁流股份</t>
  </si>
  <si>
    <t>www.lixinger.com/analytics/company/sh/603926/603926/detail</t>
  </si>
  <si>
    <t>中科软</t>
  </si>
  <si>
    <t>www.lixinger.com/analytics/company/sh/603927/603927/detail</t>
  </si>
  <si>
    <t>兴业股份</t>
  </si>
  <si>
    <t>www.lixinger.com/analytics/company/sh/603928/603928/detail</t>
  </si>
  <si>
    <t>亚翔集成</t>
  </si>
  <si>
    <t>www.lixinger.com/analytics/company/sh/603929/603929/detail</t>
  </si>
  <si>
    <t>格林达</t>
  </si>
  <si>
    <t>www.lixinger.com/analytics/company/sh/603931/603931/detail</t>
  </si>
  <si>
    <t>睿能科技</t>
  </si>
  <si>
    <t>www.lixinger.com/analytics/company/sh/603933/603933/detail</t>
  </si>
  <si>
    <t>博敏电子</t>
  </si>
  <si>
    <t>www.lixinger.com/analytics/company/sh/603936/603936/detail</t>
  </si>
  <si>
    <t>丽岛新材</t>
  </si>
  <si>
    <t>www.lixinger.com/analytics/company/sh/603937/603937/detail</t>
  </si>
  <si>
    <t>三孚股份</t>
  </si>
  <si>
    <t>钾肥</t>
  </si>
  <si>
    <t>www.lixinger.com/analytics/company/sh/603938/603938/detail</t>
  </si>
  <si>
    <t>益丰药房</t>
  </si>
  <si>
    <t>www.lixinger.com/analytics/company/sh/603939/603939/detail</t>
  </si>
  <si>
    <t>建业股份</t>
  </si>
  <si>
    <t>www.lixinger.com/analytics/company/sh/603948/603948/detail</t>
  </si>
  <si>
    <t>雪龙集团</t>
  </si>
  <si>
    <t>www.lixinger.com/analytics/company/sh/603949/603949/detail</t>
  </si>
  <si>
    <t>长源东谷</t>
  </si>
  <si>
    <t>www.lixinger.com/analytics/company/sh/603950/603950/detail</t>
  </si>
  <si>
    <t>大千生态</t>
  </si>
  <si>
    <t>www.lixinger.com/analytics/company/sh/603955/603955/detail</t>
  </si>
  <si>
    <t>威派格</t>
  </si>
  <si>
    <t>www.lixinger.com/analytics/company/sh/603956/603956/detail</t>
  </si>
  <si>
    <t>哈森股份</t>
  </si>
  <si>
    <t>www.lixinger.com/analytics/company/sh/603958/603958/detail</t>
  </si>
  <si>
    <t>百利科技</t>
  </si>
  <si>
    <t>www.lixinger.com/analytics/company/sh/603959/603959/detail</t>
  </si>
  <si>
    <t>克来机电</t>
  </si>
  <si>
    <t>其他自动化设备</t>
  </si>
  <si>
    <t>www.lixinger.com/analytics/company/sh/603960/603960/detail</t>
  </si>
  <si>
    <t>大理药业</t>
  </si>
  <si>
    <t>www.lixinger.com/analytics/company/sh/603963/603963/detail</t>
  </si>
  <si>
    <t>法兰泰克</t>
  </si>
  <si>
    <t>www.lixinger.com/analytics/company/sh/603966/603966/detail</t>
  </si>
  <si>
    <t>中创物流</t>
  </si>
  <si>
    <t>www.lixinger.com/analytics/company/sh/603967/603967/detail</t>
  </si>
  <si>
    <t>醋化股份</t>
  </si>
  <si>
    <t>www.lixinger.com/analytics/company/sh/603968/603968/detail</t>
  </si>
  <si>
    <t>银龙股份</t>
  </si>
  <si>
    <t>www.lixinger.com/analytics/company/sh/603969/603969/detail</t>
  </si>
  <si>
    <t>中农立华</t>
  </si>
  <si>
    <t>www.lixinger.com/analytics/company/sh/603970/603970/detail</t>
  </si>
  <si>
    <t>正川股份</t>
  </si>
  <si>
    <t>www.lixinger.com/analytics/company/sh/603976/603976/detail</t>
  </si>
  <si>
    <t>国泰集团</t>
  </si>
  <si>
    <t>www.lixinger.com/analytics/company/sh/603977/603977/detail</t>
  </si>
  <si>
    <t>深圳新星</t>
  </si>
  <si>
    <t>www.lixinger.com/analytics/company/sh/603978/603978/detail</t>
  </si>
  <si>
    <t>金诚信</t>
  </si>
  <si>
    <t>www.lixinger.com/analytics/company/sh/603979/603979/detail</t>
  </si>
  <si>
    <t>吉华集团</t>
  </si>
  <si>
    <t>www.lixinger.com/analytics/company/sh/603980/603980/detail</t>
  </si>
  <si>
    <t>泉峰汽车</t>
  </si>
  <si>
    <t>www.lixinger.com/analytics/company/sh/603982/603982/detail</t>
  </si>
  <si>
    <t>丸美股份</t>
  </si>
  <si>
    <t>www.lixinger.com/analytics/company/sh/603983/603983/detail</t>
  </si>
  <si>
    <t>恒润股份</t>
  </si>
  <si>
    <t>www.lixinger.com/analytics/company/sh/603985/603985/detail</t>
  </si>
  <si>
    <t>兆易创新</t>
  </si>
  <si>
    <t>www.lixinger.com/analytics/company/sh/603986/603986/detail</t>
  </si>
  <si>
    <t>康德莱</t>
  </si>
  <si>
    <t>www.lixinger.com/analytics/company/sh/603987/603987/detail</t>
  </si>
  <si>
    <t>中电电机</t>
  </si>
  <si>
    <t>www.lixinger.com/analytics/company/sh/603988/603988/detail</t>
  </si>
  <si>
    <t>艾华集团</t>
  </si>
  <si>
    <t>www.lixinger.com/analytics/company/sh/603989/603989/detail</t>
  </si>
  <si>
    <t>麦迪科技</t>
  </si>
  <si>
    <t>www.lixinger.com/analytics/company/sh/603990/603990/detail</t>
  </si>
  <si>
    <t>至正股份</t>
  </si>
  <si>
    <t>www.lixinger.com/analytics/company/sh/603991/603991/detail</t>
  </si>
  <si>
    <t>松霖科技</t>
  </si>
  <si>
    <t>www.lixinger.com/analytics/company/sh/603992/603992/detail</t>
  </si>
  <si>
    <t>洛阳钼业</t>
  </si>
  <si>
    <t>www.lixinger.com/analytics/company/sh/603993/603993/detail</t>
  </si>
  <si>
    <t>甬金股份</t>
  </si>
  <si>
    <t>www.lixinger.com/analytics/company/sh/603995/603995/detail</t>
  </si>
  <si>
    <t>退市中新</t>
  </si>
  <si>
    <t>品牌消费电子</t>
  </si>
  <si>
    <t>www.lixinger.com/analytics/company/sh/603996/603996/detail</t>
  </si>
  <si>
    <t>继峰股份</t>
  </si>
  <si>
    <t>www.lixinger.com/analytics/company/sh/603997/603997/detail</t>
  </si>
  <si>
    <t>方盛制药</t>
  </si>
  <si>
    <t>www.lixinger.com/analytics/company/sh/603998/603998/detail</t>
  </si>
  <si>
    <t>读者传媒</t>
  </si>
  <si>
    <t>www.lixinger.com/analytics/company/sh/603999/603999/detail</t>
  </si>
  <si>
    <t>威奥股份</t>
  </si>
  <si>
    <t>www.lixinger.com/analytics/company/sh/605001/605001/detail</t>
  </si>
  <si>
    <t>众望布艺</t>
  </si>
  <si>
    <t>www.lixinger.com/analytics/company/sh/605003/605003/detail</t>
  </si>
  <si>
    <t>合兴股份</t>
  </si>
  <si>
    <t>www.lixinger.com/analytics/company/sh/605005/605005/detail</t>
  </si>
  <si>
    <t>山东玻纤</t>
  </si>
  <si>
    <t>www.lixinger.com/analytics/company/sh/605006/605006/detail</t>
  </si>
  <si>
    <t>五洲特纸</t>
  </si>
  <si>
    <t>www.lixinger.com/analytics/company/sh/605007/605007/detail</t>
  </si>
  <si>
    <t>长鸿高科</t>
  </si>
  <si>
    <t>www.lixinger.com/analytics/company/sh/605008/605008/detail</t>
  </si>
  <si>
    <t>豪悦护理</t>
  </si>
  <si>
    <t>www.lixinger.com/analytics/company/sh/605009/605009/detail</t>
  </si>
  <si>
    <t>杭州热电</t>
  </si>
  <si>
    <t>www.lixinger.com/analytics/company/sh/605011/605011/detail</t>
  </si>
  <si>
    <t>百龙创园</t>
  </si>
  <si>
    <t>www.lixinger.com/analytics/company/sh/605016/605016/detail</t>
  </si>
  <si>
    <t>长华股份</t>
  </si>
  <si>
    <t>www.lixinger.com/analytics/company/sh/605018/605018/detail</t>
  </si>
  <si>
    <t>永和股份</t>
  </si>
  <si>
    <t>www.lixinger.com/analytics/company/sh/605020/605020/detail</t>
  </si>
  <si>
    <t>世茂能源</t>
  </si>
  <si>
    <t>www.lixinger.com/analytics/company/sh/605028/605028/detail</t>
  </si>
  <si>
    <t>美邦股份</t>
  </si>
  <si>
    <t>www.lixinger.com/analytics/company/sh/605033/605033/detail</t>
  </si>
  <si>
    <t>福然德</t>
  </si>
  <si>
    <t>www.lixinger.com/analytics/company/sh/605050/605050/detail</t>
  </si>
  <si>
    <t>迎丰股份</t>
  </si>
  <si>
    <t>www.lixinger.com/analytics/company/sh/605055/605055/detail</t>
  </si>
  <si>
    <t>咸亨国际</t>
  </si>
  <si>
    <t>www.lixinger.com/analytics/company/sh/605056/605056/detail</t>
  </si>
  <si>
    <t>澳弘电子</t>
  </si>
  <si>
    <t>www.lixinger.com/analytics/company/sh/605058/605058/detail</t>
  </si>
  <si>
    <t>联德股份</t>
  </si>
  <si>
    <t>www.lixinger.com/analytics/company/sh/605060/605060/detail</t>
  </si>
  <si>
    <t>天正电气</t>
  </si>
  <si>
    <t>www.lixinger.com/analytics/company/sh/605066/605066/detail</t>
  </si>
  <si>
    <t>明新旭腾</t>
  </si>
  <si>
    <t>www.lixinger.com/analytics/company/sh/605068/605068/detail</t>
  </si>
  <si>
    <t>正和生态</t>
  </si>
  <si>
    <t>综合环境治理</t>
  </si>
  <si>
    <t>www.lixinger.com/analytics/company/sh/605069/605069/detail</t>
  </si>
  <si>
    <t>华康股份</t>
  </si>
  <si>
    <t>www.lixinger.com/analytics/company/sh/605077/605077/detail</t>
  </si>
  <si>
    <t>浙江自然</t>
  </si>
  <si>
    <t>www.lixinger.com/analytics/company/sh/605080/605080/detail</t>
  </si>
  <si>
    <t>太和水</t>
  </si>
  <si>
    <t>www.lixinger.com/analytics/company/sh/605081/605081/detail</t>
  </si>
  <si>
    <t>龙高股份</t>
  </si>
  <si>
    <t>www.lixinger.com/analytics/company/sh/605086/605086/detail</t>
  </si>
  <si>
    <t>冠盛股份</t>
  </si>
  <si>
    <t>www.lixinger.com/analytics/company/sh/605088/605088/detail</t>
  </si>
  <si>
    <t>味知香</t>
  </si>
  <si>
    <t>www.lixinger.com/analytics/company/sh/605089/605089/detail</t>
  </si>
  <si>
    <t>九丰能源</t>
  </si>
  <si>
    <t>www.lixinger.com/analytics/company/sh/605090/605090/detail</t>
  </si>
  <si>
    <t>行动教育</t>
  </si>
  <si>
    <t>www.lixinger.com/analytics/company/sh/605098/605098/detail</t>
  </si>
  <si>
    <t>共创草坪</t>
  </si>
  <si>
    <t>www.lixinger.com/analytics/company/sh/605099/605099/detail</t>
  </si>
  <si>
    <t>华丰股份</t>
  </si>
  <si>
    <t>www.lixinger.com/analytics/company/sh/605100/605100/detail</t>
  </si>
  <si>
    <t>同庆楼</t>
  </si>
  <si>
    <t>餐饮</t>
  </si>
  <si>
    <t>www.lixinger.com/analytics/company/sh/605108/605108/detail</t>
  </si>
  <si>
    <t>新洁能</t>
  </si>
  <si>
    <t>www.lixinger.com/analytics/company/sh/605111/605111/detail</t>
  </si>
  <si>
    <t>奥锐特</t>
  </si>
  <si>
    <t>www.lixinger.com/analytics/company/sh/605116/605116/detail</t>
  </si>
  <si>
    <t>德业股份</t>
  </si>
  <si>
    <t>www.lixinger.com/analytics/company/sh/605117/605117/detail</t>
  </si>
  <si>
    <t>力鼎光电</t>
  </si>
  <si>
    <t>www.lixinger.com/analytics/company/sh/605118/605118/detail</t>
  </si>
  <si>
    <t>四方新材</t>
  </si>
  <si>
    <t>www.lixinger.com/analytics/company/sh/605122/605122/detail</t>
  </si>
  <si>
    <t>派克新材</t>
  </si>
  <si>
    <t>www.lixinger.com/analytics/company/sh/605123/605123/detail</t>
  </si>
  <si>
    <t>上海沿浦</t>
  </si>
  <si>
    <t>www.lixinger.com/analytics/company/sh/605128/605128/detail</t>
  </si>
  <si>
    <t>嵘泰股份</t>
  </si>
  <si>
    <t>www.lixinger.com/analytics/company/sh/605133/605133/detail</t>
  </si>
  <si>
    <t>丽人丽妆</t>
  </si>
  <si>
    <t>电商服务</t>
  </si>
  <si>
    <t>www.lixinger.com/analytics/company/sh/605136/605136/detail</t>
  </si>
  <si>
    <t>盛泰集团</t>
  </si>
  <si>
    <t>www.lixinger.com/analytics/company/sh/605138/605138/detail</t>
  </si>
  <si>
    <t>西上海</t>
  </si>
  <si>
    <t>www.lixinger.com/analytics/company/sh/605151/605151/detail</t>
  </si>
  <si>
    <t>西大门</t>
  </si>
  <si>
    <t>www.lixinger.com/analytics/company/sh/605155/605155/detail</t>
  </si>
  <si>
    <t>华达新材</t>
  </si>
  <si>
    <t>www.lixinger.com/analytics/company/sh/605158/605158/detail</t>
  </si>
  <si>
    <t>新中港</t>
  </si>
  <si>
    <t>www.lixinger.com/analytics/company/sh/605162/605162/detail</t>
  </si>
  <si>
    <t>聚合顺</t>
  </si>
  <si>
    <t>www.lixinger.com/analytics/company/sh/605166/605166/detail</t>
  </si>
  <si>
    <t>利柏特</t>
  </si>
  <si>
    <t>www.lixinger.com/analytics/company/sh/605167/605167/detail</t>
  </si>
  <si>
    <t>三人行</t>
  </si>
  <si>
    <t>www.lixinger.com/analytics/company/sh/605168/605168/detail</t>
  </si>
  <si>
    <t>洪通燃气</t>
  </si>
  <si>
    <t>www.lixinger.com/analytics/company/sh/605169/605169/detail</t>
  </si>
  <si>
    <t>东亚药业</t>
  </si>
  <si>
    <t>www.lixinger.com/analytics/company/sh/605177/605177/detail</t>
  </si>
  <si>
    <t>时空科技</t>
  </si>
  <si>
    <t>www.lixinger.com/analytics/company/sh/605178/605178/detail</t>
  </si>
  <si>
    <t>一鸣食品</t>
  </si>
  <si>
    <t>www.lixinger.com/analytics/company/sh/605179/605179/detail</t>
  </si>
  <si>
    <t>华生科技</t>
  </si>
  <si>
    <t>www.lixinger.com/analytics/company/sh/605180/605180/detail</t>
  </si>
  <si>
    <t>确成股份</t>
  </si>
  <si>
    <t>炭黑</t>
  </si>
  <si>
    <t>www.lixinger.com/analytics/company/sh/605183/605183/detail</t>
  </si>
  <si>
    <t>健麾信息</t>
  </si>
  <si>
    <t>www.lixinger.com/analytics/company/sh/605186/605186/detail</t>
  </si>
  <si>
    <t>国光连锁</t>
  </si>
  <si>
    <t>www.lixinger.com/analytics/company/sh/605188/605188/detail</t>
  </si>
  <si>
    <t>富春染织</t>
  </si>
  <si>
    <t>www.lixinger.com/analytics/company/sh/605189/605189/detail</t>
  </si>
  <si>
    <t>华通线缆</t>
  </si>
  <si>
    <t>www.lixinger.com/analytics/company/sh/605196/605196/detail</t>
  </si>
  <si>
    <t>德利股份</t>
  </si>
  <si>
    <t>www.lixinger.com/analytics/company/sh/605198/605198/detail</t>
  </si>
  <si>
    <t>葫芦娃</t>
  </si>
  <si>
    <t>www.lixinger.com/analytics/company/sh/605199/605199/detail</t>
  </si>
  <si>
    <t>永茂泰</t>
  </si>
  <si>
    <t>www.lixinger.com/analytics/company/sh/605208/605208/detail</t>
  </si>
  <si>
    <t>伟时电子</t>
  </si>
  <si>
    <t>www.lixinger.com/analytics/company/sh/605218/605218/detail</t>
  </si>
  <si>
    <t>起帆电缆</t>
  </si>
  <si>
    <t>www.lixinger.com/analytics/company/sh/605222/605222/detail</t>
  </si>
  <si>
    <t>神通科技</t>
  </si>
  <si>
    <t>www.lixinger.com/analytics/company/sh/605228/605228/detail</t>
  </si>
  <si>
    <t>天普股份</t>
  </si>
  <si>
    <t>www.lixinger.com/analytics/company/sh/605255/605255/detail</t>
  </si>
  <si>
    <t>协和电子</t>
  </si>
  <si>
    <t>www.lixinger.com/analytics/company/sh/605258/605258/detail</t>
  </si>
  <si>
    <t>绿田机械</t>
  </si>
  <si>
    <t>www.lixinger.com/analytics/company/sh/605259/605259/detail</t>
  </si>
  <si>
    <t>健之佳</t>
  </si>
  <si>
    <t>www.lixinger.com/analytics/company/sh/605266/605266/detail</t>
  </si>
  <si>
    <t>王力安防</t>
  </si>
  <si>
    <t>www.lixinger.com/analytics/company/sh/605268/605268/detail</t>
  </si>
  <si>
    <t>新亚电子</t>
  </si>
  <si>
    <t>www.lixinger.com/analytics/company/sh/605277/605277/detail</t>
  </si>
  <si>
    <t>同力日升</t>
  </si>
  <si>
    <t>www.lixinger.com/analytics/company/sh/605286/605286/detail</t>
  </si>
  <si>
    <t>德才股份</t>
  </si>
  <si>
    <t>www.lixinger.com/analytics/company/sh/605287/605287/detail</t>
  </si>
  <si>
    <t>凯迪股份</t>
  </si>
  <si>
    <t>www.lixinger.com/analytics/company/sh/605288/605288/detail</t>
  </si>
  <si>
    <t>罗曼股份</t>
  </si>
  <si>
    <t>www.lixinger.com/analytics/company/sh/605289/605289/detail</t>
  </si>
  <si>
    <t>神农集团</t>
  </si>
  <si>
    <t>www.lixinger.com/analytics/company/sh/605296/605296/detail</t>
  </si>
  <si>
    <t>必得科技</t>
  </si>
  <si>
    <t>www.lixinger.com/analytics/company/sh/605298/605298/detail</t>
  </si>
  <si>
    <t>舒华体育</t>
  </si>
  <si>
    <t>www.lixinger.com/analytics/company/sh/605299/605299/detail</t>
  </si>
  <si>
    <t>佳禾食品</t>
  </si>
  <si>
    <t>www.lixinger.com/analytics/company/sh/605300/605300/detail</t>
  </si>
  <si>
    <t>园林股份</t>
  </si>
  <si>
    <t>www.lixinger.com/analytics/company/sh/605303/605303/detail</t>
  </si>
  <si>
    <t>中际联合</t>
  </si>
  <si>
    <t>www.lixinger.com/analytics/company/sh/605305/605305/detail</t>
  </si>
  <si>
    <t>法狮龙</t>
  </si>
  <si>
    <t>www.lixinger.com/analytics/company/sh/605318/605318/detail</t>
  </si>
  <si>
    <t>无锡振华</t>
  </si>
  <si>
    <t>www.lixinger.com/analytics/company/sh/605319/605319/detail</t>
  </si>
  <si>
    <t>沪光股份</t>
  </si>
  <si>
    <t>www.lixinger.com/analytics/company/sh/605333/605333/detail</t>
  </si>
  <si>
    <t>帅丰电器</t>
  </si>
  <si>
    <t>厨房电器</t>
  </si>
  <si>
    <t>www.lixinger.com/analytics/company/sh/605336/605336/detail</t>
  </si>
  <si>
    <t>李子园</t>
  </si>
  <si>
    <t>www.lixinger.com/analytics/company/sh/605337/605337/detail</t>
  </si>
  <si>
    <t>巴比食品</t>
  </si>
  <si>
    <t>www.lixinger.com/analytics/company/sh/605338/605338/detail</t>
  </si>
  <si>
    <t>南侨食品</t>
  </si>
  <si>
    <t>www.lixinger.com/analytics/company/sh/605339/605339/detail</t>
  </si>
  <si>
    <t>立昂微</t>
  </si>
  <si>
    <t>www.lixinger.com/analytics/company/sh/605358/605358/detail</t>
  </si>
  <si>
    <t>立达信</t>
  </si>
  <si>
    <t>www.lixinger.com/analytics/company/sh/605365/605365/detail</t>
  </si>
  <si>
    <t>宏柏新材</t>
  </si>
  <si>
    <t>www.lixinger.com/analytics/company/sh/605366/605366/detail</t>
  </si>
  <si>
    <t>蓝天燃气</t>
  </si>
  <si>
    <t>www.lixinger.com/analytics/company/sh/605368/605368/detail</t>
  </si>
  <si>
    <t>拱东医疗</t>
  </si>
  <si>
    <t>www.lixinger.com/analytics/company/sh/605369/605369/detail</t>
  </si>
  <si>
    <t>博迁新材</t>
  </si>
  <si>
    <t>www.lixinger.com/analytics/company/sh/605376/605376/detail</t>
  </si>
  <si>
    <t>华旺科技</t>
  </si>
  <si>
    <t>www.lixinger.com/analytics/company/sh/605377/605377/detail</t>
  </si>
  <si>
    <t>野马电池</t>
  </si>
  <si>
    <t>www.lixinger.com/analytics/company/sh/605378/605378/detail</t>
  </si>
  <si>
    <t>均瑶健康</t>
  </si>
  <si>
    <t>www.lixinger.com/analytics/company/sh/605388/605388/detail</t>
  </si>
  <si>
    <t>长龄液压</t>
  </si>
  <si>
    <t>www.lixinger.com/analytics/company/sh/605389/605389/detail</t>
  </si>
  <si>
    <t>新炬网络</t>
  </si>
  <si>
    <t>www.lixinger.com/analytics/company/sh/605398/605398/detail</t>
  </si>
  <si>
    <t>晨光新材</t>
  </si>
  <si>
    <t>www.lixinger.com/analytics/company/sh/605399/605399/detail</t>
  </si>
  <si>
    <t>福莱新材</t>
  </si>
  <si>
    <t>www.lixinger.com/analytics/company/sh/605488/605488/detail</t>
  </si>
  <si>
    <t>东鹏饮料</t>
  </si>
  <si>
    <t>www.lixinger.com/analytics/company/sh/605499/605499/detail</t>
  </si>
  <si>
    <t>森林包装</t>
  </si>
  <si>
    <t>www.lixinger.com/analytics/company/sh/605500/605500/detail</t>
  </si>
  <si>
    <t>国邦医药</t>
  </si>
  <si>
    <t>www.lixinger.com/analytics/company/sh/605507/605507/detail</t>
  </si>
  <si>
    <t>德昌股份</t>
  </si>
  <si>
    <t>www.lixinger.com/analytics/company/sh/605555/605555/detail</t>
  </si>
  <si>
    <t>福莱蒽特</t>
  </si>
  <si>
    <t>www.lixinger.com/analytics/company/sh/605566/605566/detail</t>
  </si>
  <si>
    <t>春雪食品</t>
  </si>
  <si>
    <t>www.lixinger.com/analytics/company/sh/605567/605567/detail</t>
  </si>
  <si>
    <t>龙版传媒</t>
  </si>
  <si>
    <t>www.lixinger.com/analytics/company/sh/605577/605577/detail</t>
  </si>
  <si>
    <t>恒盛能源</t>
  </si>
  <si>
    <t>www.lixinger.com/analytics/company/sh/605580/605580/detail</t>
  </si>
  <si>
    <t>冠石科技</t>
  </si>
  <si>
    <t>www.lixinger.com/analytics/company/sh/605588/605588/detail</t>
  </si>
  <si>
    <t>圣泉集团</t>
  </si>
  <si>
    <t>www.lixinger.com/analytics/company/sh/605589/605589/detail</t>
  </si>
  <si>
    <t>上海港湾</t>
  </si>
  <si>
    <t>www.lixinger.com/analytics/company/sh/605598/605598/detail</t>
  </si>
  <si>
    <t>菜百股份</t>
  </si>
  <si>
    <t>www.lixinger.com/analytics/company/sh/605599/605599/detail</t>
  </si>
  <si>
    <t>华兴源创</t>
  </si>
  <si>
    <t>www.lixinger.com/analytics/company/sh/688001/688001/detail</t>
  </si>
  <si>
    <t>睿创微纳</t>
  </si>
  <si>
    <t>www.lixinger.com/analytics/company/sh/688002/688002/detail</t>
  </si>
  <si>
    <t>天准科技</t>
  </si>
  <si>
    <t>www.lixinger.com/analytics/company/sh/688003/688003/detail</t>
  </si>
  <si>
    <t>博汇科技</t>
  </si>
  <si>
    <t>www.lixinger.com/analytics/company/sh/688004/688004/detail</t>
  </si>
  <si>
    <t>容百科技</t>
  </si>
  <si>
    <t>www.lixinger.com/analytics/company/sh/688005/688005/detail</t>
  </si>
  <si>
    <t>杭可科技</t>
  </si>
  <si>
    <t>锂电专用设备</t>
  </si>
  <si>
    <t>www.lixinger.com/analytics/company/sh/688006/688006/detail</t>
  </si>
  <si>
    <t>光峰科技</t>
  </si>
  <si>
    <t>www.lixinger.com/analytics/company/sh/688007/688007/detail</t>
  </si>
  <si>
    <t>澜起科技</t>
  </si>
  <si>
    <t>www.lixinger.com/analytics/company/sh/688008/688008/detail</t>
  </si>
  <si>
    <t>中国通号</t>
  </si>
  <si>
    <t>www.lixinger.com/analytics/company/sh/688009/688009/detail</t>
  </si>
  <si>
    <t>福光股份</t>
  </si>
  <si>
    <t>www.lixinger.com/analytics/company/sh/688010/688010/detail</t>
  </si>
  <si>
    <t>新光光电</t>
  </si>
  <si>
    <t>www.lixinger.com/analytics/company/sh/688011/688011/detail</t>
  </si>
  <si>
    <t>中微公司</t>
  </si>
  <si>
    <t>www.lixinger.com/analytics/company/sh/688012/688012/detail</t>
  </si>
  <si>
    <t>天臣医疗</t>
  </si>
  <si>
    <t>www.lixinger.com/analytics/company/sh/688013/688013/detail</t>
  </si>
  <si>
    <t>交控科技</t>
  </si>
  <si>
    <t>www.lixinger.com/analytics/company/sh/688015/688015/detail</t>
  </si>
  <si>
    <t>心脉医疗</t>
  </si>
  <si>
    <t>www.lixinger.com/analytics/company/sh/688016/688016/detail</t>
  </si>
  <si>
    <t>绿的谐波</t>
  </si>
  <si>
    <t>www.lixinger.com/analytics/company/sh/688017/688017/detail</t>
  </si>
  <si>
    <t>乐鑫科技</t>
  </si>
  <si>
    <t>www.lixinger.com/analytics/company/sh/688018/688018/detail</t>
  </si>
  <si>
    <t>安集科技</t>
  </si>
  <si>
    <t>www.lixinger.com/analytics/company/sh/688019/688019/detail</t>
  </si>
  <si>
    <t>方邦股份</t>
  </si>
  <si>
    <t>www.lixinger.com/analytics/company/sh/688020/688020/detail</t>
  </si>
  <si>
    <t>奥福环保</t>
  </si>
  <si>
    <t>www.lixinger.com/analytics/company/sh/688021/688021/detail</t>
  </si>
  <si>
    <t>瀚川智能</t>
  </si>
  <si>
    <t>www.lixinger.com/analytics/company/sh/688022/688022/detail</t>
  </si>
  <si>
    <t>安恒信息</t>
  </si>
  <si>
    <t>www.lixinger.com/analytics/company/sh/688023/688023/detail</t>
  </si>
  <si>
    <t>杰普特</t>
  </si>
  <si>
    <t>激光设备</t>
  </si>
  <si>
    <t>www.lixinger.com/analytics/company/sh/688025/688025/detail</t>
  </si>
  <si>
    <t>洁特生物</t>
  </si>
  <si>
    <t>www.lixinger.com/analytics/company/sh/688026/688026/detail</t>
  </si>
  <si>
    <t>国盾量子</t>
  </si>
  <si>
    <t>www.lixinger.com/analytics/company/sh/688027/688027/detail</t>
  </si>
  <si>
    <t>沃尔德</t>
  </si>
  <si>
    <t>www.lixinger.com/analytics/company/sh/688028/688028/detail</t>
  </si>
  <si>
    <t>南微医学</t>
  </si>
  <si>
    <t>www.lixinger.com/analytics/company/sh/688029/688029/detail</t>
  </si>
  <si>
    <t>山石网科</t>
  </si>
  <si>
    <t>www.lixinger.com/analytics/company/sh/688030/688030/detail</t>
  </si>
  <si>
    <t>禾迈股份</t>
  </si>
  <si>
    <t>逆变器</t>
  </si>
  <si>
    <t>www.lixinger.com/analytics/company/sh/688032/688032/detail</t>
  </si>
  <si>
    <t>天宜上佳</t>
  </si>
  <si>
    <t>www.lixinger.com/analytics/company/sh/688033/688033/detail</t>
  </si>
  <si>
    <t>传音控股</t>
  </si>
  <si>
    <t>www.lixinger.com/analytics/company/sh/688036/688036/detail</t>
  </si>
  <si>
    <t>芯源微</t>
  </si>
  <si>
    <t>www.lixinger.com/analytics/company/sh/688037/688037/detail</t>
  </si>
  <si>
    <t>中科通达</t>
  </si>
  <si>
    <t>www.lixinger.com/analytics/company/sh/688038/688038/detail</t>
  </si>
  <si>
    <t>当虹科技</t>
  </si>
  <si>
    <t>www.lixinger.com/analytics/company/sh/688039/688039/detail</t>
  </si>
  <si>
    <t>药康生物</t>
  </si>
  <si>
    <t>www.lixinger.com/analytics/company/sh/688046/688046/detail</t>
  </si>
  <si>
    <t>长光华芯</t>
  </si>
  <si>
    <t>www.lixinger.com/analytics/company/sh/688048/688048/detail</t>
  </si>
  <si>
    <t>炬芯科技</t>
  </si>
  <si>
    <t>www.lixinger.com/analytics/company/sh/688049/688049/detail</t>
  </si>
  <si>
    <t>爱博医疗</t>
  </si>
  <si>
    <t>www.lixinger.com/analytics/company/sh/688050/688050/detail</t>
  </si>
  <si>
    <t>佳华科技</t>
  </si>
  <si>
    <t>www.lixinger.com/analytics/company/sh/688051/688051/detail</t>
  </si>
  <si>
    <t>纳芯微</t>
  </si>
  <si>
    <t>www.lixinger.com/analytics/company/sh/688052/688052/detail</t>
  </si>
  <si>
    <t>龙腾光电</t>
  </si>
  <si>
    <t>www.lixinger.com/analytics/company/sh/688055/688055/detail</t>
  </si>
  <si>
    <t>莱伯泰科</t>
  </si>
  <si>
    <t>www.lixinger.com/analytics/company/sh/688056/688056/detail</t>
  </si>
  <si>
    <t>金达莱</t>
  </si>
  <si>
    <t>www.lixinger.com/analytics/company/sh/688057/688057/detail</t>
  </si>
  <si>
    <t>宝兰德</t>
  </si>
  <si>
    <t>www.lixinger.com/analytics/company/sh/688058/688058/detail</t>
  </si>
  <si>
    <t>华锐精密</t>
  </si>
  <si>
    <t>www.lixinger.com/analytics/company/sh/688059/688059/detail</t>
  </si>
  <si>
    <t>云涌科技</t>
  </si>
  <si>
    <t>www.lixinger.com/analytics/company/sh/688060/688060/detail</t>
  </si>
  <si>
    <t>迈威生物</t>
  </si>
  <si>
    <t>www.lixinger.com/analytics/company/sh/688062/688062/detail</t>
  </si>
  <si>
    <t>派能科技</t>
  </si>
  <si>
    <t>www.lixinger.com/analytics/company/sh/688063/688063/detail</t>
  </si>
  <si>
    <t>凯赛生物</t>
  </si>
  <si>
    <t>www.lixinger.com/analytics/company/sh/688065/688065/detail</t>
  </si>
  <si>
    <t>航天宏图</t>
  </si>
  <si>
    <t>www.lixinger.com/analytics/company/sh/688066/688066/detail</t>
  </si>
  <si>
    <t>爱威科技</t>
  </si>
  <si>
    <t>www.lixinger.com/analytics/company/sh/688067/688067/detail</t>
  </si>
  <si>
    <t>热景生物</t>
  </si>
  <si>
    <t>www.lixinger.com/analytics/company/sh/688068/688068/detail</t>
  </si>
  <si>
    <t>德林海</t>
  </si>
  <si>
    <t>www.lixinger.com/analytics/company/sh/688069/688069/detail</t>
  </si>
  <si>
    <t>纵横股份</t>
  </si>
  <si>
    <t>www.lixinger.com/analytics/company/sh/688070/688070/detail</t>
  </si>
  <si>
    <t>华依科技</t>
  </si>
  <si>
    <t>www.lixinger.com/analytics/company/sh/688071/688071/detail</t>
  </si>
  <si>
    <t>拓荆科技</t>
  </si>
  <si>
    <t>www.lixinger.com/analytics/company/sh/688072/688072/detail</t>
  </si>
  <si>
    <t>安旭生物</t>
  </si>
  <si>
    <t>www.lixinger.com/analytics/company/sh/688075/688075/detail</t>
  </si>
  <si>
    <t>诺泰生物</t>
  </si>
  <si>
    <t>www.lixinger.com/analytics/company/sh/688076/688076/detail</t>
  </si>
  <si>
    <t>大地熊</t>
  </si>
  <si>
    <t>www.lixinger.com/analytics/company/sh/688077/688077/detail</t>
  </si>
  <si>
    <t>龙软科技</t>
  </si>
  <si>
    <t>www.lixinger.com/analytics/company/sh/688078/688078/detail</t>
  </si>
  <si>
    <t>美迪凯</t>
  </si>
  <si>
    <t>www.lixinger.com/analytics/company/sh/688079/688079/detail</t>
  </si>
  <si>
    <t>映翰通</t>
  </si>
  <si>
    <t>www.lixinger.com/analytics/company/sh/688080/688080/detail</t>
  </si>
  <si>
    <t>兴图新科</t>
  </si>
  <si>
    <t>www.lixinger.com/analytics/company/sh/688081/688081/detail</t>
  </si>
  <si>
    <t>盛美上海</t>
  </si>
  <si>
    <t>www.lixinger.com/analytics/company/sh/688082/688082/detail</t>
  </si>
  <si>
    <t>中望软件</t>
  </si>
  <si>
    <t>www.lixinger.com/analytics/company/sh/688083/688083/detail</t>
  </si>
  <si>
    <t>三友医疗</t>
  </si>
  <si>
    <t>www.lixinger.com/analytics/company/sh/688085/688085/detail</t>
  </si>
  <si>
    <t>紫晶存储</t>
  </si>
  <si>
    <t>www.lixinger.com/analytics/company/sh/688086/688086/detail</t>
  </si>
  <si>
    <t>英科再生</t>
  </si>
  <si>
    <t>www.lixinger.com/analytics/company/sh/688087/688087/detail</t>
  </si>
  <si>
    <t>虹软科技</t>
  </si>
  <si>
    <t>www.lixinger.com/analytics/company/sh/688088/688088/detail</t>
  </si>
  <si>
    <t>嘉必优</t>
  </si>
  <si>
    <t>www.lixinger.com/analytics/company/sh/688089/688089/detail</t>
  </si>
  <si>
    <t>瑞松科技</t>
  </si>
  <si>
    <t>www.lixinger.com/analytics/company/sh/688090/688090/detail</t>
  </si>
  <si>
    <t>上海谊众</t>
  </si>
  <si>
    <t>www.lixinger.com/analytics/company/sh/688091/688091/detail</t>
  </si>
  <si>
    <t>爱科科技</t>
  </si>
  <si>
    <t>www.lixinger.com/analytics/company/sh/688092/688092/detail</t>
  </si>
  <si>
    <t>世华科技</t>
  </si>
  <si>
    <t>www.lixinger.com/analytics/company/sh/688093/688093/detail</t>
  </si>
  <si>
    <t>福昕软件</t>
  </si>
  <si>
    <t>www.lixinger.com/analytics/company/sh/688095/688095/detail</t>
  </si>
  <si>
    <t>京源环保</t>
  </si>
  <si>
    <t>www.lixinger.com/analytics/company/sh/688096/688096/detail</t>
  </si>
  <si>
    <t>博众精工</t>
  </si>
  <si>
    <t>www.lixinger.com/analytics/company/sh/688097/688097/detail</t>
  </si>
  <si>
    <t>申联生物</t>
  </si>
  <si>
    <t>www.lixinger.com/analytics/company/sh/688098/688098/detail</t>
  </si>
  <si>
    <t>晶晨股份</t>
  </si>
  <si>
    <t>www.lixinger.com/analytics/company/sh/688099/688099/detail</t>
  </si>
  <si>
    <t>威胜信息</t>
  </si>
  <si>
    <t>www.lixinger.com/analytics/company/sh/688100/688100/detail</t>
  </si>
  <si>
    <t>三达膜</t>
  </si>
  <si>
    <t>www.lixinger.com/analytics/company/sh/688101/688101/detail</t>
  </si>
  <si>
    <t>斯瑞新材</t>
  </si>
  <si>
    <t>www.lixinger.com/analytics/company/sh/688102/688102/detail</t>
  </si>
  <si>
    <t>国力股份</t>
  </si>
  <si>
    <t>www.lixinger.com/analytics/company/sh/688103/688103/detail</t>
  </si>
  <si>
    <t>诺唯赞</t>
  </si>
  <si>
    <t>www.lixinger.com/analytics/company/sh/688105/688105/detail</t>
  </si>
  <si>
    <t>金宏气体</t>
  </si>
  <si>
    <t>www.lixinger.com/analytics/company/sh/688106/688106/detail</t>
  </si>
  <si>
    <t>安路科技</t>
  </si>
  <si>
    <t>www.lixinger.com/analytics/company/sh/688107/688107/detail</t>
  </si>
  <si>
    <t>赛诺医疗</t>
  </si>
  <si>
    <t>www.lixinger.com/analytics/company/sh/688108/688108/detail</t>
  </si>
  <si>
    <t>品茗股份</t>
  </si>
  <si>
    <t>www.lixinger.com/analytics/company/sh/688109/688109/detail</t>
  </si>
  <si>
    <t>东芯股份</t>
  </si>
  <si>
    <t>www.lixinger.com/analytics/company/sh/688110/688110/detail</t>
  </si>
  <si>
    <t>金山办公</t>
  </si>
  <si>
    <t>www.lixinger.com/analytics/company/sh/688111/688111/detail</t>
  </si>
  <si>
    <t>鼎阳科技</t>
  </si>
  <si>
    <t>www.lixinger.com/analytics/company/sh/688112/688112/detail</t>
  </si>
  <si>
    <t>联测科技</t>
  </si>
  <si>
    <t>www.lixinger.com/analytics/company/sh/688113/688113/detail</t>
  </si>
  <si>
    <t>思林杰</t>
  </si>
  <si>
    <t>www.lixinger.com/analytics/company/sh/688115/688115/detail</t>
  </si>
  <si>
    <t>天奈科技</t>
  </si>
  <si>
    <t>www.lixinger.com/analytics/company/sh/688116/688116/detail</t>
  </si>
  <si>
    <t>圣诺生物</t>
  </si>
  <si>
    <t>www.lixinger.com/analytics/company/sh/688117/688117/detail</t>
  </si>
  <si>
    <t>普元信息</t>
  </si>
  <si>
    <t>www.lixinger.com/analytics/company/sh/688118/688118/detail</t>
  </si>
  <si>
    <t>卓然股份</t>
  </si>
  <si>
    <t>www.lixinger.com/analytics/company/sh/688121/688121/detail</t>
  </si>
  <si>
    <t>西部超导</t>
  </si>
  <si>
    <t>www.lixinger.com/analytics/company/sh/688122/688122/detail</t>
  </si>
  <si>
    <t>聚辰股份</t>
  </si>
  <si>
    <t>www.lixinger.com/analytics/company/sh/688123/688123/detail</t>
  </si>
  <si>
    <t>安达智能</t>
  </si>
  <si>
    <t>www.lixinger.com/analytics/company/sh/688125/688125/detail</t>
  </si>
  <si>
    <t>沪硅产业</t>
  </si>
  <si>
    <t>www.lixinger.com/analytics/company/sh/688126/688126/detail</t>
  </si>
  <si>
    <t>蓝特光学</t>
  </si>
  <si>
    <t>www.lixinger.com/analytics/company/sh/688127/688127/detail</t>
  </si>
  <si>
    <t>中国电研</t>
  </si>
  <si>
    <t>www.lixinger.com/analytics/company/sh/688128/688128/detail</t>
  </si>
  <si>
    <t>东来技术</t>
  </si>
  <si>
    <t>www.lixinger.com/analytics/company/sh/688129/688129/detail</t>
  </si>
  <si>
    <t>皓元医药</t>
  </si>
  <si>
    <t>www.lixinger.com/analytics/company/sh/688131/688131/detail</t>
  </si>
  <si>
    <t>泰坦科技</t>
  </si>
  <si>
    <t>www.lixinger.com/analytics/company/sh/688133/688133/detail</t>
  </si>
  <si>
    <t>利扬芯片</t>
  </si>
  <si>
    <t>www.lixinger.com/analytics/company/sh/688135/688135/detail</t>
  </si>
  <si>
    <t>科兴制药</t>
  </si>
  <si>
    <t>www.lixinger.com/analytics/company/sh/688136/688136/detail</t>
  </si>
  <si>
    <t>清溢光电</t>
  </si>
  <si>
    <t>www.lixinger.com/analytics/company/sh/688138/688138/detail</t>
  </si>
  <si>
    <t>海尔生物</t>
  </si>
  <si>
    <t>www.lixinger.com/analytics/company/sh/688139/688139/detail</t>
  </si>
  <si>
    <t>芳源股份</t>
  </si>
  <si>
    <t>www.lixinger.com/analytics/company/sh/688148/688148/detail</t>
  </si>
  <si>
    <t>莱特光电</t>
  </si>
  <si>
    <t>www.lixinger.com/analytics/company/sh/688150/688150/detail</t>
  </si>
  <si>
    <t>华强科技</t>
  </si>
  <si>
    <t>www.lixinger.com/analytics/company/sh/688151/688151/detail</t>
  </si>
  <si>
    <t>唯捷创芯</t>
  </si>
  <si>
    <t>www.lixinger.com/analytics/company/sh/688153/688153/detail</t>
  </si>
  <si>
    <t>先惠技术</t>
  </si>
  <si>
    <t>www.lixinger.com/analytics/company/sh/688155/688155/detail</t>
  </si>
  <si>
    <t>路德环境</t>
  </si>
  <si>
    <t>www.lixinger.com/analytics/company/sh/688156/688156/detail</t>
  </si>
  <si>
    <t>松井股份</t>
  </si>
  <si>
    <t>www.lixinger.com/analytics/company/sh/688157/688157/detail</t>
  </si>
  <si>
    <t>优刻得</t>
  </si>
  <si>
    <t>www.lixinger.com/analytics/company/sh/688158/688158/detail</t>
  </si>
  <si>
    <t>有方科技</t>
  </si>
  <si>
    <t>www.lixinger.com/analytics/company/sh/688159/688159/detail</t>
  </si>
  <si>
    <t>步科股份</t>
  </si>
  <si>
    <t>www.lixinger.com/analytics/company/sh/688160/688160/detail</t>
  </si>
  <si>
    <t>威高骨科</t>
  </si>
  <si>
    <t>www.lixinger.com/analytics/company/sh/688161/688161/detail</t>
  </si>
  <si>
    <t>巨一科技</t>
  </si>
  <si>
    <t>www.lixinger.com/analytics/company/sh/688162/688162/detail</t>
  </si>
  <si>
    <t>赛伦生物</t>
  </si>
  <si>
    <t>www.lixinger.com/analytics/company/sh/688163/688163/detail</t>
  </si>
  <si>
    <t>埃夫特</t>
  </si>
  <si>
    <t>www.lixinger.com/analytics/company/sh/688165/688165/detail</t>
  </si>
  <si>
    <t>博瑞医药</t>
  </si>
  <si>
    <t>www.lixinger.com/analytics/company/sh/688166/688166/detail</t>
  </si>
  <si>
    <t>炬光科技</t>
  </si>
  <si>
    <t>www.lixinger.com/analytics/company/sh/688167/688167/detail</t>
  </si>
  <si>
    <t>安博通</t>
  </si>
  <si>
    <t>www.lixinger.com/analytics/company/sh/688168/688168/detail</t>
  </si>
  <si>
    <t>石头科技</t>
  </si>
  <si>
    <t>www.lixinger.com/analytics/company/sh/688169/688169/detail</t>
  </si>
  <si>
    <t>德龙激光</t>
  </si>
  <si>
    <t>www.lixinger.com/analytics/company/sh/688170/688170/detail</t>
  </si>
  <si>
    <t>纬德信息</t>
  </si>
  <si>
    <t>www.lixinger.com/analytics/company/sh/688171/688171/detail</t>
  </si>
  <si>
    <t>希荻微</t>
  </si>
  <si>
    <t>www.lixinger.com/analytics/company/sh/688173/688173/detail</t>
  </si>
  <si>
    <t>高凌信息</t>
  </si>
  <si>
    <t>www.lixinger.com/analytics/company/sh/688175/688175/detail</t>
  </si>
  <si>
    <t>亚虹医药</t>
  </si>
  <si>
    <t>www.lixinger.com/analytics/company/sh/688176/688176/detail</t>
  </si>
  <si>
    <t>百奥泰</t>
  </si>
  <si>
    <t>www.lixinger.com/analytics/company/sh/688177/688177/detail</t>
  </si>
  <si>
    <t>万德斯</t>
  </si>
  <si>
    <t>www.lixinger.com/analytics/company/sh/688178/688178/detail</t>
  </si>
  <si>
    <t>阿拉丁</t>
  </si>
  <si>
    <t>www.lixinger.com/analytics/company/sh/688179/688179/detail</t>
  </si>
  <si>
    <t>君实生物</t>
  </si>
  <si>
    <t>www.lixinger.com/analytics/company/sh/688180/688180/detail</t>
  </si>
  <si>
    <t>八亿时空</t>
  </si>
  <si>
    <t>www.lixinger.com/analytics/company/sh/688181/688181/detail</t>
  </si>
  <si>
    <t>灿勤科技</t>
  </si>
  <si>
    <t>www.lixinger.com/analytics/company/sh/688182/688182/detail</t>
  </si>
  <si>
    <t>生益电子</t>
  </si>
  <si>
    <t>www.lixinger.com/analytics/company/sh/688183/688183/detail</t>
  </si>
  <si>
    <t>康希诺</t>
  </si>
  <si>
    <t>www.lixinger.com/analytics/company/sh/688185/688185/detail</t>
  </si>
  <si>
    <t>广大特材</t>
  </si>
  <si>
    <t>www.lixinger.com/analytics/company/sh/688186/688186/detail</t>
  </si>
  <si>
    <t>时代电气</t>
  </si>
  <si>
    <t>www.lixinger.com/analytics/company/sh/688187/688187/detail</t>
  </si>
  <si>
    <t>柏楚电子</t>
  </si>
  <si>
    <t>www.lixinger.com/analytics/company/sh/688188/688188/detail</t>
  </si>
  <si>
    <t>南新制药</t>
  </si>
  <si>
    <t>www.lixinger.com/analytics/company/sh/688189/688189/detail</t>
  </si>
  <si>
    <t>云路股份</t>
  </si>
  <si>
    <t>www.lixinger.com/analytics/company/sh/688190/688190/detail</t>
  </si>
  <si>
    <t>智洋创新</t>
  </si>
  <si>
    <t>www.lixinger.com/analytics/company/sh/688191/688191/detail</t>
  </si>
  <si>
    <t>迪哲医药</t>
  </si>
  <si>
    <t>www.lixinger.com/analytics/company/sh/688192/688192/detail</t>
  </si>
  <si>
    <t>仁度生物</t>
  </si>
  <si>
    <t>www.lixinger.com/analytics/company/sh/688193/688193/detail</t>
  </si>
  <si>
    <t>腾景科技</t>
  </si>
  <si>
    <t>www.lixinger.com/analytics/company/sh/688195/688195/detail</t>
  </si>
  <si>
    <t>卓越新能</t>
  </si>
  <si>
    <t>www.lixinger.com/analytics/company/sh/688196/688196/detail</t>
  </si>
  <si>
    <t>首药控股</t>
  </si>
  <si>
    <t>www.lixinger.com/analytics/company/sh/688197/688197/detail</t>
  </si>
  <si>
    <t>佰仁医疗</t>
  </si>
  <si>
    <t>www.lixinger.com/analytics/company/sh/688198/688198/detail</t>
  </si>
  <si>
    <t>久日新材</t>
  </si>
  <si>
    <t>www.lixinger.com/analytics/company/sh/688199/688199/detail</t>
  </si>
  <si>
    <t>华峰测控</t>
  </si>
  <si>
    <t>www.lixinger.com/analytics/company/sh/688200/688200/detail</t>
  </si>
  <si>
    <t>信安世纪</t>
  </si>
  <si>
    <t>www.lixinger.com/analytics/company/sh/688201/688201/detail</t>
  </si>
  <si>
    <t>美迪西</t>
  </si>
  <si>
    <t>www.lixinger.com/analytics/company/sh/688202/688202/detail</t>
  </si>
  <si>
    <t>概伦电子</t>
  </si>
  <si>
    <t>www.lixinger.com/analytics/company/sh/688206/688206/detail</t>
  </si>
  <si>
    <t>格灵深瞳</t>
  </si>
  <si>
    <t>www.lixinger.com/analytics/company/sh/688207/688207/detail</t>
  </si>
  <si>
    <t>道通科技</t>
  </si>
  <si>
    <t>www.lixinger.com/analytics/company/sh/688208/688208/detail</t>
  </si>
  <si>
    <t>英集芯</t>
  </si>
  <si>
    <t>www.lixinger.com/analytics/company/sh/688209/688209/detail</t>
  </si>
  <si>
    <t>统联精密</t>
  </si>
  <si>
    <t>www.lixinger.com/analytics/company/sh/688210/688210/detail</t>
  </si>
  <si>
    <t>中科微至</t>
  </si>
  <si>
    <t>www.lixinger.com/analytics/company/sh/688211/688211/detail</t>
  </si>
  <si>
    <t>澳华内镜</t>
  </si>
  <si>
    <t>www.lixinger.com/analytics/company/sh/688212/688212/detail</t>
  </si>
  <si>
    <t>思特威</t>
  </si>
  <si>
    <t>www.lixinger.com/analytics/company/sh/688213/688213/detail</t>
  </si>
  <si>
    <t>瑞晟智能</t>
  </si>
  <si>
    <t>www.lixinger.com/analytics/company/sh/688215/688215/detail</t>
  </si>
  <si>
    <t>气派科技</t>
  </si>
  <si>
    <t>www.lixinger.com/analytics/company/sh/688216/688216/detail</t>
  </si>
  <si>
    <t>睿昂基因</t>
  </si>
  <si>
    <t>www.lixinger.com/analytics/company/sh/688217/688217/detail</t>
  </si>
  <si>
    <t>江苏北人</t>
  </si>
  <si>
    <t>www.lixinger.com/analytics/company/sh/688218/688218/detail</t>
  </si>
  <si>
    <t>会通股份</t>
  </si>
  <si>
    <t>www.lixinger.com/analytics/company/sh/688219/688219/detail</t>
  </si>
  <si>
    <t>翱捷科技</t>
  </si>
  <si>
    <t>www.lixinger.com/analytics/company/sh/688220/688220/detail</t>
  </si>
  <si>
    <t>前沿生物</t>
  </si>
  <si>
    <t>www.lixinger.com/analytics/company/sh/688221/688221/detail</t>
  </si>
  <si>
    <t>成都先导</t>
  </si>
  <si>
    <t>www.lixinger.com/analytics/company/sh/688222/688222/detail</t>
  </si>
  <si>
    <t>晶科能源</t>
  </si>
  <si>
    <t>www.lixinger.com/analytics/company/sh/688223/688223/detail</t>
  </si>
  <si>
    <t>亚信安全</t>
  </si>
  <si>
    <t>www.lixinger.com/analytics/company/sh/688225/688225/detail</t>
  </si>
  <si>
    <t>威腾电气</t>
  </si>
  <si>
    <t>www.lixinger.com/analytics/company/sh/688226/688226/detail</t>
  </si>
  <si>
    <t>品高股份</t>
  </si>
  <si>
    <t>www.lixinger.com/analytics/company/sh/688227/688227/detail</t>
  </si>
  <si>
    <t>开普云</t>
  </si>
  <si>
    <t>www.lixinger.com/analytics/company/sh/688228/688228/detail</t>
  </si>
  <si>
    <t>博睿数据</t>
  </si>
  <si>
    <t>www.lixinger.com/analytics/company/sh/688229/688229/detail</t>
  </si>
  <si>
    <t>芯导科技</t>
  </si>
  <si>
    <t>www.lixinger.com/analytics/company/sh/688230/688230/detail</t>
  </si>
  <si>
    <t>新点软件</t>
  </si>
  <si>
    <t>www.lixinger.com/analytics/company/sh/688232/688232/detail</t>
  </si>
  <si>
    <t>神工股份</t>
  </si>
  <si>
    <t>www.lixinger.com/analytics/company/sh/688233/688233/detail</t>
  </si>
  <si>
    <t>天岳先进</t>
  </si>
  <si>
    <t>www.lixinger.com/analytics/company/sh/688234/688234/detail</t>
  </si>
  <si>
    <t>百济神州</t>
  </si>
  <si>
    <t>www.lixinger.com/analytics/company/sh/688235/688235/detail</t>
  </si>
  <si>
    <t>春立医疗</t>
  </si>
  <si>
    <t>www.lixinger.com/analytics/company/sh/688236/688236/detail</t>
  </si>
  <si>
    <t>和元生物</t>
  </si>
  <si>
    <t>www.lixinger.com/analytics/company/sh/688238/688238/detail</t>
  </si>
  <si>
    <t>航宇科技</t>
  </si>
  <si>
    <t>www.lixinger.com/analytics/company/sh/688239/688239/detail</t>
  </si>
  <si>
    <t>嘉和美康</t>
  </si>
  <si>
    <t>www.lixinger.com/analytics/company/sh/688246/688246/detail</t>
  </si>
  <si>
    <t>南网科技</t>
  </si>
  <si>
    <t>www.lixinger.com/analytics/company/sh/688248/688248/detail</t>
  </si>
  <si>
    <t>凯尔达</t>
  </si>
  <si>
    <t>www.lixinger.com/analytics/company/sh/688255/688255/detail</t>
  </si>
  <si>
    <t>寒武纪</t>
  </si>
  <si>
    <t>www.lixinger.com/analytics/company/sh/688256/688256/detail</t>
  </si>
  <si>
    <t>新锐股份</t>
  </si>
  <si>
    <t>www.lixinger.com/analytics/company/sh/688257/688257/detail</t>
  </si>
  <si>
    <t>卓易信息</t>
  </si>
  <si>
    <t>www.lixinger.com/analytics/company/sh/688258/688258/detail</t>
  </si>
  <si>
    <t>创耀科技</t>
  </si>
  <si>
    <t>www.lixinger.com/analytics/company/sh/688259/688259/detail</t>
  </si>
  <si>
    <t>昀冢科技</t>
  </si>
  <si>
    <t>www.lixinger.com/analytics/company/sh/688260/688260/detail</t>
  </si>
  <si>
    <t>东微半导</t>
  </si>
  <si>
    <t>www.lixinger.com/analytics/company/sh/688261/688261/detail</t>
  </si>
  <si>
    <t>国芯科技</t>
  </si>
  <si>
    <t>www.lixinger.com/analytics/company/sh/688262/688262/detail</t>
  </si>
  <si>
    <t>南模生物</t>
  </si>
  <si>
    <t>www.lixinger.com/analytics/company/sh/688265/688265/detail</t>
  </si>
  <si>
    <t>泽璟制药</t>
  </si>
  <si>
    <t>www.lixinger.com/analytics/company/sh/688266/688266/detail</t>
  </si>
  <si>
    <t>中触媒</t>
  </si>
  <si>
    <t>www.lixinger.com/analytics/company/sh/688267/688267/detail</t>
  </si>
  <si>
    <t>华特气体</t>
  </si>
  <si>
    <t>www.lixinger.com/analytics/company/sh/688268/688268/detail</t>
  </si>
  <si>
    <t>凯立新材</t>
  </si>
  <si>
    <t>www.lixinger.com/analytics/company/sh/688269/688269/detail</t>
  </si>
  <si>
    <t>臻镭科技</t>
  </si>
  <si>
    <t>www.lixinger.com/analytics/company/sh/688270/688270/detail</t>
  </si>
  <si>
    <t>富吉瑞</t>
  </si>
  <si>
    <t>www.lixinger.com/analytics/company/sh/688272/688272/detail</t>
  </si>
  <si>
    <t>百克生物</t>
  </si>
  <si>
    <t>www.lixinger.com/analytics/company/sh/688276/688276/detail</t>
  </si>
  <si>
    <t>天智航</t>
  </si>
  <si>
    <t>www.lixinger.com/analytics/company/sh/688277/688277/detail</t>
  </si>
  <si>
    <t>特宝生物</t>
  </si>
  <si>
    <t>www.lixinger.com/analytics/company/sh/688278/688278/detail</t>
  </si>
  <si>
    <t>峰岹科技</t>
  </si>
  <si>
    <t>www.lixinger.com/analytics/company/sh/688279/688279/detail</t>
  </si>
  <si>
    <t>精进电动</t>
  </si>
  <si>
    <t>www.lixinger.com/analytics/company/sh/688280/688280/detail</t>
  </si>
  <si>
    <t>华秦科技</t>
  </si>
  <si>
    <t>www.lixinger.com/analytics/company/sh/688281/688281/detail</t>
  </si>
  <si>
    <t>理工导航</t>
  </si>
  <si>
    <t>www.lixinger.com/analytics/company/sh/688282/688282/detail</t>
  </si>
  <si>
    <t>坤恒顺维</t>
  </si>
  <si>
    <t>www.lixinger.com/analytics/company/sh/688283/688283/detail</t>
  </si>
  <si>
    <t>高铁电气</t>
  </si>
  <si>
    <t>www.lixinger.com/analytics/company/sh/688285/688285/detail</t>
  </si>
  <si>
    <t>敏芯股份</t>
  </si>
  <si>
    <t>www.lixinger.com/analytics/company/sh/688286/688286/detail</t>
  </si>
  <si>
    <t>鸿泉物联</t>
  </si>
  <si>
    <t>www.lixinger.com/analytics/company/sh/688288/688288/detail</t>
  </si>
  <si>
    <t>圣湘生物</t>
  </si>
  <si>
    <t>www.lixinger.com/analytics/company/sh/688289/688289/detail</t>
  </si>
  <si>
    <t>景业智能</t>
  </si>
  <si>
    <t>www.lixinger.com/analytics/company/sh/688290/688290/detail</t>
  </si>
  <si>
    <t>中复神鹰</t>
  </si>
  <si>
    <t>www.lixinger.com/analytics/company/sh/688295/688295/detail</t>
  </si>
  <si>
    <t>和达科技</t>
  </si>
  <si>
    <t>www.lixinger.com/analytics/company/sh/688296/688296/detail</t>
  </si>
  <si>
    <t>东方生物</t>
  </si>
  <si>
    <t>www.lixinger.com/analytics/company/sh/688298/688298/detail</t>
  </si>
  <si>
    <t>长阳科技</t>
  </si>
  <si>
    <t>www.lixinger.com/analytics/company/sh/688299/688299/detail</t>
  </si>
  <si>
    <t>联瑞新材</t>
  </si>
  <si>
    <t>www.lixinger.com/analytics/company/sh/688300/688300/detail</t>
  </si>
  <si>
    <t>奕瑞科技</t>
  </si>
  <si>
    <t>www.lixinger.com/analytics/company/sh/688301/688301/detail</t>
  </si>
  <si>
    <t>海创药业</t>
  </si>
  <si>
    <t>www.lixinger.com/analytics/company/sh/688302/688302/detail</t>
  </si>
  <si>
    <t>大全能源</t>
  </si>
  <si>
    <t>www.lixinger.com/analytics/company/sh/688303/688303/detail</t>
  </si>
  <si>
    <t>科德数控</t>
  </si>
  <si>
    <t>www.lixinger.com/analytics/company/sh/688305/688305/detail</t>
  </si>
  <si>
    <t>均普智能</t>
  </si>
  <si>
    <t>www.lixinger.com/analytics/company/sh/688306/688306/detail</t>
  </si>
  <si>
    <t>欧科亿</t>
  </si>
  <si>
    <t>www.lixinger.com/analytics/company/sh/688308/688308/detail</t>
  </si>
  <si>
    <t>*ST恒誉</t>
  </si>
  <si>
    <t>www.lixinger.com/analytics/company/sh/688309/688309/detail</t>
  </si>
  <si>
    <t>迈得医疗</t>
  </si>
  <si>
    <t>www.lixinger.com/analytics/company/sh/688310/688310/detail</t>
  </si>
  <si>
    <t>盟升电子</t>
  </si>
  <si>
    <t>www.lixinger.com/analytics/company/sh/688311/688311/detail</t>
  </si>
  <si>
    <t>燕麦科技</t>
  </si>
  <si>
    <t>www.lixinger.com/analytics/company/sh/688312/688312/detail</t>
  </si>
  <si>
    <t>仕佳光子</t>
  </si>
  <si>
    <t>www.lixinger.com/analytics/company/sh/688313/688313/detail</t>
  </si>
  <si>
    <t>康拓医疗</t>
  </si>
  <si>
    <t>www.lixinger.com/analytics/company/sh/688314/688314/detail</t>
  </si>
  <si>
    <t>诺禾致源</t>
  </si>
  <si>
    <t>其他医疗服务</t>
  </si>
  <si>
    <t>www.lixinger.com/analytics/company/sh/688315/688315/detail</t>
  </si>
  <si>
    <t>青云科技</t>
  </si>
  <si>
    <t>www.lixinger.com/analytics/company/sh/688316/688316/detail</t>
  </si>
  <si>
    <t>之江生物</t>
  </si>
  <si>
    <t>www.lixinger.com/analytics/company/sh/688317/688317/detail</t>
  </si>
  <si>
    <t>财富趋势</t>
  </si>
  <si>
    <t>www.lixinger.com/analytics/company/sh/688318/688318/detail</t>
  </si>
  <si>
    <t>欧林生物</t>
  </si>
  <si>
    <t>www.lixinger.com/analytics/company/sh/688319/688319/detail</t>
  </si>
  <si>
    <t>禾川科技</t>
  </si>
  <si>
    <t>www.lixinger.com/analytics/company/sh/688320/688320/detail</t>
  </si>
  <si>
    <t>微芯生物</t>
  </si>
  <si>
    <t>www.lixinger.com/analytics/company/sh/688321/688321/detail</t>
  </si>
  <si>
    <t>瑞华泰</t>
  </si>
  <si>
    <t>www.lixinger.com/analytics/company/sh/688323/688323/detail</t>
  </si>
  <si>
    <t>赛微微电</t>
  </si>
  <si>
    <t>www.lixinger.com/analytics/company/sh/688325/688325/detail</t>
  </si>
  <si>
    <t>经纬恒润</t>
  </si>
  <si>
    <t>www.lixinger.com/analytics/company/sh/688326/688326/detail</t>
  </si>
  <si>
    <t>云从科技</t>
  </si>
  <si>
    <t>www.lixinger.com/analytics/company/sh/688327/688327/detail</t>
  </si>
  <si>
    <t>深科达</t>
  </si>
  <si>
    <t>www.lixinger.com/analytics/company/sh/688328/688328/detail</t>
  </si>
  <si>
    <t>艾隆科技</t>
  </si>
  <si>
    <t>www.lixinger.com/analytics/company/sh/688329/688329/detail</t>
  </si>
  <si>
    <t>宏力达</t>
  </si>
  <si>
    <t>www.lixinger.com/analytics/company/sh/688330/688330/detail</t>
  </si>
  <si>
    <t>荣昌生物</t>
  </si>
  <si>
    <t>www.lixinger.com/analytics/company/sh/688331/688331/detail</t>
  </si>
  <si>
    <t>铂力特</t>
  </si>
  <si>
    <t>www.lixinger.com/analytics/company/sh/688333/688333/detail</t>
  </si>
  <si>
    <t>复洁环保</t>
  </si>
  <si>
    <t>www.lixinger.com/analytics/company/sh/688335/688335/detail</t>
  </si>
  <si>
    <t>三生国健</t>
  </si>
  <si>
    <t>www.lixinger.com/analytics/company/sh/688336/688336/detail</t>
  </si>
  <si>
    <t>普源精电</t>
  </si>
  <si>
    <t>www.lixinger.com/analytics/company/sh/688337/688337/detail</t>
  </si>
  <si>
    <t>赛科希德</t>
  </si>
  <si>
    <t>www.lixinger.com/analytics/company/sh/688338/688338/detail</t>
  </si>
  <si>
    <t>亿华通</t>
  </si>
  <si>
    <t>燃料电池</t>
  </si>
  <si>
    <t>www.lixinger.com/analytics/company/sh/688339/688339/detail</t>
  </si>
  <si>
    <t>博力威</t>
  </si>
  <si>
    <t>www.lixinger.com/analytics/company/sh/688345/688345/detail</t>
  </si>
  <si>
    <t>富淼科技</t>
  </si>
  <si>
    <t>www.lixinger.com/analytics/company/sh/688350/688350/detail</t>
  </si>
  <si>
    <t>明志科技</t>
  </si>
  <si>
    <t>www.lixinger.com/analytics/company/sh/688355/688355/detail</t>
  </si>
  <si>
    <t>键凯科技</t>
  </si>
  <si>
    <t>www.lixinger.com/analytics/company/sh/688356/688356/detail</t>
  </si>
  <si>
    <t>建龙微纳</t>
  </si>
  <si>
    <t>www.lixinger.com/analytics/company/sh/688357/688357/detail</t>
  </si>
  <si>
    <t>祥生医疗</t>
  </si>
  <si>
    <t>www.lixinger.com/analytics/company/sh/688358/688358/detail</t>
  </si>
  <si>
    <t>三孚新科</t>
  </si>
  <si>
    <t>www.lixinger.com/analytics/company/sh/688359/688359/detail</t>
  </si>
  <si>
    <t>德马科技</t>
  </si>
  <si>
    <t>www.lixinger.com/analytics/company/sh/688360/688360/detail</t>
  </si>
  <si>
    <t>华熙生物</t>
  </si>
  <si>
    <t>医美耗材</t>
  </si>
  <si>
    <t>www.lixinger.com/analytics/company/sh/688363/688363/detail</t>
  </si>
  <si>
    <t>光云科技</t>
  </si>
  <si>
    <t>www.lixinger.com/analytics/company/sh/688365/688365/detail</t>
  </si>
  <si>
    <t>昊海生科</t>
  </si>
  <si>
    <t>www.lixinger.com/analytics/company/sh/688366/688366/detail</t>
  </si>
  <si>
    <t>工大高科</t>
  </si>
  <si>
    <t>www.lixinger.com/analytics/company/sh/688367/688367/detail</t>
  </si>
  <si>
    <t>晶丰明源</t>
  </si>
  <si>
    <t>www.lixinger.com/analytics/company/sh/688368/688368/detail</t>
  </si>
  <si>
    <t>致远互联</t>
  </si>
  <si>
    <t>www.lixinger.com/analytics/company/sh/688369/688369/detail</t>
  </si>
  <si>
    <t>迪威尔</t>
  </si>
  <si>
    <t>www.lixinger.com/analytics/company/sh/688377/688377/detail</t>
  </si>
  <si>
    <t>奥来德</t>
  </si>
  <si>
    <t>www.lixinger.com/analytics/company/sh/688378/688378/detail</t>
  </si>
  <si>
    <t>华光新材</t>
  </si>
  <si>
    <t>www.lixinger.com/analytics/company/sh/688379/688379/detail</t>
  </si>
  <si>
    <t>新益昌</t>
  </si>
  <si>
    <t>www.lixinger.com/analytics/company/sh/688383/688383/detail</t>
  </si>
  <si>
    <t>复旦微电</t>
  </si>
  <si>
    <t>www.lixinger.com/analytics/company/sh/688385/688385/detail</t>
  </si>
  <si>
    <t>泛亚微透</t>
  </si>
  <si>
    <t>www.lixinger.com/analytics/company/sh/688386/688386/detail</t>
  </si>
  <si>
    <t>嘉元科技</t>
  </si>
  <si>
    <t>www.lixinger.com/analytics/company/sh/688388/688388/detail</t>
  </si>
  <si>
    <t>普门科技</t>
  </si>
  <si>
    <t>www.lixinger.com/analytics/company/sh/688389/688389/detail</t>
  </si>
  <si>
    <t>固德威</t>
  </si>
  <si>
    <t>www.lixinger.com/analytics/company/sh/688390/688390/detail</t>
  </si>
  <si>
    <t>安必平</t>
  </si>
  <si>
    <t>www.lixinger.com/analytics/company/sh/688393/688393/detail</t>
  </si>
  <si>
    <t>正弦电气</t>
  </si>
  <si>
    <t>www.lixinger.com/analytics/company/sh/688395/688395/detail</t>
  </si>
  <si>
    <t>华润微</t>
  </si>
  <si>
    <t>集成电路制造</t>
  </si>
  <si>
    <t>www.lixinger.com/analytics/company/sh/688396/688396/detail</t>
  </si>
  <si>
    <t>赛特新材</t>
  </si>
  <si>
    <t>www.lixinger.com/analytics/company/sh/688398/688398/detail</t>
  </si>
  <si>
    <t>硕世生物</t>
  </si>
  <si>
    <t>www.lixinger.com/analytics/company/sh/688399/688399/detail</t>
  </si>
  <si>
    <t>中信博</t>
  </si>
  <si>
    <t>www.lixinger.com/analytics/company/sh/688408/688408/detail</t>
  </si>
  <si>
    <t>震有科技</t>
  </si>
  <si>
    <t>www.lixinger.com/analytics/company/sh/688418/688418/detail</t>
  </si>
  <si>
    <t>铁建重工</t>
  </si>
  <si>
    <t>www.lixinger.com/analytics/company/sh/688425/688425/detail</t>
  </si>
  <si>
    <t>有研粉材</t>
  </si>
  <si>
    <t>www.lixinger.com/analytics/company/sh/688456/688456/detail</t>
  </si>
  <si>
    <t>金科环境</t>
  </si>
  <si>
    <t>www.lixinger.com/analytics/company/sh/688466/688466/detail</t>
  </si>
  <si>
    <t>科美诊断</t>
  </si>
  <si>
    <t>www.lixinger.com/analytics/company/sh/688468/688468/detail</t>
  </si>
  <si>
    <t>艾迪药业</t>
  </si>
  <si>
    <t>www.lixinger.com/analytics/company/sh/688488/688488/detail</t>
  </si>
  <si>
    <t>利元亨</t>
  </si>
  <si>
    <t>www.lixinger.com/analytics/company/sh/688499/688499/detail</t>
  </si>
  <si>
    <t>慧辰股份</t>
  </si>
  <si>
    <t>www.lixinger.com/analytics/company/sh/688500/688500/detail</t>
  </si>
  <si>
    <t>青达环保</t>
  </si>
  <si>
    <t>www.lixinger.com/analytics/company/sh/688501/688501/detail</t>
  </si>
  <si>
    <t>复旦张江</t>
  </si>
  <si>
    <t>www.lixinger.com/analytics/company/sh/688505/688505/detail</t>
  </si>
  <si>
    <t>芯朋微</t>
  </si>
  <si>
    <t>www.lixinger.com/analytics/company/sh/688508/688508/detail</t>
  </si>
  <si>
    <t>正元地信</t>
  </si>
  <si>
    <t>www.lixinger.com/analytics/company/sh/688509/688509/detail</t>
  </si>
  <si>
    <t>航亚科技</t>
  </si>
  <si>
    <t>www.lixinger.com/analytics/company/sh/688510/688510/detail</t>
  </si>
  <si>
    <t>天微电子</t>
  </si>
  <si>
    <t>www.lixinger.com/analytics/company/sh/688511/688511/detail</t>
  </si>
  <si>
    <t>苑东生物</t>
  </si>
  <si>
    <t>www.lixinger.com/analytics/company/sh/688513/688513/detail</t>
  </si>
  <si>
    <t>奥特维</t>
  </si>
  <si>
    <t>www.lixinger.com/analytics/company/sh/688516/688516/detail</t>
  </si>
  <si>
    <t>金冠电气</t>
  </si>
  <si>
    <t>www.lixinger.com/analytics/company/sh/688517/688517/detail</t>
  </si>
  <si>
    <t>联赢激光</t>
  </si>
  <si>
    <t>www.lixinger.com/analytics/company/sh/688518/688518/detail</t>
  </si>
  <si>
    <t>南亚新材</t>
  </si>
  <si>
    <t>www.lixinger.com/analytics/company/sh/688519/688519/detail</t>
  </si>
  <si>
    <t>神州细胞</t>
  </si>
  <si>
    <t>www.lixinger.com/analytics/company/sh/688520/688520/detail</t>
  </si>
  <si>
    <t>芯原股份</t>
  </si>
  <si>
    <t>www.lixinger.com/analytics/company/sh/688521/688521/detail</t>
  </si>
  <si>
    <t>科前生物</t>
  </si>
  <si>
    <t>www.lixinger.com/analytics/company/sh/688526/688526/detail</t>
  </si>
  <si>
    <t>秦川物联</t>
  </si>
  <si>
    <t>www.lixinger.com/analytics/company/sh/688528/688528/detail</t>
  </si>
  <si>
    <t>豪森股份</t>
  </si>
  <si>
    <t>www.lixinger.com/analytics/company/sh/688529/688529/detail</t>
  </si>
  <si>
    <t>上声电子</t>
  </si>
  <si>
    <t>www.lixinger.com/analytics/company/sh/688533/688533/detail</t>
  </si>
  <si>
    <t>思瑞浦</t>
  </si>
  <si>
    <t>www.lixinger.com/analytics/company/sh/688536/688536/detail</t>
  </si>
  <si>
    <t>和辉光电</t>
  </si>
  <si>
    <t>www.lixinger.com/analytics/company/sh/688538/688538/detail</t>
  </si>
  <si>
    <t>瑞联新材</t>
  </si>
  <si>
    <t>www.lixinger.com/analytics/company/sh/688550/688550/detail</t>
  </si>
  <si>
    <t>科威尔</t>
  </si>
  <si>
    <t>www.lixinger.com/analytics/company/sh/688551/688551/detail</t>
  </si>
  <si>
    <t>汇宇制药</t>
  </si>
  <si>
    <t>www.lixinger.com/analytics/company/sh/688553/688553/detail</t>
  </si>
  <si>
    <t>泽达易盛</t>
  </si>
  <si>
    <t>www.lixinger.com/analytics/company/sh/688555/688555/detail</t>
  </si>
  <si>
    <t>高测股份</t>
  </si>
  <si>
    <t>www.lixinger.com/analytics/company/sh/688556/688556/detail</t>
  </si>
  <si>
    <t>兰剑智能</t>
  </si>
  <si>
    <t>www.lixinger.com/analytics/company/sh/688557/688557/detail</t>
  </si>
  <si>
    <t>国盛智科</t>
  </si>
  <si>
    <t>www.lixinger.com/analytics/company/sh/688558/688558/detail</t>
  </si>
  <si>
    <t>海目星</t>
  </si>
  <si>
    <t>www.lixinger.com/analytics/company/sh/688559/688559/detail</t>
  </si>
  <si>
    <t>明冠新材</t>
  </si>
  <si>
    <t>www.lixinger.com/analytics/company/sh/688560/688560/detail</t>
  </si>
  <si>
    <t>奇安信</t>
  </si>
  <si>
    <t>www.lixinger.com/analytics/company/sh/688561/688561/detail</t>
  </si>
  <si>
    <t>力源科技</t>
  </si>
  <si>
    <t>www.lixinger.com/analytics/company/sh/688565/688565/detail</t>
  </si>
  <si>
    <t>吉贝尔</t>
  </si>
  <si>
    <t>www.lixinger.com/analytics/company/sh/688566/688566/detail</t>
  </si>
  <si>
    <t>孚能科技</t>
  </si>
  <si>
    <t>www.lixinger.com/analytics/company/sh/688567/688567/detail</t>
  </si>
  <si>
    <t>中科星图</t>
  </si>
  <si>
    <t>www.lixinger.com/analytics/company/sh/688568/688568/detail</t>
  </si>
  <si>
    <t>铁科轨道</t>
  </si>
  <si>
    <t>www.lixinger.com/analytics/company/sh/688569/688569/detail</t>
  </si>
  <si>
    <t>杭华股份</t>
  </si>
  <si>
    <t>www.lixinger.com/analytics/company/sh/688571/688571/detail</t>
  </si>
  <si>
    <t>亚辉龙</t>
  </si>
  <si>
    <t>www.lixinger.com/analytics/company/sh/688575/688575/detail</t>
  </si>
  <si>
    <t>浙海德曼</t>
  </si>
  <si>
    <t>www.lixinger.com/analytics/company/sh/688577/688577/detail</t>
  </si>
  <si>
    <t>艾力斯</t>
  </si>
  <si>
    <t>www.lixinger.com/analytics/company/sh/688578/688578/detail</t>
  </si>
  <si>
    <t>山大地纬</t>
  </si>
  <si>
    <t>www.lixinger.com/analytics/company/sh/688579/688579/detail</t>
  </si>
  <si>
    <t>伟思医疗</t>
  </si>
  <si>
    <t>www.lixinger.com/analytics/company/sh/688580/688580/detail</t>
  </si>
  <si>
    <t>上纬新材</t>
  </si>
  <si>
    <t>www.lixinger.com/analytics/company/sh/688585/688585/detail</t>
  </si>
  <si>
    <t>江航装备</t>
  </si>
  <si>
    <t>www.lixinger.com/analytics/company/sh/688586/688586/detail</t>
  </si>
  <si>
    <t>凌志软件</t>
  </si>
  <si>
    <t>www.lixinger.com/analytics/company/sh/688588/688588/detail</t>
  </si>
  <si>
    <t>力合微</t>
  </si>
  <si>
    <t>www.lixinger.com/analytics/company/sh/688589/688589/detail</t>
  </si>
  <si>
    <t>新致软件</t>
  </si>
  <si>
    <t>www.lixinger.com/analytics/company/sh/688590/688590/detail</t>
  </si>
  <si>
    <t>芯海科技</t>
  </si>
  <si>
    <t>www.lixinger.com/analytics/company/sh/688595/688595/detail</t>
  </si>
  <si>
    <t>正帆科技</t>
  </si>
  <si>
    <t>www.lixinger.com/analytics/company/sh/688596/688596/detail</t>
  </si>
  <si>
    <t>煜邦电力</t>
  </si>
  <si>
    <t>www.lixinger.com/analytics/company/sh/688597/688597/detail</t>
  </si>
  <si>
    <t>金博股份</t>
  </si>
  <si>
    <t>www.lixinger.com/analytics/company/sh/688598/688598/detail</t>
  </si>
  <si>
    <t>天合光能</t>
  </si>
  <si>
    <t>www.lixinger.com/analytics/company/sh/688599/688599/detail</t>
  </si>
  <si>
    <t>皖仪科技</t>
  </si>
  <si>
    <t>www.lixinger.com/analytics/company/sh/688600/688600/detail</t>
  </si>
  <si>
    <t>力芯微</t>
  </si>
  <si>
    <t>www.lixinger.com/analytics/company/sh/688601/688601/detail</t>
  </si>
  <si>
    <t>奥泰生物</t>
  </si>
  <si>
    <t>www.lixinger.com/analytics/company/sh/688606/688606/detail</t>
  </si>
  <si>
    <t>康众医疗</t>
  </si>
  <si>
    <t>www.lixinger.com/analytics/company/sh/688607/688607/detail</t>
  </si>
  <si>
    <t>恒玄科技</t>
  </si>
  <si>
    <t>www.lixinger.com/analytics/company/sh/688608/688608/detail</t>
  </si>
  <si>
    <t>九联科技</t>
  </si>
  <si>
    <t>其他黑色家电</t>
  </si>
  <si>
    <t>www.lixinger.com/analytics/company/sh/688609/688609/detail</t>
  </si>
  <si>
    <t>杭州柯林</t>
  </si>
  <si>
    <t>www.lixinger.com/analytics/company/sh/688611/688611/detail</t>
  </si>
  <si>
    <t>奥精医疗</t>
  </si>
  <si>
    <t>www.lixinger.com/analytics/company/sh/688613/688613/detail</t>
  </si>
  <si>
    <t>西力科技</t>
  </si>
  <si>
    <t>www.lixinger.com/analytics/company/sh/688616/688616/detail</t>
  </si>
  <si>
    <t>惠泰医疗</t>
  </si>
  <si>
    <t>www.lixinger.com/analytics/company/sh/688617/688617/detail</t>
  </si>
  <si>
    <t>三旺通信</t>
  </si>
  <si>
    <t>www.lixinger.com/analytics/company/sh/688618/688618/detail</t>
  </si>
  <si>
    <t>罗普特</t>
  </si>
  <si>
    <t>www.lixinger.com/analytics/company/sh/688619/688619/detail</t>
  </si>
  <si>
    <t>阳光诺和</t>
  </si>
  <si>
    <t>www.lixinger.com/analytics/company/sh/688621/688621/detail</t>
  </si>
  <si>
    <t>禾信仪器</t>
  </si>
  <si>
    <t>www.lixinger.com/analytics/company/sh/688622/688622/detail</t>
  </si>
  <si>
    <t>呈和科技</t>
  </si>
  <si>
    <t>www.lixinger.com/analytics/company/sh/688625/688625/detail</t>
  </si>
  <si>
    <t>翔宇医疗</t>
  </si>
  <si>
    <t>www.lixinger.com/analytics/company/sh/688626/688626/detail</t>
  </si>
  <si>
    <t>优利德</t>
  </si>
  <si>
    <t>www.lixinger.com/analytics/company/sh/688628/688628/detail</t>
  </si>
  <si>
    <t>芯碁微装</t>
  </si>
  <si>
    <t>www.lixinger.com/analytics/company/sh/688630/688630/detail</t>
  </si>
  <si>
    <t>星球石墨</t>
  </si>
  <si>
    <t>www.lixinger.com/analytics/company/sh/688633/688633/detail</t>
  </si>
  <si>
    <t>智明达</t>
  </si>
  <si>
    <t>www.lixinger.com/analytics/company/sh/688636/688636/detail</t>
  </si>
  <si>
    <t>华恒生物</t>
  </si>
  <si>
    <t>www.lixinger.com/analytics/company/sh/688639/688639/detail</t>
  </si>
  <si>
    <t>迅捷兴</t>
  </si>
  <si>
    <t>www.lixinger.com/analytics/company/sh/688655/688655/detail</t>
  </si>
  <si>
    <t>浩欧博</t>
  </si>
  <si>
    <t>www.lixinger.com/analytics/company/sh/688656/688656/detail</t>
  </si>
  <si>
    <t>悦康药业</t>
  </si>
  <si>
    <t>www.lixinger.com/analytics/company/sh/688658/688658/detail</t>
  </si>
  <si>
    <t>元琛科技</t>
  </si>
  <si>
    <t>www.lixinger.com/analytics/company/sh/688659/688659/detail</t>
  </si>
  <si>
    <t>电气风电</t>
  </si>
  <si>
    <t>www.lixinger.com/analytics/company/sh/688660/688660/detail</t>
  </si>
  <si>
    <t>和林微纳</t>
  </si>
  <si>
    <t>www.lixinger.com/analytics/company/sh/688661/688661/detail</t>
  </si>
  <si>
    <t>富信科技</t>
  </si>
  <si>
    <t>www.lixinger.com/analytics/company/sh/688662/688662/detail</t>
  </si>
  <si>
    <t>新风光</t>
  </si>
  <si>
    <t>www.lixinger.com/analytics/company/sh/688663/688663/detail</t>
  </si>
  <si>
    <t>四方光电</t>
  </si>
  <si>
    <t>www.lixinger.com/analytics/company/sh/688665/688665/detail</t>
  </si>
  <si>
    <t>菱电电控</t>
  </si>
  <si>
    <t>www.lixinger.com/analytics/company/sh/688667/688667/detail</t>
  </si>
  <si>
    <t>鼎通科技</t>
  </si>
  <si>
    <t>www.lixinger.com/analytics/company/sh/688668/688668/detail</t>
  </si>
  <si>
    <t>聚石化学</t>
  </si>
  <si>
    <t>www.lixinger.com/analytics/company/sh/688669/688669/detail</t>
  </si>
  <si>
    <t>金迪克</t>
  </si>
  <si>
    <t>www.lixinger.com/analytics/company/sh/688670/688670/detail</t>
  </si>
  <si>
    <t>金盘科技</t>
  </si>
  <si>
    <t>www.lixinger.com/analytics/company/sh/688676/688676/detail</t>
  </si>
  <si>
    <t>海泰新光</t>
  </si>
  <si>
    <t>www.lixinger.com/analytics/company/sh/688677/688677/detail</t>
  </si>
  <si>
    <t>福立旺</t>
  </si>
  <si>
    <t>www.lixinger.com/analytics/company/sh/688678/688678/detail</t>
  </si>
  <si>
    <t>通源环境</t>
  </si>
  <si>
    <t>www.lixinger.com/analytics/company/sh/688679/688679/detail</t>
  </si>
  <si>
    <t>海优新材</t>
  </si>
  <si>
    <t>www.lixinger.com/analytics/company/sh/688680/688680/detail</t>
  </si>
  <si>
    <t>科汇股份</t>
  </si>
  <si>
    <t>www.lixinger.com/analytics/company/sh/688681/688681/detail</t>
  </si>
  <si>
    <t>霍莱沃</t>
  </si>
  <si>
    <t>www.lixinger.com/analytics/company/sh/688682/688682/detail</t>
  </si>
  <si>
    <t>莱尔科技</t>
  </si>
  <si>
    <t>www.lixinger.com/analytics/company/sh/688683/688683/detail</t>
  </si>
  <si>
    <t>迈信林</t>
  </si>
  <si>
    <t>www.lixinger.com/analytics/company/sh/688685/688685/detail</t>
  </si>
  <si>
    <t>奥普特</t>
  </si>
  <si>
    <t>www.lixinger.com/analytics/company/sh/688686/688686/detail</t>
  </si>
  <si>
    <t>凯因科技</t>
  </si>
  <si>
    <t>www.lixinger.com/analytics/company/sh/688687/688687/detail</t>
  </si>
  <si>
    <t>蚂蚁集团</t>
  </si>
  <si>
    <t>www.lixinger.com/analytics/company/sh/688688/688688/detail</t>
  </si>
  <si>
    <t>银河微电</t>
  </si>
  <si>
    <t>www.lixinger.com/analytics/company/sh/688689/688689/detail</t>
  </si>
  <si>
    <t>纳微科技</t>
  </si>
  <si>
    <t>www.lixinger.com/analytics/company/sh/688690/688690/detail</t>
  </si>
  <si>
    <t>极米科技</t>
  </si>
  <si>
    <t>www.lixinger.com/analytics/company/sh/688696/688696/detail</t>
  </si>
  <si>
    <t>纽威数控</t>
  </si>
  <si>
    <t>www.lixinger.com/analytics/company/sh/688697/688697/detail</t>
  </si>
  <si>
    <t>伟创电气</t>
  </si>
  <si>
    <t>www.lixinger.com/analytics/company/sh/688698/688698/detail</t>
  </si>
  <si>
    <t>明微电子</t>
  </si>
  <si>
    <t>www.lixinger.com/analytics/company/sh/688699/688699/detail</t>
  </si>
  <si>
    <t>东威科技</t>
  </si>
  <si>
    <t>www.lixinger.com/analytics/company/sh/688700/688700/detail</t>
  </si>
  <si>
    <t>卓锦股份</t>
  </si>
  <si>
    <t>www.lixinger.com/analytics/company/sh/688701/688701/detail</t>
  </si>
  <si>
    <t>振华新材</t>
  </si>
  <si>
    <t>www.lixinger.com/analytics/company/sh/688707/688707/detail</t>
  </si>
  <si>
    <t>宏微科技</t>
  </si>
  <si>
    <t>www.lixinger.com/analytics/company/sh/688711/688711/detail</t>
  </si>
  <si>
    <t>唯赛勃</t>
  </si>
  <si>
    <t>www.lixinger.com/analytics/company/sh/688718/688718/detail</t>
  </si>
  <si>
    <t>同益中</t>
  </si>
  <si>
    <t>www.lixinger.com/analytics/company/sh/688722/688722/detail</t>
  </si>
  <si>
    <t>格科微</t>
  </si>
  <si>
    <t>www.lixinger.com/analytics/company/sh/688728/688728/detail</t>
  </si>
  <si>
    <t>壹石通</t>
  </si>
  <si>
    <t>www.lixinger.com/analytics/company/sh/688733/688733/detail</t>
  </si>
  <si>
    <t>中自科技</t>
  </si>
  <si>
    <t>www.lixinger.com/analytics/company/sh/688737/688737/detail</t>
  </si>
  <si>
    <t>成大生物</t>
  </si>
  <si>
    <t>www.lixinger.com/analytics/company/sh/688739/688739/detail</t>
  </si>
  <si>
    <t>普冉股份</t>
  </si>
  <si>
    <t>www.lixinger.com/analytics/company/sh/688766/688766/detail</t>
  </si>
  <si>
    <t>博拓生物</t>
  </si>
  <si>
    <t>www.lixinger.com/analytics/company/sh/688767/688767/detail</t>
  </si>
  <si>
    <t>容知日新</t>
  </si>
  <si>
    <t>www.lixinger.com/analytics/company/sh/688768/688768/detail</t>
  </si>
  <si>
    <t>珠海冠宇</t>
  </si>
  <si>
    <t>www.lixinger.com/analytics/company/sh/688772/688772/detail</t>
  </si>
  <si>
    <t>国光电气</t>
  </si>
  <si>
    <t>www.lixinger.com/analytics/company/sh/688776/688776/detail</t>
  </si>
  <si>
    <t>中控技术</t>
  </si>
  <si>
    <t>www.lixinger.com/analytics/company/sh/688777/688777/detail</t>
  </si>
  <si>
    <t>厦钨新能</t>
  </si>
  <si>
    <t>www.lixinger.com/analytics/company/sh/688778/688778/detail</t>
  </si>
  <si>
    <t>长远锂科</t>
  </si>
  <si>
    <t>www.lixinger.com/analytics/company/sh/688779/688779/detail</t>
  </si>
  <si>
    <t>悦安新材</t>
  </si>
  <si>
    <t>www.lixinger.com/analytics/company/sh/688786/688786/detail</t>
  </si>
  <si>
    <t>海天瑞声</t>
  </si>
  <si>
    <t>www.lixinger.com/analytics/company/sh/688787/688787/detail</t>
  </si>
  <si>
    <t>科思科技</t>
  </si>
  <si>
    <t>www.lixinger.com/analytics/company/sh/688788/688788/detail</t>
  </si>
  <si>
    <t>宏华数科</t>
  </si>
  <si>
    <t>www.lixinger.com/analytics/company/sh/688789/688789/detail</t>
  </si>
  <si>
    <t>倍轻松</t>
  </si>
  <si>
    <t>www.lixinger.com/analytics/company/sh/688793/688793/detail</t>
  </si>
  <si>
    <t>艾为电子</t>
  </si>
  <si>
    <t>www.lixinger.com/analytics/company/sh/688798/688798/detail</t>
  </si>
  <si>
    <t>华纳药厂</t>
  </si>
  <si>
    <t>www.lixinger.com/analytics/company/sh/688799/688799/detail</t>
  </si>
  <si>
    <t>瑞可达</t>
  </si>
  <si>
    <t>www.lixinger.com/analytics/company/sh/688800/688800/detail</t>
  </si>
  <si>
    <t>天能股份</t>
  </si>
  <si>
    <t>www.lixinger.com/analytics/company/sh/688819/688819/detail</t>
  </si>
  <si>
    <t>中芯国际</t>
  </si>
  <si>
    <t>www.lixinger.com/analytics/company/sh/688981/688981/detail</t>
  </si>
  <si>
    <t>九号公司</t>
  </si>
  <si>
    <t>www.lixinger.com/analytics/company/sh/689009/689009/detail</t>
  </si>
  <si>
    <t>云赛Ｂ股</t>
  </si>
  <si>
    <t>www.lixinger.com/analytics/company/sh/900901/900901/detail</t>
  </si>
  <si>
    <t>市北B股</t>
  </si>
  <si>
    <t>www.lixinger.com/analytics/company/sh/900902/900902/detail</t>
  </si>
  <si>
    <t>大众Ｂ股</t>
  </si>
  <si>
    <t>www.lixinger.com/analytics/company/sh/900903/900903/detail</t>
  </si>
  <si>
    <t>神奇B股</t>
  </si>
  <si>
    <t>www.lixinger.com/analytics/company/sh/900904/900904/detail</t>
  </si>
  <si>
    <t>老凤祥Ｂ</t>
  </si>
  <si>
    <t>www.lixinger.com/analytics/company/sh/900905/900905/detail</t>
  </si>
  <si>
    <t>中毅达B</t>
  </si>
  <si>
    <t>www.lixinger.com/analytics/company/sh/900906/900906/detail</t>
  </si>
  <si>
    <t>退市鹏B</t>
  </si>
  <si>
    <t>www.lixinger.com/analytics/company/sh/900907/900907/detail</t>
  </si>
  <si>
    <t>氯碱Ｂ股</t>
  </si>
  <si>
    <t>www.lixinger.com/analytics/company/sh/900908/900908/detail</t>
  </si>
  <si>
    <t>华谊B股</t>
  </si>
  <si>
    <t>www.lixinger.com/analytics/company/sh/900909/900909/detail</t>
  </si>
  <si>
    <t>海立Ｂ股</t>
  </si>
  <si>
    <t>www.lixinger.com/analytics/company/sh/900910/900910/detail</t>
  </si>
  <si>
    <t>金桥Ｂ股</t>
  </si>
  <si>
    <t>www.lixinger.com/analytics/company/sh/900911/900911/detail</t>
  </si>
  <si>
    <t>外高Ｂ股</t>
  </si>
  <si>
    <t>www.lixinger.com/analytics/company/sh/900912/900912/detail</t>
  </si>
  <si>
    <t>国新B股</t>
  </si>
  <si>
    <t>www.lixinger.com/analytics/company/sh/900913/900913/detail</t>
  </si>
  <si>
    <t>锦在线B</t>
  </si>
  <si>
    <t>www.lixinger.com/analytics/company/sh/900914/900914/detail</t>
  </si>
  <si>
    <t>中路Ｂ股</t>
  </si>
  <si>
    <t>www.lixinger.com/analytics/company/sh/900915/900915/detail</t>
  </si>
  <si>
    <t>凤凰B股</t>
  </si>
  <si>
    <t>www.lixinger.com/analytics/company/sh/900916/900916/detail</t>
  </si>
  <si>
    <t>海欣Ｂ股</t>
  </si>
  <si>
    <t>www.lixinger.com/analytics/company/sh/900917/900917/detail</t>
  </si>
  <si>
    <t>耀皮Ｂ股</t>
  </si>
  <si>
    <t>www.lixinger.com/analytics/company/sh/900918/900918/detail</t>
  </si>
  <si>
    <t>*ST绿庭B</t>
  </si>
  <si>
    <t>www.lixinger.com/analytics/company/sh/900919/900919/detail</t>
  </si>
  <si>
    <t>动力Ｂ股</t>
  </si>
  <si>
    <t>www.lixinger.com/analytics/company/sh/900920/900920/detail</t>
  </si>
  <si>
    <t>丹科B股</t>
  </si>
  <si>
    <t>www.lixinger.com/analytics/company/sh/900921/900921/detail</t>
  </si>
  <si>
    <t>三毛B股</t>
  </si>
  <si>
    <t>www.lixinger.com/analytics/company/sh/900922/900922/detail</t>
  </si>
  <si>
    <t>百联Ｂ股</t>
  </si>
  <si>
    <t>www.lixinger.com/analytics/company/sh/900923/900923/detail</t>
  </si>
  <si>
    <t>上工Ｂ股</t>
  </si>
  <si>
    <t>www.lixinger.com/analytics/company/sh/900924/900924/detail</t>
  </si>
  <si>
    <t>机电Ｂ股</t>
  </si>
  <si>
    <t>www.lixinger.com/analytics/company/sh/900925/900925/detail</t>
  </si>
  <si>
    <t>宝信Ｂ</t>
  </si>
  <si>
    <t>www.lixinger.com/analytics/company/sh/900926/900926/detail</t>
  </si>
  <si>
    <t>物贸Ｂ股</t>
  </si>
  <si>
    <t>www.lixinger.com/analytics/company/sh/900927/900927/detail</t>
  </si>
  <si>
    <t>临港B股</t>
  </si>
  <si>
    <t>www.lixinger.com/analytics/company/sh/900928/900928/detail</t>
  </si>
  <si>
    <t>锦旅Ｂ股</t>
  </si>
  <si>
    <t>www.lixinger.com/analytics/company/sh/900929/900929/detail</t>
  </si>
  <si>
    <t>*ST沪普B</t>
  </si>
  <si>
    <t>www.lixinger.com/analytics/company/sh/900930/900930/detail</t>
  </si>
  <si>
    <t>PT水仙Ｂ</t>
  </si>
  <si>
    <t>www.lixinger.com/analytics/company/sh/900931/900931/detail</t>
  </si>
  <si>
    <t>陆家Ｂ股</t>
  </si>
  <si>
    <t>www.lixinger.com/analytics/company/sh/900932/900932/detail</t>
  </si>
  <si>
    <t>华新Ｂ股</t>
  </si>
  <si>
    <t>www.lixinger.com/analytics/company/sh/900933/900933/detail</t>
  </si>
  <si>
    <t>锦江Ｂ股</t>
  </si>
  <si>
    <t>www.lixinger.com/analytics/company/sh/900934/900934/detail</t>
  </si>
  <si>
    <t>阳晨Ｂ股</t>
  </si>
  <si>
    <t>www.lixinger.com/analytics/company/sh/900935/900935/detail</t>
  </si>
  <si>
    <t>鄂资Ｂ股</t>
  </si>
  <si>
    <t>www.lixinger.com/analytics/company/sh/900936/900936/detail</t>
  </si>
  <si>
    <t>*ST华电Ｂ</t>
  </si>
  <si>
    <t>www.lixinger.com/analytics/company/sh/900937/900937/detail</t>
  </si>
  <si>
    <t>海科B</t>
  </si>
  <si>
    <t>www.lixinger.com/analytics/company/sh/900938/900938/detail</t>
  </si>
  <si>
    <t>汇丽B</t>
  </si>
  <si>
    <t>www.lixinger.com/analytics/company/sh/900939/900939/detail</t>
  </si>
  <si>
    <t>大名城B</t>
  </si>
  <si>
    <t>www.lixinger.com/analytics/company/sh/900940/900940/detail</t>
  </si>
  <si>
    <t>东信Ｂ股</t>
  </si>
  <si>
    <t>www.lixinger.com/analytics/company/sh/900941/900941/detail</t>
  </si>
  <si>
    <t>黄山Ｂ股</t>
  </si>
  <si>
    <t>www.lixinger.com/analytics/company/sh/900942/900942/detail</t>
  </si>
  <si>
    <t>开开Ｂ股</t>
  </si>
  <si>
    <t>www.lixinger.com/analytics/company/sh/900943/900943/detail</t>
  </si>
  <si>
    <t>*ST海航B</t>
  </si>
  <si>
    <t>www.lixinger.com/analytics/company/sh/900945/900945/detail</t>
  </si>
  <si>
    <t>天雁B股</t>
  </si>
  <si>
    <t>www.lixinger.com/analytics/company/sh/900946/900946/detail</t>
  </si>
  <si>
    <t>振华Ｂ股</t>
  </si>
  <si>
    <t>www.lixinger.com/analytics/company/sh/900947/900947/detail</t>
  </si>
  <si>
    <t>伊泰Ｂ股</t>
  </si>
  <si>
    <t>www.lixinger.com/analytics/company/sh/900948/900948/detail</t>
  </si>
  <si>
    <t>东电Ｂ股</t>
  </si>
  <si>
    <t>www.lixinger.com/analytics/company/sh/900949/900949/detail</t>
  </si>
  <si>
    <t>新城Ｂ股</t>
  </si>
  <si>
    <t>www.lixinger.com/analytics/company/sh/900950/900950/detail</t>
  </si>
  <si>
    <t>退市大化</t>
  </si>
  <si>
    <t>www.lixinger.com/analytics/company/sh/900951/900951/detail</t>
  </si>
  <si>
    <t>锦港Ｂ股</t>
  </si>
  <si>
    <t>www.lixinger.com/analytics/company/sh/900952/900952/detail</t>
  </si>
  <si>
    <t>凯马Ｂ</t>
  </si>
  <si>
    <t>www.lixinger.com/analytics/company/sh/900953/900953/detail</t>
  </si>
  <si>
    <t>*ST海创B</t>
  </si>
  <si>
    <t>www.lixinger.com/analytics/company/sh/900955/900955/detail</t>
  </si>
  <si>
    <t>东贝Ｂ股</t>
  </si>
  <si>
    <t>www.lixinger.com/analytics/company/sh/900956/900956/detail</t>
  </si>
  <si>
    <t>凌云Ｂ股</t>
  </si>
  <si>
    <t>www.lixinger.com/analytics/company/sh/900957/900957/detail</t>
  </si>
  <si>
    <t>sz</t>
  </si>
  <si>
    <t>平安银行</t>
  </si>
  <si>
    <t>www.lixinger.com/analytics/company/sz/000001/1/detail</t>
  </si>
  <si>
    <t>万科Ａ</t>
  </si>
  <si>
    <t>www.lixinger.com/analytics/company/sz/000002/2/detail</t>
  </si>
  <si>
    <t>PT金田Ａ</t>
  </si>
  <si>
    <t>www.lixinger.com/analytics/company/sz/000003/3/detail</t>
  </si>
  <si>
    <t>国华网安</t>
  </si>
  <si>
    <t>www.lixinger.com/analytics/company/sz/000004/4/detail</t>
  </si>
  <si>
    <t>ST星源</t>
  </si>
  <si>
    <t>www.lixinger.com/analytics/company/sz/000005/5/detail</t>
  </si>
  <si>
    <t>深振业Ａ</t>
  </si>
  <si>
    <t>www.lixinger.com/analytics/company/sz/000006/6/detail</t>
  </si>
  <si>
    <t>*ST全新</t>
  </si>
  <si>
    <t>www.lixinger.com/analytics/company/sz/000007/7/detail</t>
  </si>
  <si>
    <t>神州高铁</t>
  </si>
  <si>
    <t>www.lixinger.com/analytics/company/sz/000008/8/detail</t>
  </si>
  <si>
    <t>中国宝安</t>
  </si>
  <si>
    <t>www.lixinger.com/analytics/company/sz/000009/9/detail</t>
  </si>
  <si>
    <t>美丽生态</t>
  </si>
  <si>
    <t>www.lixinger.com/analytics/company/sz/000010/10/detail</t>
  </si>
  <si>
    <t>深物业A</t>
  </si>
  <si>
    <t>www.lixinger.com/analytics/company/sz/000011/11/detail</t>
  </si>
  <si>
    <t>南玻Ａ</t>
  </si>
  <si>
    <t>www.lixinger.com/analytics/company/sz/000012/12/detail</t>
  </si>
  <si>
    <t>沙河股份</t>
  </si>
  <si>
    <t>www.lixinger.com/analytics/company/sz/000014/14/detail</t>
  </si>
  <si>
    <t>PT中浩Ａ</t>
  </si>
  <si>
    <t>www.lixinger.com/analytics/company/sz/000015/15/detail</t>
  </si>
  <si>
    <t>深康佳Ａ</t>
  </si>
  <si>
    <t>www.lixinger.com/analytics/company/sz/000016/16/detail</t>
  </si>
  <si>
    <t>深中华A</t>
  </si>
  <si>
    <t>www.lixinger.com/analytics/company/sz/000017/17/detail</t>
  </si>
  <si>
    <t>神城A退</t>
  </si>
  <si>
    <t>www.lixinger.com/analytics/company/sz/000018/18/detail</t>
  </si>
  <si>
    <t>深粮控股</t>
  </si>
  <si>
    <t>www.lixinger.com/analytics/company/sz/000019/19/detail</t>
  </si>
  <si>
    <t>深华发Ａ</t>
  </si>
  <si>
    <t>www.lixinger.com/analytics/company/sz/000020/20/detail</t>
  </si>
  <si>
    <t>深科技</t>
  </si>
  <si>
    <t>www.lixinger.com/analytics/company/sz/000021/21/detail</t>
  </si>
  <si>
    <t>深赤湾Ａ</t>
  </si>
  <si>
    <t>www.lixinger.com/analytics/company/sz/000022/22/detail</t>
  </si>
  <si>
    <t>深天地Ａ</t>
  </si>
  <si>
    <t>www.lixinger.com/analytics/company/sz/000023/23/detail</t>
  </si>
  <si>
    <t>招商地产</t>
  </si>
  <si>
    <t>www.lixinger.com/analytics/company/sz/000024/24/detail</t>
  </si>
  <si>
    <t>特力Ａ</t>
  </si>
  <si>
    <t>www.lixinger.com/analytics/company/sz/000025/25/detail</t>
  </si>
  <si>
    <t>飞亚达</t>
  </si>
  <si>
    <t>www.lixinger.com/analytics/company/sz/000026/26/detail</t>
  </si>
  <si>
    <t>深圳能源</t>
  </si>
  <si>
    <t>www.lixinger.com/analytics/company/sz/000027/27/detail</t>
  </si>
  <si>
    <t>国药一致</t>
  </si>
  <si>
    <t>www.lixinger.com/analytics/company/sz/000028/28/detail</t>
  </si>
  <si>
    <t>深深房Ａ</t>
  </si>
  <si>
    <t>www.lixinger.com/analytics/company/sz/000029/29/detail</t>
  </si>
  <si>
    <t>富奥股份</t>
  </si>
  <si>
    <t>www.lixinger.com/analytics/company/sz/000030/30/detail</t>
  </si>
  <si>
    <t>大悦城</t>
  </si>
  <si>
    <t>www.lixinger.com/analytics/company/sz/000031/31/detail</t>
  </si>
  <si>
    <t>深桑达Ａ</t>
  </si>
  <si>
    <t>www.lixinger.com/analytics/company/sz/000032/32/detail</t>
  </si>
  <si>
    <t>新都退</t>
  </si>
  <si>
    <t>www.lixinger.com/analytics/company/sz/000033/33/detail</t>
  </si>
  <si>
    <t>神州数码</t>
  </si>
  <si>
    <t>www.lixinger.com/analytics/company/sz/000034/34/detail</t>
  </si>
  <si>
    <t>中国天楹</t>
  </si>
  <si>
    <t>www.lixinger.com/analytics/company/sz/000035/35/detail</t>
  </si>
  <si>
    <t>华联控股</t>
  </si>
  <si>
    <t>www.lixinger.com/analytics/company/sz/000036/36/detail</t>
  </si>
  <si>
    <t>深南电A</t>
  </si>
  <si>
    <t>www.lixinger.com/analytics/company/sz/000037/37/detail</t>
  </si>
  <si>
    <t>深大通</t>
  </si>
  <si>
    <t>www.lixinger.com/analytics/company/sz/000038/38/detail</t>
  </si>
  <si>
    <t>中集集团</t>
  </si>
  <si>
    <t>www.lixinger.com/analytics/company/sz/000039/39/detail</t>
  </si>
  <si>
    <t>东旭蓝天</t>
  </si>
  <si>
    <t>www.lixinger.com/analytics/company/sz/000040/40/detail</t>
  </si>
  <si>
    <t>中洲控股</t>
  </si>
  <si>
    <t>www.lixinger.com/analytics/company/sz/000042/42/detail</t>
  </si>
  <si>
    <t>中航善达</t>
  </si>
  <si>
    <t>www.lixinger.com/analytics/company/sz/000043/43/detail</t>
  </si>
  <si>
    <t>深纺织Ａ</t>
  </si>
  <si>
    <t>www.lixinger.com/analytics/company/sz/000045/45/detail</t>
  </si>
  <si>
    <t>泛海控股</t>
  </si>
  <si>
    <t>www.lixinger.com/analytics/company/sz/000046/46/detail</t>
  </si>
  <si>
    <t>ST中侨</t>
  </si>
  <si>
    <t>www.lixinger.com/analytics/company/sz/000047/47/detail</t>
  </si>
  <si>
    <t>京基智农</t>
  </si>
  <si>
    <t>www.lixinger.com/analytics/company/sz/000048/48/detail</t>
  </si>
  <si>
    <t>德赛电池</t>
  </si>
  <si>
    <t>www.lixinger.com/analytics/company/sz/000049/49/detail</t>
  </si>
  <si>
    <t>深天马Ａ</t>
  </si>
  <si>
    <t>www.lixinger.com/analytics/company/sz/000050/50/detail</t>
  </si>
  <si>
    <t>方大集团</t>
  </si>
  <si>
    <t>www.lixinger.com/analytics/company/sz/000055/55/detail</t>
  </si>
  <si>
    <t>皇庭国际</t>
  </si>
  <si>
    <t>www.lixinger.com/analytics/company/sz/000056/56/detail</t>
  </si>
  <si>
    <t>深赛格</t>
  </si>
  <si>
    <t>www.lixinger.com/analytics/company/sz/000058/58/detail</t>
  </si>
  <si>
    <t>华锦股份</t>
  </si>
  <si>
    <t>www.lixinger.com/analytics/company/sz/000059/59/detail</t>
  </si>
  <si>
    <t>中金岭南</t>
  </si>
  <si>
    <t>www.lixinger.com/analytics/company/sz/000060/60/detail</t>
  </si>
  <si>
    <t>农产品</t>
  </si>
  <si>
    <t>www.lixinger.com/analytics/company/sz/000061/61/detail</t>
  </si>
  <si>
    <t>深圳华强</t>
  </si>
  <si>
    <t>www.lixinger.com/analytics/company/sz/000062/62/detail</t>
  </si>
  <si>
    <t>中兴通讯</t>
  </si>
  <si>
    <t>www.lixinger.com/analytics/company/sz/000063/63/detail</t>
  </si>
  <si>
    <t>北方国际</t>
  </si>
  <si>
    <t>www.lixinger.com/analytics/company/sz/000065/65/detail</t>
  </si>
  <si>
    <t>中国长城</t>
  </si>
  <si>
    <t>www.lixinger.com/analytics/company/sz/000066/66/detail</t>
  </si>
  <si>
    <t>华控赛格</t>
  </si>
  <si>
    <t>www.lixinger.com/analytics/company/sz/000068/68/detail</t>
  </si>
  <si>
    <t>华侨城Ａ</t>
  </si>
  <si>
    <t>www.lixinger.com/analytics/company/sz/000069/69/detail</t>
  </si>
  <si>
    <t>特发信息</t>
  </si>
  <si>
    <t>www.lixinger.com/analytics/company/sz/000070/70/detail</t>
  </si>
  <si>
    <t>海王生物</t>
  </si>
  <si>
    <t>www.lixinger.com/analytics/company/sz/000078/78/detail</t>
  </si>
  <si>
    <t>盐田港</t>
  </si>
  <si>
    <t>www.lixinger.com/analytics/company/sz/000088/88/detail</t>
  </si>
  <si>
    <t>深圳机场</t>
  </si>
  <si>
    <t>www.lixinger.com/analytics/company/sz/000089/89/detail</t>
  </si>
  <si>
    <t>天健集团</t>
  </si>
  <si>
    <t>www.lixinger.com/analytics/company/sz/000090/90/detail</t>
  </si>
  <si>
    <t>广聚能源</t>
  </si>
  <si>
    <t>www.lixinger.com/analytics/company/sz/000096/96/detail</t>
  </si>
  <si>
    <t>中信海直</t>
  </si>
  <si>
    <t>www.lixinger.com/analytics/company/sz/000099/99/detail</t>
  </si>
  <si>
    <t>TCL科技</t>
  </si>
  <si>
    <t>www.lixinger.com/analytics/company/sz/000100/100/detail</t>
  </si>
  <si>
    <t>宜华健康</t>
  </si>
  <si>
    <t>www.lixinger.com/analytics/company/sz/000150/150/detail</t>
  </si>
  <si>
    <t>中成股份</t>
  </si>
  <si>
    <t>www.lixinger.com/analytics/company/sz/000151/151/detail</t>
  </si>
  <si>
    <t>丰原药业</t>
  </si>
  <si>
    <t>www.lixinger.com/analytics/company/sz/000153/153/detail</t>
  </si>
  <si>
    <t>川能动力</t>
  </si>
  <si>
    <t>www.lixinger.com/analytics/company/sz/000155/155/detail</t>
  </si>
  <si>
    <t>华数传媒</t>
  </si>
  <si>
    <t>www.lixinger.com/analytics/company/sz/000156/156/detail</t>
  </si>
  <si>
    <t>中联重科</t>
  </si>
  <si>
    <t>www.lixinger.com/analytics/company/sz/000157/157/detail</t>
  </si>
  <si>
    <t>常山北明</t>
  </si>
  <si>
    <t>www.lixinger.com/analytics/company/sz/000158/158/detail</t>
  </si>
  <si>
    <t>国际实业</t>
  </si>
  <si>
    <t>www.lixinger.com/analytics/company/sz/000159/159/detail</t>
  </si>
  <si>
    <t>申万宏源</t>
  </si>
  <si>
    <t>www.lixinger.com/analytics/company/sz/000166/166/detail</t>
  </si>
  <si>
    <t>东方盛虹</t>
  </si>
  <si>
    <t>www.lixinger.com/analytics/company/sz/000301/301/detail</t>
  </si>
  <si>
    <t>美的集团</t>
  </si>
  <si>
    <t>www.lixinger.com/analytics/company/sz/000333/333/detail</t>
  </si>
  <si>
    <t>潍柴动力</t>
  </si>
  <si>
    <t>www.lixinger.com/analytics/company/sz/000338/338/detail</t>
  </si>
  <si>
    <t>许继电气</t>
  </si>
  <si>
    <t>www.lixinger.com/analytics/company/sz/000400/400/detail</t>
  </si>
  <si>
    <t>冀东水泥</t>
  </si>
  <si>
    <t>www.lixinger.com/analytics/company/sz/000401/401/detail</t>
  </si>
  <si>
    <t>金融街</t>
  </si>
  <si>
    <t>www.lixinger.com/analytics/company/sz/000402/402/detail</t>
  </si>
  <si>
    <t>派林生物</t>
  </si>
  <si>
    <t>www.lixinger.com/analytics/company/sz/000403/403/detail</t>
  </si>
  <si>
    <t>长虹华意</t>
  </si>
  <si>
    <t>www.lixinger.com/analytics/company/sz/000404/404/detail</t>
  </si>
  <si>
    <t>ST鑫光</t>
  </si>
  <si>
    <t>www.lixinger.com/analytics/company/sz/000405/405/detail</t>
  </si>
  <si>
    <t>胜利股份</t>
  </si>
  <si>
    <t>www.lixinger.com/analytics/company/sz/000407/407/detail</t>
  </si>
  <si>
    <t>藏格矿业</t>
  </si>
  <si>
    <t>www.lixinger.com/analytics/company/sz/000408/408/detail</t>
  </si>
  <si>
    <t>云鼎科技</t>
  </si>
  <si>
    <t>www.lixinger.com/analytics/company/sz/000409/409/detail</t>
  </si>
  <si>
    <t>*ST沈机</t>
  </si>
  <si>
    <t>www.lixinger.com/analytics/company/sz/000410/410/detail</t>
  </si>
  <si>
    <t>英特集团</t>
  </si>
  <si>
    <t>www.lixinger.com/analytics/company/sz/000411/411/detail</t>
  </si>
  <si>
    <t>东旭光电</t>
  </si>
  <si>
    <t>www.lixinger.com/analytics/company/sz/000413/413/detail</t>
  </si>
  <si>
    <t>渤海租赁</t>
  </si>
  <si>
    <t>www.lixinger.com/analytics/company/sz/000415/415/detail</t>
  </si>
  <si>
    <t>民生控股</t>
  </si>
  <si>
    <t>www.lixinger.com/analytics/company/sz/000416/416/detail</t>
  </si>
  <si>
    <t>合肥百货</t>
  </si>
  <si>
    <t>www.lixinger.com/analytics/company/sz/000417/417/detail</t>
  </si>
  <si>
    <t>小天鹅Ａ</t>
  </si>
  <si>
    <t>www.lixinger.com/analytics/company/sz/000418/418/detail</t>
  </si>
  <si>
    <t>通程控股</t>
  </si>
  <si>
    <t>www.lixinger.com/analytics/company/sz/000419/419/detail</t>
  </si>
  <si>
    <t>吉林化纤</t>
  </si>
  <si>
    <t>www.lixinger.com/analytics/company/sz/000420/420/detail</t>
  </si>
  <si>
    <t>南京公用</t>
  </si>
  <si>
    <t>www.lixinger.com/analytics/company/sz/000421/421/detail</t>
  </si>
  <si>
    <t>湖北宜化</t>
  </si>
  <si>
    <t>www.lixinger.com/analytics/company/sz/000422/422/detail</t>
  </si>
  <si>
    <t>东阿阿胶</t>
  </si>
  <si>
    <t>www.lixinger.com/analytics/company/sz/000423/423/detail</t>
  </si>
  <si>
    <t>徐工机械</t>
  </si>
  <si>
    <t>www.lixinger.com/analytics/company/sz/000425/425/detail</t>
  </si>
  <si>
    <t>兴业矿业</t>
  </si>
  <si>
    <t>www.lixinger.com/analytics/company/sz/000426/426/detail</t>
  </si>
  <si>
    <t>华天酒店</t>
  </si>
  <si>
    <t>www.lixinger.com/analytics/company/sz/000428/428/detail</t>
  </si>
  <si>
    <t>粤高速Ａ</t>
  </si>
  <si>
    <t>www.lixinger.com/analytics/company/sz/000429/429/detail</t>
  </si>
  <si>
    <t>张家界</t>
  </si>
  <si>
    <t>www.lixinger.com/analytics/company/sz/000430/430/detail</t>
  </si>
  <si>
    <t>晨鸣纸业</t>
  </si>
  <si>
    <t>www.lixinger.com/analytics/company/sz/000488/488/detail</t>
  </si>
  <si>
    <t>山东路桥</t>
  </si>
  <si>
    <t>www.lixinger.com/analytics/company/sz/000498/498/detail</t>
  </si>
  <si>
    <t>武商集团</t>
  </si>
  <si>
    <t>www.lixinger.com/analytics/company/sz/000501/501/detail</t>
  </si>
  <si>
    <t>*ST绿景</t>
  </si>
  <si>
    <t>www.lixinger.com/analytics/company/sz/000502/502/detail</t>
  </si>
  <si>
    <t>国新健康</t>
  </si>
  <si>
    <t>www.lixinger.com/analytics/company/sz/000503/503/detail</t>
  </si>
  <si>
    <t>南华生物</t>
  </si>
  <si>
    <t>www.lixinger.com/analytics/company/sz/000504/504/detail</t>
  </si>
  <si>
    <t>京粮控股</t>
  </si>
  <si>
    <t>www.lixinger.com/analytics/company/sz/000505/505/detail</t>
  </si>
  <si>
    <t>中润资源</t>
  </si>
  <si>
    <t>www.lixinger.com/analytics/company/sz/000506/506/detail</t>
  </si>
  <si>
    <t>珠海港</t>
  </si>
  <si>
    <t>www.lixinger.com/analytics/company/sz/000507/507/detail</t>
  </si>
  <si>
    <t>*ST华塑</t>
  </si>
  <si>
    <t>www.lixinger.com/analytics/company/sz/000509/509/detail</t>
  </si>
  <si>
    <t>新金路</t>
  </si>
  <si>
    <t>www.lixinger.com/analytics/company/sz/000510/510/detail</t>
  </si>
  <si>
    <t>烯碳退</t>
  </si>
  <si>
    <t>www.lixinger.com/analytics/company/sz/000511/511/detail</t>
  </si>
  <si>
    <t>丽珠集团</t>
  </si>
  <si>
    <t>www.lixinger.com/analytics/company/sz/000513/513/detail</t>
  </si>
  <si>
    <t>渝开发</t>
  </si>
  <si>
    <t>www.lixinger.com/analytics/company/sz/000514/514/detail</t>
  </si>
  <si>
    <t>国际医学</t>
  </si>
  <si>
    <t>www.lixinger.com/analytics/company/sz/000516/516/detail</t>
  </si>
  <si>
    <t>荣安地产</t>
  </si>
  <si>
    <t>www.lixinger.com/analytics/company/sz/000517/517/detail</t>
  </si>
  <si>
    <t>四环生物</t>
  </si>
  <si>
    <t>www.lixinger.com/analytics/company/sz/000518/518/detail</t>
  </si>
  <si>
    <t>中兵红箭</t>
  </si>
  <si>
    <t>www.lixinger.com/analytics/company/sz/000519/519/detail</t>
  </si>
  <si>
    <t>长航凤凰</t>
  </si>
  <si>
    <t>www.lixinger.com/analytics/company/sz/000520/520/detail</t>
  </si>
  <si>
    <t>长虹美菱</t>
  </si>
  <si>
    <t>www.lixinger.com/analytics/company/sz/000521/521/detail</t>
  </si>
  <si>
    <t>白云山Ａ</t>
  </si>
  <si>
    <t>www.lixinger.com/analytics/company/sz/000522/522/detail</t>
  </si>
  <si>
    <t>*ST浪奇</t>
  </si>
  <si>
    <t>www.lixinger.com/analytics/company/sz/000523/523/detail</t>
  </si>
  <si>
    <t>岭南控股</t>
  </si>
  <si>
    <t>www.lixinger.com/analytics/company/sz/000524/524/detail</t>
  </si>
  <si>
    <t>ST红太阳</t>
  </si>
  <si>
    <t>www.lixinger.com/analytics/company/sz/000525/525/detail</t>
  </si>
  <si>
    <t>学大教育</t>
  </si>
  <si>
    <t>www.lixinger.com/analytics/company/sz/000526/526/detail</t>
  </si>
  <si>
    <t>美的电器</t>
  </si>
  <si>
    <t>www.lixinger.com/analytics/company/sz/000527/527/detail</t>
  </si>
  <si>
    <t>柳工</t>
  </si>
  <si>
    <t>www.lixinger.com/analytics/company/sz/000528/528/detail</t>
  </si>
  <si>
    <t>广弘控股</t>
  </si>
  <si>
    <t>www.lixinger.com/analytics/company/sz/000529/529/detail</t>
  </si>
  <si>
    <t>冰山冷热</t>
  </si>
  <si>
    <t>www.lixinger.com/analytics/company/sz/000530/530/detail</t>
  </si>
  <si>
    <t>穗恒运Ａ</t>
  </si>
  <si>
    <t>www.lixinger.com/analytics/company/sz/000531/531/detail</t>
  </si>
  <si>
    <t>华金资本</t>
  </si>
  <si>
    <t>www.lixinger.com/analytics/company/sz/000532/532/detail</t>
  </si>
  <si>
    <t>顺钠股份</t>
  </si>
  <si>
    <t>www.lixinger.com/analytics/company/sz/000533/533/detail</t>
  </si>
  <si>
    <t>万泽股份</t>
  </si>
  <si>
    <t>www.lixinger.com/analytics/company/sz/000534/534/detail</t>
  </si>
  <si>
    <t>华映科技</t>
  </si>
  <si>
    <t>www.lixinger.com/analytics/company/sz/000536/536/detail</t>
  </si>
  <si>
    <t>广宇发展</t>
  </si>
  <si>
    <t>www.lixinger.com/analytics/company/sz/000537/537/detail</t>
  </si>
  <si>
    <t>云南白药</t>
  </si>
  <si>
    <t>www.lixinger.com/analytics/company/sz/000538/538/detail</t>
  </si>
  <si>
    <t>粤电力Ａ</t>
  </si>
  <si>
    <t>www.lixinger.com/analytics/company/sz/000539/539/detail</t>
  </si>
  <si>
    <t>中天金融</t>
  </si>
  <si>
    <t>www.lixinger.com/analytics/company/sz/000540/540/detail</t>
  </si>
  <si>
    <t>佛山照明</t>
  </si>
  <si>
    <t>www.lixinger.com/analytics/company/sz/000541/541/detail</t>
  </si>
  <si>
    <t>皖能电力</t>
  </si>
  <si>
    <t>www.lixinger.com/analytics/company/sz/000543/543/detail</t>
  </si>
  <si>
    <t>中原环保</t>
  </si>
  <si>
    <t>www.lixinger.com/analytics/company/sz/000544/544/detail</t>
  </si>
  <si>
    <t>金浦钛业</t>
  </si>
  <si>
    <t>www.lixinger.com/analytics/company/sz/000545/545/detail</t>
  </si>
  <si>
    <t>金圆股份</t>
  </si>
  <si>
    <t>www.lixinger.com/analytics/company/sz/000546/546/detail</t>
  </si>
  <si>
    <t>航天发展</t>
  </si>
  <si>
    <t>www.lixinger.com/analytics/company/sz/000547/547/detail</t>
  </si>
  <si>
    <t>湖南投资</t>
  </si>
  <si>
    <t>www.lixinger.com/analytics/company/sz/000548/548/detail</t>
  </si>
  <si>
    <t>江铃汽车</t>
  </si>
  <si>
    <t>www.lixinger.com/analytics/company/sz/000550/550/detail</t>
  </si>
  <si>
    <t>创元科技</t>
  </si>
  <si>
    <t>www.lixinger.com/analytics/company/sz/000551/551/detail</t>
  </si>
  <si>
    <t>靖远煤电</t>
  </si>
  <si>
    <t>www.lixinger.com/analytics/company/sz/000552/552/detail</t>
  </si>
  <si>
    <t>安道麦A</t>
  </si>
  <si>
    <t>www.lixinger.com/analytics/company/sz/000553/553/detail</t>
  </si>
  <si>
    <t>泰山石油</t>
  </si>
  <si>
    <t>www.lixinger.com/analytics/company/sz/000554/554/detail</t>
  </si>
  <si>
    <t>神州信息</t>
  </si>
  <si>
    <t>www.lixinger.com/analytics/company/sz/000555/555/detail</t>
  </si>
  <si>
    <t>PT南洋</t>
  </si>
  <si>
    <t>www.lixinger.com/analytics/company/sz/000556/556/detail</t>
  </si>
  <si>
    <t>西部创业</t>
  </si>
  <si>
    <t>www.lixinger.com/analytics/company/sz/000557/557/detail</t>
  </si>
  <si>
    <t>莱茵体育</t>
  </si>
  <si>
    <t>www.lixinger.com/analytics/company/sz/000558/558/detail</t>
  </si>
  <si>
    <t>万向钱潮</t>
  </si>
  <si>
    <t>www.lixinger.com/analytics/company/sz/000559/559/detail</t>
  </si>
  <si>
    <t>我爱我家</t>
  </si>
  <si>
    <t>房产租赁经纪</t>
  </si>
  <si>
    <t>www.lixinger.com/analytics/company/sz/000560/560/detail</t>
  </si>
  <si>
    <t>烽火电子</t>
  </si>
  <si>
    <t>www.lixinger.com/analytics/company/sz/000561/561/detail</t>
  </si>
  <si>
    <t>宏源证券</t>
  </si>
  <si>
    <t>www.lixinger.com/analytics/company/sz/000562/562/detail</t>
  </si>
  <si>
    <t>陕国投Ａ</t>
  </si>
  <si>
    <t>www.lixinger.com/analytics/company/sz/000563/563/detail</t>
  </si>
  <si>
    <t>*ST大集</t>
  </si>
  <si>
    <t>www.lixinger.com/analytics/company/sz/000564/564/detail</t>
  </si>
  <si>
    <t>渝三峡Ａ</t>
  </si>
  <si>
    <t>www.lixinger.com/analytics/company/sz/000565/565/detail</t>
  </si>
  <si>
    <t>海南海药</t>
  </si>
  <si>
    <t>www.lixinger.com/analytics/company/sz/000566/566/detail</t>
  </si>
  <si>
    <t>海德股份</t>
  </si>
  <si>
    <t>www.lixinger.com/analytics/company/sz/000567/567/detail</t>
  </si>
  <si>
    <t>泸州老窖</t>
  </si>
  <si>
    <t>www.lixinger.com/analytics/company/sz/000568/568/detail</t>
  </si>
  <si>
    <t>苏常柴Ａ</t>
  </si>
  <si>
    <t>www.lixinger.com/analytics/company/sz/000570/570/detail</t>
  </si>
  <si>
    <t>ST大洲</t>
  </si>
  <si>
    <t>www.lixinger.com/analytics/company/sz/000571/571/detail</t>
  </si>
  <si>
    <t>海马汽车</t>
  </si>
  <si>
    <t>www.lixinger.com/analytics/company/sz/000572/572/detail</t>
  </si>
  <si>
    <t>粤宏远Ａ</t>
  </si>
  <si>
    <t>www.lixinger.com/analytics/company/sz/000573/573/detail</t>
  </si>
  <si>
    <t>甘化科工</t>
  </si>
  <si>
    <t>www.lixinger.com/analytics/company/sz/000576/576/detail</t>
  </si>
  <si>
    <t>盐湖集团</t>
  </si>
  <si>
    <t>www.lixinger.com/analytics/company/sz/000578/578/detail</t>
  </si>
  <si>
    <t>威孚高科</t>
  </si>
  <si>
    <t>www.lixinger.com/analytics/company/sz/000581/581/detail</t>
  </si>
  <si>
    <t>北部湾港</t>
  </si>
  <si>
    <t>www.lixinger.com/analytics/company/sz/000582/582/detail</t>
  </si>
  <si>
    <t>S*ST托普</t>
  </si>
  <si>
    <t>www.lixinger.com/analytics/company/sz/000583/583/detail</t>
  </si>
  <si>
    <t>哈工智能</t>
  </si>
  <si>
    <t>www.lixinger.com/analytics/company/sz/000584/584/detail</t>
  </si>
  <si>
    <t>东电退</t>
  </si>
  <si>
    <t>www.lixinger.com/analytics/company/sz/000585/585/detail</t>
  </si>
  <si>
    <t>汇源通信</t>
  </si>
  <si>
    <t>www.lixinger.com/analytics/company/sz/000586/586/detail</t>
  </si>
  <si>
    <t>*ST金洲</t>
  </si>
  <si>
    <t>www.lixinger.com/analytics/company/sz/000587/587/detail</t>
  </si>
  <si>
    <t>PT粤金曼</t>
  </si>
  <si>
    <t>www.lixinger.com/analytics/company/sz/000588/588/detail</t>
  </si>
  <si>
    <t>贵州轮胎</t>
  </si>
  <si>
    <t>www.lixinger.com/analytics/company/sz/000589/589/detail</t>
  </si>
  <si>
    <t>启迪药业</t>
  </si>
  <si>
    <t>www.lixinger.com/analytics/company/sz/000590/590/detail</t>
  </si>
  <si>
    <t>太阳能</t>
  </si>
  <si>
    <t>www.lixinger.com/analytics/company/sz/000591/591/detail</t>
  </si>
  <si>
    <t>平潭发展</t>
  </si>
  <si>
    <t>www.lixinger.com/analytics/company/sz/000592/592/detail</t>
  </si>
  <si>
    <t>德龙汇能</t>
  </si>
  <si>
    <t>www.lixinger.com/analytics/company/sz/000593/593/detail</t>
  </si>
  <si>
    <t>国恒退</t>
  </si>
  <si>
    <t>www.lixinger.com/analytics/company/sz/000594/594/detail</t>
  </si>
  <si>
    <t>宝塔实业</t>
  </si>
  <si>
    <t>www.lixinger.com/analytics/company/sz/000595/595/detail</t>
  </si>
  <si>
    <t>古井贡酒</t>
  </si>
  <si>
    <t>www.lixinger.com/analytics/company/sz/000596/596/detail</t>
  </si>
  <si>
    <t>东北制药</t>
  </si>
  <si>
    <t>www.lixinger.com/analytics/company/sz/000597/597/detail</t>
  </si>
  <si>
    <t>兴蓉环境</t>
  </si>
  <si>
    <t>www.lixinger.com/analytics/company/sz/000598/598/detail</t>
  </si>
  <si>
    <t>青岛双星</t>
  </si>
  <si>
    <t>www.lixinger.com/analytics/company/sz/000599/599/detail</t>
  </si>
  <si>
    <t>建投能源</t>
  </si>
  <si>
    <t>www.lixinger.com/analytics/company/sz/000600/600/detail</t>
  </si>
  <si>
    <t>韶能股份</t>
  </si>
  <si>
    <t>www.lixinger.com/analytics/company/sz/000601/601/detail</t>
  </si>
  <si>
    <t>金马集团</t>
  </si>
  <si>
    <t>www.lixinger.com/analytics/company/sz/000602/602/detail</t>
  </si>
  <si>
    <t>盛达资源</t>
  </si>
  <si>
    <t>www.lixinger.com/analytics/company/sz/000603/603/detail</t>
  </si>
  <si>
    <t>渤海股份</t>
  </si>
  <si>
    <t>www.lixinger.com/analytics/company/sz/000605/605/detail</t>
  </si>
  <si>
    <t>ST顺利</t>
  </si>
  <si>
    <t>www.lixinger.com/analytics/company/sz/000606/606/detail</t>
  </si>
  <si>
    <t>华媒控股</t>
  </si>
  <si>
    <t>广告媒体</t>
  </si>
  <si>
    <t>www.lixinger.com/analytics/company/sz/000607/607/detail</t>
  </si>
  <si>
    <t>阳光股份</t>
  </si>
  <si>
    <t>www.lixinger.com/analytics/company/sz/000608/608/detail</t>
  </si>
  <si>
    <t>*ST中迪</t>
  </si>
  <si>
    <t>www.lixinger.com/analytics/company/sz/000609/609/detail</t>
  </si>
  <si>
    <t>西安旅游</t>
  </si>
  <si>
    <t>www.lixinger.com/analytics/company/sz/000610/610/detail</t>
  </si>
  <si>
    <t>*ST天首</t>
  </si>
  <si>
    <t>www.lixinger.com/analytics/company/sz/000611/611/detail</t>
  </si>
  <si>
    <t>焦作万方</t>
  </si>
  <si>
    <t>www.lixinger.com/analytics/company/sz/000612/612/detail</t>
  </si>
  <si>
    <t>*ST东海A</t>
  </si>
  <si>
    <t>www.lixinger.com/analytics/company/sz/000613/613/detail</t>
  </si>
  <si>
    <t>奥园美谷</t>
  </si>
  <si>
    <t>医美服务</t>
  </si>
  <si>
    <t>www.lixinger.com/analytics/company/sz/000615/615/detail</t>
  </si>
  <si>
    <t>ST海投</t>
  </si>
  <si>
    <t>www.lixinger.com/analytics/company/sz/000616/616/detail</t>
  </si>
  <si>
    <t>中油资本</t>
  </si>
  <si>
    <t>www.lixinger.com/analytics/company/sz/000617/617/detail</t>
  </si>
  <si>
    <t>海螺新材</t>
  </si>
  <si>
    <t>www.lixinger.com/analytics/company/sz/000619/619/detail</t>
  </si>
  <si>
    <t>新华联</t>
  </si>
  <si>
    <t>www.lixinger.com/analytics/company/sz/000620/620/detail</t>
  </si>
  <si>
    <t>恒立实业</t>
  </si>
  <si>
    <t>www.lixinger.com/analytics/company/sz/000622/622/detail</t>
  </si>
  <si>
    <t>吉林敖东</t>
  </si>
  <si>
    <t>www.lixinger.com/analytics/company/sz/000623/623/detail</t>
  </si>
  <si>
    <t>长安汽车</t>
  </si>
  <si>
    <t>www.lixinger.com/analytics/company/sz/000625/625/detail</t>
  </si>
  <si>
    <t>远大控股</t>
  </si>
  <si>
    <t>www.lixinger.com/analytics/company/sz/000626/626/detail</t>
  </si>
  <si>
    <t>天茂集团</t>
  </si>
  <si>
    <t>www.lixinger.com/analytics/company/sz/000627/627/detail</t>
  </si>
  <si>
    <t>高新发展</t>
  </si>
  <si>
    <t>www.lixinger.com/analytics/company/sz/000628/628/detail</t>
  </si>
  <si>
    <t>攀钢钒钛</t>
  </si>
  <si>
    <t>www.lixinger.com/analytics/company/sz/000629/629/detail</t>
  </si>
  <si>
    <t>铜陵有色</t>
  </si>
  <si>
    <t>www.lixinger.com/analytics/company/sz/000630/630/detail</t>
  </si>
  <si>
    <t>顺发恒业</t>
  </si>
  <si>
    <t>www.lixinger.com/analytics/company/sz/000631/631/detail</t>
  </si>
  <si>
    <t>三木集团</t>
  </si>
  <si>
    <t>www.lixinger.com/analytics/company/sz/000632/632/detail</t>
  </si>
  <si>
    <t>合金投资</t>
  </si>
  <si>
    <t>www.lixinger.com/analytics/company/sz/000633/633/detail</t>
  </si>
  <si>
    <t>英力特</t>
  </si>
  <si>
    <t>www.lixinger.com/analytics/company/sz/000635/635/detail</t>
  </si>
  <si>
    <t>风华高科</t>
  </si>
  <si>
    <t>www.lixinger.com/analytics/company/sz/000636/636/detail</t>
  </si>
  <si>
    <t>茂化实华</t>
  </si>
  <si>
    <t>www.lixinger.com/analytics/company/sz/000637/637/detail</t>
  </si>
  <si>
    <t>*ST万方</t>
  </si>
  <si>
    <t>www.lixinger.com/analytics/company/sz/000638/638/detail</t>
  </si>
  <si>
    <t>西王食品</t>
  </si>
  <si>
    <t>www.lixinger.com/analytics/company/sz/000639/639/detail</t>
  </si>
  <si>
    <t>仁和药业</t>
  </si>
  <si>
    <t>www.lixinger.com/analytics/company/sz/000650/650/detail</t>
  </si>
  <si>
    <t>格力电器</t>
  </si>
  <si>
    <t>www.lixinger.com/analytics/company/sz/000651/651/detail</t>
  </si>
  <si>
    <t>泰达股份</t>
  </si>
  <si>
    <t>www.lixinger.com/analytics/company/sz/000652/652/detail</t>
  </si>
  <si>
    <t>金岭矿业</t>
  </si>
  <si>
    <t>www.lixinger.com/analytics/company/sz/000655/655/detail</t>
  </si>
  <si>
    <t>金科股份</t>
  </si>
  <si>
    <t>www.lixinger.com/analytics/company/sz/000656/656/detail</t>
  </si>
  <si>
    <t>中钨高新</t>
  </si>
  <si>
    <t>www.lixinger.com/analytics/company/sz/000657/657/detail</t>
  </si>
  <si>
    <t>ST海洋</t>
  </si>
  <si>
    <t>www.lixinger.com/analytics/company/sz/000658/658/detail</t>
  </si>
  <si>
    <t>珠海中富</t>
  </si>
  <si>
    <t>www.lixinger.com/analytics/company/sz/000659/659/detail</t>
  </si>
  <si>
    <t>*ST南华</t>
  </si>
  <si>
    <t>www.lixinger.com/analytics/company/sz/000660/660/detail</t>
  </si>
  <si>
    <t>长春高新</t>
  </si>
  <si>
    <t>www.lixinger.com/analytics/company/sz/000661/661/detail</t>
  </si>
  <si>
    <t>天夏退</t>
  </si>
  <si>
    <t>www.lixinger.com/analytics/company/sz/000662/662/detail</t>
  </si>
  <si>
    <t>永安林业</t>
  </si>
  <si>
    <t>www.lixinger.com/analytics/company/sz/000663/663/detail</t>
  </si>
  <si>
    <t>湖北广电</t>
  </si>
  <si>
    <t>www.lixinger.com/analytics/company/sz/000665/665/detail</t>
  </si>
  <si>
    <t>经纬纺机</t>
  </si>
  <si>
    <t>www.lixinger.com/analytics/company/sz/000666/666/detail</t>
  </si>
  <si>
    <t>美好置业</t>
  </si>
  <si>
    <t>www.lixinger.com/analytics/company/sz/000667/667/detail</t>
  </si>
  <si>
    <t>荣丰控股</t>
  </si>
  <si>
    <t>www.lixinger.com/analytics/company/sz/000668/668/detail</t>
  </si>
  <si>
    <t>ST金鸿</t>
  </si>
  <si>
    <t>www.lixinger.com/analytics/company/sz/000669/669/detail</t>
  </si>
  <si>
    <t>*ST盈方</t>
  </si>
  <si>
    <t>www.lixinger.com/analytics/company/sz/000670/670/detail</t>
  </si>
  <si>
    <t>阳光城</t>
  </si>
  <si>
    <t>www.lixinger.com/analytics/company/sz/000671/671/detail</t>
  </si>
  <si>
    <t>上峰水泥</t>
  </si>
  <si>
    <t>www.lixinger.com/analytics/company/sz/000672/672/detail</t>
  </si>
  <si>
    <t>*ST当代</t>
  </si>
  <si>
    <t>www.lixinger.com/analytics/company/sz/000673/673/detail</t>
  </si>
  <si>
    <t>ST银山</t>
  </si>
  <si>
    <t>www.lixinger.com/analytics/company/sz/000675/675/detail</t>
  </si>
  <si>
    <t>智度股份</t>
  </si>
  <si>
    <t>www.lixinger.com/analytics/company/sz/000676/676/detail</t>
  </si>
  <si>
    <t>恒天海龙</t>
  </si>
  <si>
    <t>www.lixinger.com/analytics/company/sz/000677/677/detail</t>
  </si>
  <si>
    <t>襄阳轴承</t>
  </si>
  <si>
    <t>www.lixinger.com/analytics/company/sz/000678/678/detail</t>
  </si>
  <si>
    <t>大连友谊</t>
  </si>
  <si>
    <t>www.lixinger.com/analytics/company/sz/000679/679/detail</t>
  </si>
  <si>
    <t>山推股份</t>
  </si>
  <si>
    <t>www.lixinger.com/analytics/company/sz/000680/680/detail</t>
  </si>
  <si>
    <t>视觉中国</t>
  </si>
  <si>
    <t>图片媒体</t>
  </si>
  <si>
    <t>www.lixinger.com/analytics/company/sz/000681/681/detail</t>
  </si>
  <si>
    <t>东方电子</t>
  </si>
  <si>
    <t>www.lixinger.com/analytics/company/sz/000682/682/detail</t>
  </si>
  <si>
    <t>远兴能源</t>
  </si>
  <si>
    <t>www.lixinger.com/analytics/company/sz/000683/683/detail</t>
  </si>
  <si>
    <t>中山公用</t>
  </si>
  <si>
    <t>www.lixinger.com/analytics/company/sz/000685/685/detail</t>
  </si>
  <si>
    <t>东北证券</t>
  </si>
  <si>
    <t>www.lixinger.com/analytics/company/sz/000686/686/detail</t>
  </si>
  <si>
    <t>*ST华讯</t>
  </si>
  <si>
    <t>www.lixinger.com/analytics/company/sz/000687/687/detail</t>
  </si>
  <si>
    <t>国城矿业</t>
  </si>
  <si>
    <t>www.lixinger.com/analytics/company/sz/000688/688/detail</t>
  </si>
  <si>
    <t>ST宏业</t>
  </si>
  <si>
    <t>www.lixinger.com/analytics/company/sz/000689/689/detail</t>
  </si>
  <si>
    <t>宝新能源</t>
  </si>
  <si>
    <t>www.lixinger.com/analytics/company/sz/000690/690/detail</t>
  </si>
  <si>
    <t>亚太实业</t>
  </si>
  <si>
    <t>www.lixinger.com/analytics/company/sz/000691/691/detail</t>
  </si>
  <si>
    <t>惠天热电</t>
  </si>
  <si>
    <t>www.lixinger.com/analytics/company/sz/000692/692/detail</t>
  </si>
  <si>
    <t>华泽退</t>
  </si>
  <si>
    <t>www.lixinger.com/analytics/company/sz/000693/693/detail</t>
  </si>
  <si>
    <t>滨海能源</t>
  </si>
  <si>
    <t>www.lixinger.com/analytics/company/sz/000695/695/detail</t>
  </si>
  <si>
    <t>炼石航空</t>
  </si>
  <si>
    <t>www.lixinger.com/analytics/company/sz/000697/697/detail</t>
  </si>
  <si>
    <t>沈阳化工</t>
  </si>
  <si>
    <t>www.lixinger.com/analytics/company/sz/000698/698/detail</t>
  </si>
  <si>
    <t>S*ST佳纸</t>
  </si>
  <si>
    <t>www.lixinger.com/analytics/company/sz/000699/699/detail</t>
  </si>
  <si>
    <t>模塑科技</t>
  </si>
  <si>
    <t>www.lixinger.com/analytics/company/sz/000700/700/detail</t>
  </si>
  <si>
    <t>厦门信达</t>
  </si>
  <si>
    <t>www.lixinger.com/analytics/company/sz/000701/701/detail</t>
  </si>
  <si>
    <t>正虹科技</t>
  </si>
  <si>
    <t>www.lixinger.com/analytics/company/sz/000702/702/detail</t>
  </si>
  <si>
    <t>恒逸石化</t>
  </si>
  <si>
    <t>www.lixinger.com/analytics/company/sz/000703/703/detail</t>
  </si>
  <si>
    <t>浙江震元</t>
  </si>
  <si>
    <t>www.lixinger.com/analytics/company/sz/000705/705/detail</t>
  </si>
  <si>
    <t>双环科技</t>
  </si>
  <si>
    <t>www.lixinger.com/analytics/company/sz/000707/707/detail</t>
  </si>
  <si>
    <t>中信特钢</t>
  </si>
  <si>
    <t>www.lixinger.com/analytics/company/sz/000708/708/detail</t>
  </si>
  <si>
    <t>河钢股份</t>
  </si>
  <si>
    <t>www.lixinger.com/analytics/company/sz/000709/709/detail</t>
  </si>
  <si>
    <t>贝瑞基因</t>
  </si>
  <si>
    <t>www.lixinger.com/analytics/company/sz/000710/710/detail</t>
  </si>
  <si>
    <t>京蓝科技</t>
  </si>
  <si>
    <t>www.lixinger.com/analytics/company/sz/000711/711/detail</t>
  </si>
  <si>
    <t>锦龙股份</t>
  </si>
  <si>
    <t>www.lixinger.com/analytics/company/sz/000712/712/detail</t>
  </si>
  <si>
    <t>丰乐种业</t>
  </si>
  <si>
    <t>www.lixinger.com/analytics/company/sz/000713/713/detail</t>
  </si>
  <si>
    <t>中兴商业</t>
  </si>
  <si>
    <t>www.lixinger.com/analytics/company/sz/000715/715/detail</t>
  </si>
  <si>
    <t>黑芝麻</t>
  </si>
  <si>
    <t>www.lixinger.com/analytics/company/sz/000716/716/detail</t>
  </si>
  <si>
    <t>韶钢松山</t>
  </si>
  <si>
    <t>www.lixinger.com/analytics/company/sz/000717/717/detail</t>
  </si>
  <si>
    <t>苏宁环球</t>
  </si>
  <si>
    <t>www.lixinger.com/analytics/company/sz/000718/718/detail</t>
  </si>
  <si>
    <t>中原传媒</t>
  </si>
  <si>
    <t>www.lixinger.com/analytics/company/sz/000719/719/detail</t>
  </si>
  <si>
    <t>新能泰山</t>
  </si>
  <si>
    <t>www.lixinger.com/analytics/company/sz/000720/720/detail</t>
  </si>
  <si>
    <t>西安饮食</t>
  </si>
  <si>
    <t>www.lixinger.com/analytics/company/sz/000721/721/detail</t>
  </si>
  <si>
    <t>湖南发展</t>
  </si>
  <si>
    <t>www.lixinger.com/analytics/company/sz/000722/722/detail</t>
  </si>
  <si>
    <t>美锦能源</t>
  </si>
  <si>
    <t>www.lixinger.com/analytics/company/sz/000723/723/detail</t>
  </si>
  <si>
    <t>京东方Ａ</t>
  </si>
  <si>
    <t>www.lixinger.com/analytics/company/sz/000725/725/detail</t>
  </si>
  <si>
    <t>鲁泰Ａ</t>
  </si>
  <si>
    <t>www.lixinger.com/analytics/company/sz/000726/726/detail</t>
  </si>
  <si>
    <t>冠捷科技</t>
  </si>
  <si>
    <t>www.lixinger.com/analytics/company/sz/000727/727/detail</t>
  </si>
  <si>
    <t>国元证券</t>
  </si>
  <si>
    <t>www.lixinger.com/analytics/company/sz/000728/728/detail</t>
  </si>
  <si>
    <t>燕京啤酒</t>
  </si>
  <si>
    <t>www.lixinger.com/analytics/company/sz/000729/729/detail</t>
  </si>
  <si>
    <t>*ST环保</t>
  </si>
  <si>
    <t>www.lixinger.com/analytics/company/sz/000730/730/detail</t>
  </si>
  <si>
    <t>四川美丰</t>
  </si>
  <si>
    <t>www.lixinger.com/analytics/company/sz/000731/731/detail</t>
  </si>
  <si>
    <t>泰禾集团</t>
  </si>
  <si>
    <t>www.lixinger.com/analytics/company/sz/000732/732/detail</t>
  </si>
  <si>
    <t>振华科技</t>
  </si>
  <si>
    <t>www.lixinger.com/analytics/company/sz/000733/733/detail</t>
  </si>
  <si>
    <t>罗牛山</t>
  </si>
  <si>
    <t>www.lixinger.com/analytics/company/sz/000735/735/detail</t>
  </si>
  <si>
    <t>中交地产</t>
  </si>
  <si>
    <t>www.lixinger.com/analytics/company/sz/000736/736/detail</t>
  </si>
  <si>
    <t>北方铜业</t>
  </si>
  <si>
    <t>www.lixinger.com/analytics/company/sz/000737/737/detail</t>
  </si>
  <si>
    <t>航发控制</t>
  </si>
  <si>
    <t>www.lixinger.com/analytics/company/sz/000738/738/detail</t>
  </si>
  <si>
    <t>普洛药业</t>
  </si>
  <si>
    <t>www.lixinger.com/analytics/company/sz/000739/739/detail</t>
  </si>
  <si>
    <t>长城信息</t>
  </si>
  <si>
    <t>www.lixinger.com/analytics/company/sz/000748/748/detail</t>
  </si>
  <si>
    <t>国海证券</t>
  </si>
  <si>
    <t>www.lixinger.com/analytics/company/sz/000750/750/detail</t>
  </si>
  <si>
    <t>锌业股份</t>
  </si>
  <si>
    <t>www.lixinger.com/analytics/company/sz/000751/751/detail</t>
  </si>
  <si>
    <t>*ST西发</t>
  </si>
  <si>
    <t>www.lixinger.com/analytics/company/sz/000752/752/detail</t>
  </si>
  <si>
    <t>漳州发展</t>
  </si>
  <si>
    <t>www.lixinger.com/analytics/company/sz/000753/753/detail</t>
  </si>
  <si>
    <t>山西路桥</t>
  </si>
  <si>
    <t>www.lixinger.com/analytics/company/sz/000755/755/detail</t>
  </si>
  <si>
    <t>新华制药</t>
  </si>
  <si>
    <t>www.lixinger.com/analytics/company/sz/000756/756/detail</t>
  </si>
  <si>
    <t>浩物股份</t>
  </si>
  <si>
    <t>www.lixinger.com/analytics/company/sz/000757/757/detail</t>
  </si>
  <si>
    <t>中色股份</t>
  </si>
  <si>
    <t>www.lixinger.com/analytics/company/sz/000758/758/detail</t>
  </si>
  <si>
    <t>中百集团</t>
  </si>
  <si>
    <t>www.lixinger.com/analytics/company/sz/000759/759/detail</t>
  </si>
  <si>
    <t>斯太退</t>
  </si>
  <si>
    <t>www.lixinger.com/analytics/company/sz/000760/760/detail</t>
  </si>
  <si>
    <t>本钢板材</t>
  </si>
  <si>
    <t>www.lixinger.com/analytics/company/sz/000761/761/detail</t>
  </si>
  <si>
    <t>西藏矿业</t>
  </si>
  <si>
    <t>锂</t>
  </si>
  <si>
    <t>www.lixinger.com/analytics/company/sz/000762/762/detail</t>
  </si>
  <si>
    <t>*ST华信</t>
  </si>
  <si>
    <t>www.lixinger.com/analytics/company/sz/000765/765/detail</t>
  </si>
  <si>
    <t>通化金马</t>
  </si>
  <si>
    <t>www.lixinger.com/analytics/company/sz/000766/766/detail</t>
  </si>
  <si>
    <t>晋控电力</t>
  </si>
  <si>
    <t>www.lixinger.com/analytics/company/sz/000767/767/detail</t>
  </si>
  <si>
    <t>中航西飞</t>
  </si>
  <si>
    <t>www.lixinger.com/analytics/company/sz/000768/768/detail</t>
  </si>
  <si>
    <t>*ST大菲</t>
  </si>
  <si>
    <t>www.lixinger.com/analytics/company/sz/000769/769/detail</t>
  </si>
  <si>
    <t>广发证券</t>
  </si>
  <si>
    <t>www.lixinger.com/analytics/company/sz/000776/776/detail</t>
  </si>
  <si>
    <t>中核科技</t>
  </si>
  <si>
    <t>www.lixinger.com/analytics/company/sz/000777/777/detail</t>
  </si>
  <si>
    <t>新兴铸管</t>
  </si>
  <si>
    <t>www.lixinger.com/analytics/company/sz/000778/778/detail</t>
  </si>
  <si>
    <t>甘咨询</t>
  </si>
  <si>
    <t>www.lixinger.com/analytics/company/sz/000779/779/detail</t>
  </si>
  <si>
    <t>ST平能</t>
  </si>
  <si>
    <t>www.lixinger.com/analytics/company/sz/000780/780/detail</t>
  </si>
  <si>
    <t>美达股份</t>
  </si>
  <si>
    <t>www.lixinger.com/analytics/company/sz/000782/782/detail</t>
  </si>
  <si>
    <t>长江证券</t>
  </si>
  <si>
    <t>www.lixinger.com/analytics/company/sz/000783/783/detail</t>
  </si>
  <si>
    <t>居然之家</t>
  </si>
  <si>
    <t>www.lixinger.com/analytics/company/sz/000785/785/detail</t>
  </si>
  <si>
    <t>北新建材</t>
  </si>
  <si>
    <t>www.lixinger.com/analytics/company/sz/000786/786/detail</t>
  </si>
  <si>
    <t>*ST创智</t>
  </si>
  <si>
    <t>www.lixinger.com/analytics/company/sz/000787/787/detail</t>
  </si>
  <si>
    <t>北大医药</t>
  </si>
  <si>
    <t>www.lixinger.com/analytics/company/sz/000788/788/detail</t>
  </si>
  <si>
    <t>万年青</t>
  </si>
  <si>
    <t>www.lixinger.com/analytics/company/sz/000789/789/detail</t>
  </si>
  <si>
    <t>华神科技</t>
  </si>
  <si>
    <t>www.lixinger.com/analytics/company/sz/000790/790/detail</t>
  </si>
  <si>
    <t>甘肃电投</t>
  </si>
  <si>
    <t>www.lixinger.com/analytics/company/sz/000791/791/detail</t>
  </si>
  <si>
    <t>盐湖股份</t>
  </si>
  <si>
    <t>www.lixinger.com/analytics/company/sz/000792/792/detail</t>
  </si>
  <si>
    <t>华闻集团</t>
  </si>
  <si>
    <t>www.lixinger.com/analytics/company/sz/000793/793/detail</t>
  </si>
  <si>
    <t>英洛华</t>
  </si>
  <si>
    <t>www.lixinger.com/analytics/company/sz/000795/795/detail</t>
  </si>
  <si>
    <t>凯撒旅业</t>
  </si>
  <si>
    <t>www.lixinger.com/analytics/company/sz/000796/796/detail</t>
  </si>
  <si>
    <t>中国武夷</t>
  </si>
  <si>
    <t>www.lixinger.com/analytics/company/sz/000797/797/detail</t>
  </si>
  <si>
    <t>中水渔业</t>
  </si>
  <si>
    <t>www.lixinger.com/analytics/company/sz/000798/798/detail</t>
  </si>
  <si>
    <t>酒鬼酒</t>
  </si>
  <si>
    <t>www.lixinger.com/analytics/company/sz/000799/799/detail</t>
  </si>
  <si>
    <t>一汽解放</t>
  </si>
  <si>
    <t>www.lixinger.com/analytics/company/sz/000800/800/detail</t>
  </si>
  <si>
    <t>四川九洲</t>
  </si>
  <si>
    <t>www.lixinger.com/analytics/company/sz/000801/801/detail</t>
  </si>
  <si>
    <t>ST北文</t>
  </si>
  <si>
    <t>www.lixinger.com/analytics/company/sz/000802/802/detail</t>
  </si>
  <si>
    <t>北清环能</t>
  </si>
  <si>
    <t>www.lixinger.com/analytics/company/sz/000803/803/detail</t>
  </si>
  <si>
    <t>*ST炎黄</t>
  </si>
  <si>
    <t>www.lixinger.com/analytics/company/sz/000805/805/detail</t>
  </si>
  <si>
    <t>ST银河</t>
  </si>
  <si>
    <t>www.lixinger.com/analytics/company/sz/000806/806/detail</t>
  </si>
  <si>
    <t>云铝股份</t>
  </si>
  <si>
    <t>www.lixinger.com/analytics/company/sz/000807/807/detail</t>
  </si>
  <si>
    <t>ST新城</t>
  </si>
  <si>
    <t>www.lixinger.com/analytics/company/sz/000809/809/detail</t>
  </si>
  <si>
    <t>创维数字</t>
  </si>
  <si>
    <t>www.lixinger.com/analytics/company/sz/000810/810/detail</t>
  </si>
  <si>
    <t>冰轮环境</t>
  </si>
  <si>
    <t>www.lixinger.com/analytics/company/sz/000811/811/detail</t>
  </si>
  <si>
    <t>陕西金叶</t>
  </si>
  <si>
    <t>www.lixinger.com/analytics/company/sz/000812/812/detail</t>
  </si>
  <si>
    <t>德展健康</t>
  </si>
  <si>
    <t>www.lixinger.com/analytics/company/sz/000813/813/detail</t>
  </si>
  <si>
    <t>美利云</t>
  </si>
  <si>
    <t>www.lixinger.com/analytics/company/sz/000815/815/detail</t>
  </si>
  <si>
    <t>智慧农业</t>
  </si>
  <si>
    <t>www.lixinger.com/analytics/company/sz/000816/816/detail</t>
  </si>
  <si>
    <t>航锦科技</t>
  </si>
  <si>
    <t>www.lixinger.com/analytics/company/sz/000818/818/detail</t>
  </si>
  <si>
    <t>岳阳兴长</t>
  </si>
  <si>
    <t>www.lixinger.com/analytics/company/sz/000819/819/detail</t>
  </si>
  <si>
    <t>*ST节能</t>
  </si>
  <si>
    <t>www.lixinger.com/analytics/company/sz/000820/820/detail</t>
  </si>
  <si>
    <t>京山轻机</t>
  </si>
  <si>
    <t>www.lixinger.com/analytics/company/sz/000821/821/detail</t>
  </si>
  <si>
    <t>山东海化</t>
  </si>
  <si>
    <t>www.lixinger.com/analytics/company/sz/000822/822/detail</t>
  </si>
  <si>
    <t>超声电子</t>
  </si>
  <si>
    <t>www.lixinger.com/analytics/company/sz/000823/823/detail</t>
  </si>
  <si>
    <t>太钢不锈</t>
  </si>
  <si>
    <t>www.lixinger.com/analytics/company/sz/000825/825/detail</t>
  </si>
  <si>
    <t>启迪环境</t>
  </si>
  <si>
    <t>www.lixinger.com/analytics/company/sz/000826/826/detail</t>
  </si>
  <si>
    <t>东莞控股</t>
  </si>
  <si>
    <t>www.lixinger.com/analytics/company/sz/000828/828/detail</t>
  </si>
  <si>
    <t>天音控股</t>
  </si>
  <si>
    <t>www.lixinger.com/analytics/company/sz/000829/829/detail</t>
  </si>
  <si>
    <t>鲁西化工</t>
  </si>
  <si>
    <t>www.lixinger.com/analytics/company/sz/000830/830/detail</t>
  </si>
  <si>
    <t>五矿稀土</t>
  </si>
  <si>
    <t>www.lixinger.com/analytics/company/sz/000831/831/detail</t>
  </si>
  <si>
    <t>*ST龙涤</t>
  </si>
  <si>
    <t>www.lixinger.com/analytics/company/sz/000832/832/detail</t>
  </si>
  <si>
    <t>粤桂股份</t>
  </si>
  <si>
    <t>www.lixinger.com/analytics/company/sz/000833/833/detail</t>
  </si>
  <si>
    <t>长动退</t>
  </si>
  <si>
    <t>www.lixinger.com/analytics/company/sz/000835/835/detail</t>
  </si>
  <si>
    <t>富通信息</t>
  </si>
  <si>
    <t>www.lixinger.com/analytics/company/sz/000836/836/detail</t>
  </si>
  <si>
    <t>秦川机床</t>
  </si>
  <si>
    <t>www.lixinger.com/analytics/company/sz/000837/837/detail</t>
  </si>
  <si>
    <t>财信发展</t>
  </si>
  <si>
    <t>www.lixinger.com/analytics/company/sz/000838/838/detail</t>
  </si>
  <si>
    <t>中信国安</t>
  </si>
  <si>
    <t>www.lixinger.com/analytics/company/sz/000839/839/detail</t>
  </si>
  <si>
    <t>承德露露</t>
  </si>
  <si>
    <t>www.lixinger.com/analytics/company/sz/000848/848/detail</t>
  </si>
  <si>
    <t>华茂股份</t>
  </si>
  <si>
    <t>www.lixinger.com/analytics/company/sz/000850/850/detail</t>
  </si>
  <si>
    <t>高鸿股份</t>
  </si>
  <si>
    <t>www.lixinger.com/analytics/company/sz/000851/851/detail</t>
  </si>
  <si>
    <t>石化机械</t>
  </si>
  <si>
    <t>www.lixinger.com/analytics/company/sz/000852/852/detail</t>
  </si>
  <si>
    <t>冀东装备</t>
  </si>
  <si>
    <t>www.lixinger.com/analytics/company/sz/000856/856/detail</t>
  </si>
  <si>
    <t>五粮液</t>
  </si>
  <si>
    <t>www.lixinger.com/analytics/company/sz/000858/858/detail</t>
  </si>
  <si>
    <t>国风新材</t>
  </si>
  <si>
    <t>www.lixinger.com/analytics/company/sz/000859/859/detail</t>
  </si>
  <si>
    <t>顺鑫农业</t>
  </si>
  <si>
    <t>www.lixinger.com/analytics/company/sz/000860/860/detail</t>
  </si>
  <si>
    <t>海印股份</t>
  </si>
  <si>
    <t>www.lixinger.com/analytics/company/sz/000861/861/detail</t>
  </si>
  <si>
    <t>银星能源</t>
  </si>
  <si>
    <t>www.lixinger.com/analytics/company/sz/000862/862/detail</t>
  </si>
  <si>
    <t>三湘印象</t>
  </si>
  <si>
    <t>www.lixinger.com/analytics/company/sz/000863/863/detail</t>
  </si>
  <si>
    <t>安凯客车</t>
  </si>
  <si>
    <t>www.lixinger.com/analytics/company/sz/000868/868/detail</t>
  </si>
  <si>
    <t>张裕Ａ</t>
  </si>
  <si>
    <t>www.lixinger.com/analytics/company/sz/000869/869/detail</t>
  </si>
  <si>
    <t>吉电股份</t>
  </si>
  <si>
    <t>www.lixinger.com/analytics/company/sz/000875/875/detail</t>
  </si>
  <si>
    <t>新希望</t>
  </si>
  <si>
    <t>www.lixinger.com/analytics/company/sz/000876/876/detail</t>
  </si>
  <si>
    <t>天山股份</t>
  </si>
  <si>
    <t>www.lixinger.com/analytics/company/sz/000877/877/detail</t>
  </si>
  <si>
    <t>云南铜业</t>
  </si>
  <si>
    <t>www.lixinger.com/analytics/company/sz/000878/878/detail</t>
  </si>
  <si>
    <t>潍柴重机</t>
  </si>
  <si>
    <t>www.lixinger.com/analytics/company/sz/000880/880/detail</t>
  </si>
  <si>
    <t>中广核技</t>
  </si>
  <si>
    <t>www.lixinger.com/analytics/company/sz/000881/881/detail</t>
  </si>
  <si>
    <t>华联股份</t>
  </si>
  <si>
    <t>www.lixinger.com/analytics/company/sz/000882/882/detail</t>
  </si>
  <si>
    <t>湖北能源</t>
  </si>
  <si>
    <t>www.lixinger.com/analytics/company/sz/000883/883/detail</t>
  </si>
  <si>
    <t>城发环境</t>
  </si>
  <si>
    <t>www.lixinger.com/analytics/company/sz/000885/885/detail</t>
  </si>
  <si>
    <t>海南高速</t>
  </si>
  <si>
    <t>www.lixinger.com/analytics/company/sz/000886/886/detail</t>
  </si>
  <si>
    <t>中鼎股份</t>
  </si>
  <si>
    <t>www.lixinger.com/analytics/company/sz/000887/887/detail</t>
  </si>
  <si>
    <t>峨眉山Ａ</t>
  </si>
  <si>
    <t>www.lixinger.com/analytics/company/sz/000888/888/detail</t>
  </si>
  <si>
    <t>中嘉博创</t>
  </si>
  <si>
    <t>www.lixinger.com/analytics/company/sz/000889/889/detail</t>
  </si>
  <si>
    <t>法尔胜</t>
  </si>
  <si>
    <t>www.lixinger.com/analytics/company/sz/000890/890/detail</t>
  </si>
  <si>
    <t>欢瑞世纪</t>
  </si>
  <si>
    <t>www.lixinger.com/analytics/company/sz/000892/892/detail</t>
  </si>
  <si>
    <t>亚钾国际</t>
  </si>
  <si>
    <t>www.lixinger.com/analytics/company/sz/000893/893/detail</t>
  </si>
  <si>
    <t>双汇发展</t>
  </si>
  <si>
    <t>www.lixinger.com/analytics/company/sz/000895/895/detail</t>
  </si>
  <si>
    <t>津滨发展</t>
  </si>
  <si>
    <t>www.lixinger.com/analytics/company/sz/000897/897/detail</t>
  </si>
  <si>
    <t>鞍钢股份</t>
  </si>
  <si>
    <t>www.lixinger.com/analytics/company/sz/000898/898/detail</t>
  </si>
  <si>
    <t>赣能股份</t>
  </si>
  <si>
    <t>www.lixinger.com/analytics/company/sz/000899/899/detail</t>
  </si>
  <si>
    <t>现代投资</t>
  </si>
  <si>
    <t>www.lixinger.com/analytics/company/sz/000900/900/detail</t>
  </si>
  <si>
    <t>航天科技</t>
  </si>
  <si>
    <t>www.lixinger.com/analytics/company/sz/000901/901/detail</t>
  </si>
  <si>
    <t>新洋丰</t>
  </si>
  <si>
    <t>复合肥</t>
  </si>
  <si>
    <t>www.lixinger.com/analytics/company/sz/000902/902/detail</t>
  </si>
  <si>
    <t>云内动力</t>
  </si>
  <si>
    <t>www.lixinger.com/analytics/company/sz/000903/903/detail</t>
  </si>
  <si>
    <t>厦门港务</t>
  </si>
  <si>
    <t>www.lixinger.com/analytics/company/sz/000905/905/detail</t>
  </si>
  <si>
    <t>浙商中拓</t>
  </si>
  <si>
    <t>www.lixinger.com/analytics/company/sz/000906/906/detail</t>
  </si>
  <si>
    <t>景峰医药</t>
  </si>
  <si>
    <t>www.lixinger.com/analytics/company/sz/000908/908/detail</t>
  </si>
  <si>
    <t>数源科技</t>
  </si>
  <si>
    <t>www.lixinger.com/analytics/company/sz/000909/909/detail</t>
  </si>
  <si>
    <t>大亚圣象</t>
  </si>
  <si>
    <t>www.lixinger.com/analytics/company/sz/000910/910/detail</t>
  </si>
  <si>
    <t>南宁糖业</t>
  </si>
  <si>
    <t>www.lixinger.com/analytics/company/sz/000911/911/detail</t>
  </si>
  <si>
    <t>泸天化</t>
  </si>
  <si>
    <t>www.lixinger.com/analytics/company/sz/000912/912/detail</t>
  </si>
  <si>
    <t>钱江摩托</t>
  </si>
  <si>
    <t>www.lixinger.com/analytics/company/sz/000913/913/detail</t>
  </si>
  <si>
    <t>华特达因</t>
  </si>
  <si>
    <t>www.lixinger.com/analytics/company/sz/000915/915/detail</t>
  </si>
  <si>
    <t>华北高速</t>
  </si>
  <si>
    <t>www.lixinger.com/analytics/company/sz/000916/916/detail</t>
  </si>
  <si>
    <t>电广传媒</t>
  </si>
  <si>
    <t>www.lixinger.com/analytics/company/sz/000917/917/detail</t>
  </si>
  <si>
    <t>嘉凯城</t>
  </si>
  <si>
    <t>www.lixinger.com/analytics/company/sz/000918/918/detail</t>
  </si>
  <si>
    <t>金陵药业</t>
  </si>
  <si>
    <t>www.lixinger.com/analytics/company/sz/000919/919/detail</t>
  </si>
  <si>
    <t>沃顿科技</t>
  </si>
  <si>
    <t>www.lixinger.com/analytics/company/sz/000920/920/detail</t>
  </si>
  <si>
    <t>海信家电</t>
  </si>
  <si>
    <t>www.lixinger.com/analytics/company/sz/000921/921/detail</t>
  </si>
  <si>
    <t>佳电股份</t>
  </si>
  <si>
    <t>www.lixinger.com/analytics/company/sz/000922/922/detail</t>
  </si>
  <si>
    <t>河钢资源</t>
  </si>
  <si>
    <t>www.lixinger.com/analytics/company/sz/000923/923/detail</t>
  </si>
  <si>
    <t>众合科技</t>
  </si>
  <si>
    <t>www.lixinger.com/analytics/company/sz/000925/925/detail</t>
  </si>
  <si>
    <t>福星股份</t>
  </si>
  <si>
    <t>www.lixinger.com/analytics/company/sz/000926/926/detail</t>
  </si>
  <si>
    <t>中国铁物</t>
  </si>
  <si>
    <t>www.lixinger.com/analytics/company/sz/000927/927/detail</t>
  </si>
  <si>
    <t>中钢国际</t>
  </si>
  <si>
    <t>www.lixinger.com/analytics/company/sz/000928/928/detail</t>
  </si>
  <si>
    <t>兰州黄河</t>
  </si>
  <si>
    <t>www.lixinger.com/analytics/company/sz/000929/929/detail</t>
  </si>
  <si>
    <t>中粮科技</t>
  </si>
  <si>
    <t>www.lixinger.com/analytics/company/sz/000930/930/detail</t>
  </si>
  <si>
    <t>中关村</t>
  </si>
  <si>
    <t>www.lixinger.com/analytics/company/sz/000931/931/detail</t>
  </si>
  <si>
    <t>华菱钢铁</t>
  </si>
  <si>
    <t>www.lixinger.com/analytics/company/sz/000932/932/detail</t>
  </si>
  <si>
    <t>神火股份</t>
  </si>
  <si>
    <t>www.lixinger.com/analytics/company/sz/000933/933/detail</t>
  </si>
  <si>
    <t>四川双马</t>
  </si>
  <si>
    <t>www.lixinger.com/analytics/company/sz/000935/935/detail</t>
  </si>
  <si>
    <t>华西股份</t>
  </si>
  <si>
    <t>www.lixinger.com/analytics/company/sz/000936/936/detail</t>
  </si>
  <si>
    <t>冀中能源</t>
  </si>
  <si>
    <t>www.lixinger.com/analytics/company/sz/000937/937/detail</t>
  </si>
  <si>
    <t>紫光股份</t>
  </si>
  <si>
    <t>www.lixinger.com/analytics/company/sz/000938/938/detail</t>
  </si>
  <si>
    <t>凯迪退</t>
  </si>
  <si>
    <t>www.lixinger.com/analytics/company/sz/000939/939/detail</t>
  </si>
  <si>
    <t>南天信息</t>
  </si>
  <si>
    <t>www.lixinger.com/analytics/company/sz/000948/948/detail</t>
  </si>
  <si>
    <t>新乡化纤</t>
  </si>
  <si>
    <t>氨纶</t>
  </si>
  <si>
    <t>www.lixinger.com/analytics/company/sz/000949/949/detail</t>
  </si>
  <si>
    <t>重药控股</t>
  </si>
  <si>
    <t>www.lixinger.com/analytics/company/sz/000950/950/detail</t>
  </si>
  <si>
    <t>中国重汽</t>
  </si>
  <si>
    <t>www.lixinger.com/analytics/company/sz/000951/951/detail</t>
  </si>
  <si>
    <t>广济药业</t>
  </si>
  <si>
    <t>www.lixinger.com/analytics/company/sz/000952/952/detail</t>
  </si>
  <si>
    <t>河化股份</t>
  </si>
  <si>
    <t>www.lixinger.com/analytics/company/sz/000953/953/detail</t>
  </si>
  <si>
    <t>欣龙控股</t>
  </si>
  <si>
    <t>www.lixinger.com/analytics/company/sz/000955/955/detail</t>
  </si>
  <si>
    <t>中通客车</t>
  </si>
  <si>
    <t>www.lixinger.com/analytics/company/sz/000957/957/detail</t>
  </si>
  <si>
    <t>东方能源</t>
  </si>
  <si>
    <t>www.lixinger.com/analytics/company/sz/000958/958/detail</t>
  </si>
  <si>
    <t>首钢股份</t>
  </si>
  <si>
    <t>www.lixinger.com/analytics/company/sz/000959/959/detail</t>
  </si>
  <si>
    <t>锡业股份</t>
  </si>
  <si>
    <t>www.lixinger.com/analytics/company/sz/000960/960/detail</t>
  </si>
  <si>
    <t>中南建设</t>
  </si>
  <si>
    <t>www.lixinger.com/analytics/company/sz/000961/961/detail</t>
  </si>
  <si>
    <t>东方钽业</t>
  </si>
  <si>
    <t>www.lixinger.com/analytics/company/sz/000962/962/detail</t>
  </si>
  <si>
    <t>华东医药</t>
  </si>
  <si>
    <t>www.lixinger.com/analytics/company/sz/000963/963/detail</t>
  </si>
  <si>
    <t>天保基建</t>
  </si>
  <si>
    <t>www.lixinger.com/analytics/company/sz/000965/965/detail</t>
  </si>
  <si>
    <t>长源电力</t>
  </si>
  <si>
    <t>www.lixinger.com/analytics/company/sz/000966/966/detail</t>
  </si>
  <si>
    <t>盈峰环境</t>
  </si>
  <si>
    <t>www.lixinger.com/analytics/company/sz/000967/967/detail</t>
  </si>
  <si>
    <t>蓝焰控股</t>
  </si>
  <si>
    <t>www.lixinger.com/analytics/company/sz/000968/968/detail</t>
  </si>
  <si>
    <t>安泰科技</t>
  </si>
  <si>
    <t>www.lixinger.com/analytics/company/sz/000969/969/detail</t>
  </si>
  <si>
    <t>中科三环</t>
  </si>
  <si>
    <t>www.lixinger.com/analytics/company/sz/000970/970/detail</t>
  </si>
  <si>
    <t>ST高升</t>
  </si>
  <si>
    <t>通信应用增值服务</t>
  </si>
  <si>
    <t>www.lixinger.com/analytics/company/sz/000971/971/detail</t>
  </si>
  <si>
    <t>*ST中基</t>
  </si>
  <si>
    <t>www.lixinger.com/analytics/company/sz/000972/972/detail</t>
  </si>
  <si>
    <t>佛塑科技</t>
  </si>
  <si>
    <t>www.lixinger.com/analytics/company/sz/000973/973/detail</t>
  </si>
  <si>
    <t>银泰黄金</t>
  </si>
  <si>
    <t>www.lixinger.com/analytics/company/sz/000975/975/detail</t>
  </si>
  <si>
    <t>华铁股份</t>
  </si>
  <si>
    <t>www.lixinger.com/analytics/company/sz/000976/976/detail</t>
  </si>
  <si>
    <t>浪潮信息</t>
  </si>
  <si>
    <t>www.lixinger.com/analytics/company/sz/000977/977/detail</t>
  </si>
  <si>
    <t>桂林旅游</t>
  </si>
  <si>
    <t>www.lixinger.com/analytics/company/sz/000978/978/detail</t>
  </si>
  <si>
    <t>中弘退</t>
  </si>
  <si>
    <t>www.lixinger.com/analytics/company/sz/000979/979/detail</t>
  </si>
  <si>
    <t>*ST众泰</t>
  </si>
  <si>
    <t>www.lixinger.com/analytics/company/sz/000980/980/detail</t>
  </si>
  <si>
    <t>*ST银亿</t>
  </si>
  <si>
    <t>www.lixinger.com/analytics/company/sz/000981/981/detail</t>
  </si>
  <si>
    <t>中银绒业</t>
  </si>
  <si>
    <t>www.lixinger.com/analytics/company/sz/000982/982/detail</t>
  </si>
  <si>
    <t>山西焦煤</t>
  </si>
  <si>
    <t>www.lixinger.com/analytics/company/sz/000983/983/detail</t>
  </si>
  <si>
    <t>大庆华科</t>
  </si>
  <si>
    <t>www.lixinger.com/analytics/company/sz/000985/985/detail</t>
  </si>
  <si>
    <t>越秀金控</t>
  </si>
  <si>
    <t>www.lixinger.com/analytics/company/sz/000987/987/detail</t>
  </si>
  <si>
    <t>华工科技</t>
  </si>
  <si>
    <t>www.lixinger.com/analytics/company/sz/000988/988/detail</t>
  </si>
  <si>
    <t>九芝堂</t>
  </si>
  <si>
    <t>www.lixinger.com/analytics/company/sz/000989/989/detail</t>
  </si>
  <si>
    <t>诚志股份</t>
  </si>
  <si>
    <t>www.lixinger.com/analytics/company/sz/000990/990/detail</t>
  </si>
  <si>
    <t>闽东电力</t>
  </si>
  <si>
    <t>www.lixinger.com/analytics/company/sz/000993/993/detail</t>
  </si>
  <si>
    <t>*ST皇台</t>
  </si>
  <si>
    <t>www.lixinger.com/analytics/company/sz/000995/995/detail</t>
  </si>
  <si>
    <t>中国中期</t>
  </si>
  <si>
    <t>www.lixinger.com/analytics/company/sz/000996/996/detail</t>
  </si>
  <si>
    <t>新大陆</t>
  </si>
  <si>
    <t>www.lixinger.com/analytics/company/sz/000997/997/detail</t>
  </si>
  <si>
    <t>隆平高科</t>
  </si>
  <si>
    <t>www.lixinger.com/analytics/company/sz/000998/998/detail</t>
  </si>
  <si>
    <t>华润三九</t>
  </si>
  <si>
    <t>www.lixinger.com/analytics/company/sz/000999/999/detail</t>
  </si>
  <si>
    <t>东瑞股份</t>
  </si>
  <si>
    <t>www.lixinger.com/analytics/company/sz/001201/1201/detail</t>
  </si>
  <si>
    <t>炬申股份</t>
  </si>
  <si>
    <t>www.lixinger.com/analytics/company/sz/001202/1202/detail</t>
  </si>
  <si>
    <t>大中矿业</t>
  </si>
  <si>
    <t>www.lixinger.com/analytics/company/sz/001203/1203/detail</t>
  </si>
  <si>
    <t>盛航股份</t>
  </si>
  <si>
    <t>www.lixinger.com/analytics/company/sz/001205/1205/detail</t>
  </si>
  <si>
    <t>依依股份</t>
  </si>
  <si>
    <t>www.lixinger.com/analytics/company/sz/001206/1206/detail</t>
  </si>
  <si>
    <t>联科科技</t>
  </si>
  <si>
    <t>www.lixinger.com/analytics/company/sz/001207/1207/detail</t>
  </si>
  <si>
    <t>华菱线缆</t>
  </si>
  <si>
    <t>www.lixinger.com/analytics/company/sz/001208/1208/detail</t>
  </si>
  <si>
    <t>洪兴股份</t>
  </si>
  <si>
    <t>www.lixinger.com/analytics/company/sz/001209/1209/detail</t>
  </si>
  <si>
    <t>金房节能</t>
  </si>
  <si>
    <t>www.lixinger.com/analytics/company/sz/001210/1210/detail</t>
  </si>
  <si>
    <t>双枪科技</t>
  </si>
  <si>
    <t>www.lixinger.com/analytics/company/sz/001211/1211/detail</t>
  </si>
  <si>
    <t>中旗新材</t>
  </si>
  <si>
    <t>www.lixinger.com/analytics/company/sz/001212/1212/detail</t>
  </si>
  <si>
    <t>中铁特货</t>
  </si>
  <si>
    <t>www.lixinger.com/analytics/company/sz/001213/1213/detail</t>
  </si>
  <si>
    <t>千味央厨</t>
  </si>
  <si>
    <t>www.lixinger.com/analytics/company/sz/001215/1215/detail</t>
  </si>
  <si>
    <t>华瓷股份</t>
  </si>
  <si>
    <t>www.lixinger.com/analytics/company/sz/001216/1216/detail</t>
  </si>
  <si>
    <t>华尔泰</t>
  </si>
  <si>
    <t>www.lixinger.com/analytics/company/sz/001217/1217/detail</t>
  </si>
  <si>
    <t>丽臣实业</t>
  </si>
  <si>
    <t>www.lixinger.com/analytics/company/sz/001218/1218/detail</t>
  </si>
  <si>
    <t>青岛食品</t>
  </si>
  <si>
    <t>www.lixinger.com/analytics/company/sz/001219/1219/detail</t>
  </si>
  <si>
    <t>兰州银行</t>
  </si>
  <si>
    <t>www.lixinger.com/analytics/company/sz/001227/1227/detail</t>
  </si>
  <si>
    <t>永泰运</t>
  </si>
  <si>
    <t>www.lixinger.com/analytics/company/sz/001228/1228/detail</t>
  </si>
  <si>
    <t>泰慕士</t>
  </si>
  <si>
    <t>www.lixinger.com/analytics/company/sz/001234/1234/detail</t>
  </si>
  <si>
    <t>里得电科</t>
  </si>
  <si>
    <t>www.lixinger.com/analytics/company/sz/001235/1235/detail</t>
  </si>
  <si>
    <t>宏英智能</t>
  </si>
  <si>
    <t>www.lixinger.com/analytics/company/sz/001266/1266/detail</t>
  </si>
  <si>
    <t>汇绿生态</t>
  </si>
  <si>
    <t>www.lixinger.com/analytics/company/sz/001267/1267/detail</t>
  </si>
  <si>
    <t>运机集团</t>
  </si>
  <si>
    <t>www.lixinger.com/analytics/company/sz/001288/1288/detail</t>
  </si>
  <si>
    <t>龙源电力</t>
  </si>
  <si>
    <t>www.lixinger.com/analytics/company/sz/001289/1289/detail</t>
  </si>
  <si>
    <t>长江材料</t>
  </si>
  <si>
    <t>www.lixinger.com/analytics/company/sz/001296/1296/detail</t>
  </si>
  <si>
    <t>康冠科技</t>
  </si>
  <si>
    <t>www.lixinger.com/analytics/company/sz/001308/1308/detail</t>
  </si>
  <si>
    <t>粤海饲料</t>
  </si>
  <si>
    <t>www.lixinger.com/analytics/company/sz/001313/1313/detail</t>
  </si>
  <si>
    <t>三羊马</t>
  </si>
  <si>
    <t>www.lixinger.com/analytics/company/sz/001317/1317/detail</t>
  </si>
  <si>
    <t>阳光乳业</t>
  </si>
  <si>
    <t>www.lixinger.com/analytics/company/sz/001318/1318/detail</t>
  </si>
  <si>
    <t>铭科精技</t>
  </si>
  <si>
    <t>www.lixinger.com/analytics/company/sz/001319/1319/detail</t>
  </si>
  <si>
    <t>宗申动力</t>
  </si>
  <si>
    <t>www.lixinger.com/analytics/company/sz/001696/1696/detail</t>
  </si>
  <si>
    <t>招商港口</t>
  </si>
  <si>
    <t>www.lixinger.com/analytics/company/sz/001872/1872/detail</t>
  </si>
  <si>
    <t>豫能控股</t>
  </si>
  <si>
    <t>www.lixinger.com/analytics/company/sz/001896/1896/detail</t>
  </si>
  <si>
    <t>招商积余</t>
  </si>
  <si>
    <t>www.lixinger.com/analytics/company/sz/001914/1914/detail</t>
  </si>
  <si>
    <t>招商公路</t>
  </si>
  <si>
    <t>www.lixinger.com/analytics/company/sz/001965/1965/detail</t>
  </si>
  <si>
    <t>招商蛇口</t>
  </si>
  <si>
    <t>www.lixinger.com/analytics/company/sz/001979/1979/detail</t>
  </si>
  <si>
    <t>新和成</t>
  </si>
  <si>
    <t>www.lixinger.com/analytics/company/sz/002001/2001/detail</t>
  </si>
  <si>
    <t>鸿达兴业</t>
  </si>
  <si>
    <t>www.lixinger.com/analytics/company/sz/002002/2002/detail</t>
  </si>
  <si>
    <t>伟星股份</t>
  </si>
  <si>
    <t>www.lixinger.com/analytics/company/sz/002003/2003/detail</t>
  </si>
  <si>
    <t>华邦健康</t>
  </si>
  <si>
    <t>www.lixinger.com/analytics/company/sz/002004/2004/detail</t>
  </si>
  <si>
    <t>ST德豪</t>
  </si>
  <si>
    <t>厨房小家电</t>
  </si>
  <si>
    <t>www.lixinger.com/analytics/company/sz/002005/2005/detail</t>
  </si>
  <si>
    <t>精功科技</t>
  </si>
  <si>
    <t>www.lixinger.com/analytics/company/sz/002006/2006/detail</t>
  </si>
  <si>
    <t>华兰生物</t>
  </si>
  <si>
    <t>www.lixinger.com/analytics/company/sz/002007/2007/detail</t>
  </si>
  <si>
    <t>大族激光</t>
  </si>
  <si>
    <t>www.lixinger.com/analytics/company/sz/002008/2008/detail</t>
  </si>
  <si>
    <t>天奇股份</t>
  </si>
  <si>
    <t>www.lixinger.com/analytics/company/sz/002009/2009/detail</t>
  </si>
  <si>
    <t>传化智联</t>
  </si>
  <si>
    <t>www.lixinger.com/analytics/company/sz/002010/2010/detail</t>
  </si>
  <si>
    <t>盾安环境</t>
  </si>
  <si>
    <t>www.lixinger.com/analytics/company/sz/002011/2011/detail</t>
  </si>
  <si>
    <t>凯恩股份</t>
  </si>
  <si>
    <t>www.lixinger.com/analytics/company/sz/002012/2012/detail</t>
  </si>
  <si>
    <t>中航机电</t>
  </si>
  <si>
    <t>www.lixinger.com/analytics/company/sz/002013/2013/detail</t>
  </si>
  <si>
    <t>永新股份</t>
  </si>
  <si>
    <t>www.lixinger.com/analytics/company/sz/002014/2014/detail</t>
  </si>
  <si>
    <t>协鑫能科</t>
  </si>
  <si>
    <t>www.lixinger.com/analytics/company/sz/002015/2015/detail</t>
  </si>
  <si>
    <t>世荣兆业</t>
  </si>
  <si>
    <t>www.lixinger.com/analytics/company/sz/002016/2016/detail</t>
  </si>
  <si>
    <t>东信和平</t>
  </si>
  <si>
    <t>www.lixinger.com/analytics/company/sz/002017/2017/detail</t>
  </si>
  <si>
    <t>华信退</t>
  </si>
  <si>
    <t>www.lixinger.com/analytics/company/sz/002018/2018/detail</t>
  </si>
  <si>
    <t>亿帆医药</t>
  </si>
  <si>
    <t>www.lixinger.com/analytics/company/sz/002019/2019/detail</t>
  </si>
  <si>
    <t>京新药业</t>
  </si>
  <si>
    <t>www.lixinger.com/analytics/company/sz/002020/2020/detail</t>
  </si>
  <si>
    <t>ST中捷</t>
  </si>
  <si>
    <t>www.lixinger.com/analytics/company/sz/002021/2021/detail</t>
  </si>
  <si>
    <t>科华生物</t>
  </si>
  <si>
    <t>www.lixinger.com/analytics/company/sz/002022/2022/detail</t>
  </si>
  <si>
    <t>海特高新</t>
  </si>
  <si>
    <t>www.lixinger.com/analytics/company/sz/002023/2023/detail</t>
  </si>
  <si>
    <t>苏宁易购</t>
  </si>
  <si>
    <t>www.lixinger.com/analytics/company/sz/002024/2024/detail</t>
  </si>
  <si>
    <t>航天电器</t>
  </si>
  <si>
    <t>www.lixinger.com/analytics/company/sz/002025/2025/detail</t>
  </si>
  <si>
    <t>山东威达</t>
  </si>
  <si>
    <t>www.lixinger.com/analytics/company/sz/002026/2026/detail</t>
  </si>
  <si>
    <t>分众传媒</t>
  </si>
  <si>
    <t>www.lixinger.com/analytics/company/sz/002027/2027/detail</t>
  </si>
  <si>
    <t>思源电气</t>
  </si>
  <si>
    <t>www.lixinger.com/analytics/company/sz/002028/2028/detail</t>
  </si>
  <si>
    <t>七匹狼</t>
  </si>
  <si>
    <t>www.lixinger.com/analytics/company/sz/002029/2029/detail</t>
  </si>
  <si>
    <t>达安基因</t>
  </si>
  <si>
    <t>www.lixinger.com/analytics/company/sz/002030/2030/detail</t>
  </si>
  <si>
    <t>巨轮智能</t>
  </si>
  <si>
    <t>www.lixinger.com/analytics/company/sz/002031/2031/detail</t>
  </si>
  <si>
    <t>苏泊尔</t>
  </si>
  <si>
    <t>www.lixinger.com/analytics/company/sz/002032/2032/detail</t>
  </si>
  <si>
    <t>丽江股份</t>
  </si>
  <si>
    <t>www.lixinger.com/analytics/company/sz/002033/2033/detail</t>
  </si>
  <si>
    <t>旺能环境</t>
  </si>
  <si>
    <t>www.lixinger.com/analytics/company/sz/002034/2034/detail</t>
  </si>
  <si>
    <t>华帝股份</t>
  </si>
  <si>
    <t>www.lixinger.com/analytics/company/sz/002035/2035/detail</t>
  </si>
  <si>
    <t>联创电子</t>
  </si>
  <si>
    <t>www.lixinger.com/analytics/company/sz/002036/2036/detail</t>
  </si>
  <si>
    <t>保利联合</t>
  </si>
  <si>
    <t>www.lixinger.com/analytics/company/sz/002037/2037/detail</t>
  </si>
  <si>
    <t>双鹭药业</t>
  </si>
  <si>
    <t>www.lixinger.com/analytics/company/sz/002038/2038/detail</t>
  </si>
  <si>
    <t>黔源电力</t>
  </si>
  <si>
    <t>www.lixinger.com/analytics/company/sz/002039/2039/detail</t>
  </si>
  <si>
    <t>南京港</t>
  </si>
  <si>
    <t>www.lixinger.com/analytics/company/sz/002040/2040/detail</t>
  </si>
  <si>
    <t>登海种业</t>
  </si>
  <si>
    <t>www.lixinger.com/analytics/company/sz/002041/2041/detail</t>
  </si>
  <si>
    <t>华孚时尚</t>
  </si>
  <si>
    <t>www.lixinger.com/analytics/company/sz/002042/2042/detail</t>
  </si>
  <si>
    <t>兔宝宝</t>
  </si>
  <si>
    <t>www.lixinger.com/analytics/company/sz/002043/2043/detail</t>
  </si>
  <si>
    <t>美年健康</t>
  </si>
  <si>
    <t>www.lixinger.com/analytics/company/sz/002044/2044/detail</t>
  </si>
  <si>
    <t>国光电器</t>
  </si>
  <si>
    <t>www.lixinger.com/analytics/company/sz/002045/2045/detail</t>
  </si>
  <si>
    <t>国机精工</t>
  </si>
  <si>
    <t>www.lixinger.com/analytics/company/sz/002046/2046/detail</t>
  </si>
  <si>
    <t>宝鹰股份</t>
  </si>
  <si>
    <t>www.lixinger.com/analytics/company/sz/002047/2047/detail</t>
  </si>
  <si>
    <t>宁波华翔</t>
  </si>
  <si>
    <t>www.lixinger.com/analytics/company/sz/002048/2048/detail</t>
  </si>
  <si>
    <t>紫光国微</t>
  </si>
  <si>
    <t>www.lixinger.com/analytics/company/sz/002049/2049/detail</t>
  </si>
  <si>
    <t>三花智控</t>
  </si>
  <si>
    <t>www.lixinger.com/analytics/company/sz/002050/2050/detail</t>
  </si>
  <si>
    <t>中工国际</t>
  </si>
  <si>
    <t>www.lixinger.com/analytics/company/sz/002051/2051/detail</t>
  </si>
  <si>
    <t>*ST同洲</t>
  </si>
  <si>
    <t>www.lixinger.com/analytics/company/sz/002052/2052/detail</t>
  </si>
  <si>
    <t>云南能投</t>
  </si>
  <si>
    <t>www.lixinger.com/analytics/company/sz/002053/2053/detail</t>
  </si>
  <si>
    <t>德美化工</t>
  </si>
  <si>
    <t>www.lixinger.com/analytics/company/sz/002054/2054/detail</t>
  </si>
  <si>
    <t>得润电子</t>
  </si>
  <si>
    <t>www.lixinger.com/analytics/company/sz/002055/2055/detail</t>
  </si>
  <si>
    <t>横店东磁</t>
  </si>
  <si>
    <t>www.lixinger.com/analytics/company/sz/002056/2056/detail</t>
  </si>
  <si>
    <t>中钢天源</t>
  </si>
  <si>
    <t>www.lixinger.com/analytics/company/sz/002057/2057/detail</t>
  </si>
  <si>
    <t>*ST威尔</t>
  </si>
  <si>
    <t>www.lixinger.com/analytics/company/sz/002058/2058/detail</t>
  </si>
  <si>
    <t>云南旅游</t>
  </si>
  <si>
    <t>www.lixinger.com/analytics/company/sz/002059/2059/detail</t>
  </si>
  <si>
    <t>粤水电</t>
  </si>
  <si>
    <t>www.lixinger.com/analytics/company/sz/002060/2060/detail</t>
  </si>
  <si>
    <t>浙江交科</t>
  </si>
  <si>
    <t>www.lixinger.com/analytics/company/sz/002061/2061/detail</t>
  </si>
  <si>
    <t>宏润建设</t>
  </si>
  <si>
    <t>www.lixinger.com/analytics/company/sz/002062/2062/detail</t>
  </si>
  <si>
    <t>远光软件</t>
  </si>
  <si>
    <t>www.lixinger.com/analytics/company/sz/002063/2063/detail</t>
  </si>
  <si>
    <t>华峰化学</t>
  </si>
  <si>
    <t>www.lixinger.com/analytics/company/sz/002064/2064/detail</t>
  </si>
  <si>
    <t>东华软件</t>
  </si>
  <si>
    <t>www.lixinger.com/analytics/company/sz/002065/2065/detail</t>
  </si>
  <si>
    <t>瑞泰科技</t>
  </si>
  <si>
    <t>耐火材料</t>
  </si>
  <si>
    <t>www.lixinger.com/analytics/company/sz/002066/2066/detail</t>
  </si>
  <si>
    <t>景兴纸业</t>
  </si>
  <si>
    <t>www.lixinger.com/analytics/company/sz/002067/2067/detail</t>
  </si>
  <si>
    <t>黑猫股份</t>
  </si>
  <si>
    <t>www.lixinger.com/analytics/company/sz/002068/2068/detail</t>
  </si>
  <si>
    <t>獐子岛</t>
  </si>
  <si>
    <t>www.lixinger.com/analytics/company/sz/002069/2069/detail</t>
  </si>
  <si>
    <t>众和退</t>
  </si>
  <si>
    <t>www.lixinger.com/analytics/company/sz/002070/2070/detail</t>
  </si>
  <si>
    <t>长城退</t>
  </si>
  <si>
    <t>www.lixinger.com/analytics/company/sz/002071/2071/detail</t>
  </si>
  <si>
    <t>*ST凯瑞</t>
  </si>
  <si>
    <t>www.lixinger.com/analytics/company/sz/002072/2072/detail</t>
  </si>
  <si>
    <t>软控股份</t>
  </si>
  <si>
    <t>www.lixinger.com/analytics/company/sz/002073/2073/detail</t>
  </si>
  <si>
    <t>国轩高科</t>
  </si>
  <si>
    <t>www.lixinger.com/analytics/company/sz/002074/2074/detail</t>
  </si>
  <si>
    <t>沙钢股份</t>
  </si>
  <si>
    <t>www.lixinger.com/analytics/company/sz/002075/2075/detail</t>
  </si>
  <si>
    <t>*ST雪莱</t>
  </si>
  <si>
    <t>www.lixinger.com/analytics/company/sz/002076/2076/detail</t>
  </si>
  <si>
    <t>大港股份</t>
  </si>
  <si>
    <t>www.lixinger.com/analytics/company/sz/002077/2077/detail</t>
  </si>
  <si>
    <t>太阳纸业</t>
  </si>
  <si>
    <t>www.lixinger.com/analytics/company/sz/002078/2078/detail</t>
  </si>
  <si>
    <t>苏州固锝</t>
  </si>
  <si>
    <t>www.lixinger.com/analytics/company/sz/002079/2079/detail</t>
  </si>
  <si>
    <t>中材科技</t>
  </si>
  <si>
    <t>www.lixinger.com/analytics/company/sz/002080/2080/detail</t>
  </si>
  <si>
    <t>金螳螂</t>
  </si>
  <si>
    <t>www.lixinger.com/analytics/company/sz/002081/2081/detail</t>
  </si>
  <si>
    <t>万邦德</t>
  </si>
  <si>
    <t>www.lixinger.com/analytics/company/sz/002082/2082/detail</t>
  </si>
  <si>
    <t>孚日股份</t>
  </si>
  <si>
    <t>www.lixinger.com/analytics/company/sz/002083/2083/detail</t>
  </si>
  <si>
    <t>海鸥住工</t>
  </si>
  <si>
    <t>www.lixinger.com/analytics/company/sz/002084/2084/detail</t>
  </si>
  <si>
    <t>万丰奥威</t>
  </si>
  <si>
    <t>www.lixinger.com/analytics/company/sz/002085/2085/detail</t>
  </si>
  <si>
    <t>ST东洋</t>
  </si>
  <si>
    <t>www.lixinger.com/analytics/company/sz/002086/2086/detail</t>
  </si>
  <si>
    <t>新野纺织</t>
  </si>
  <si>
    <t>www.lixinger.com/analytics/company/sz/002087/2087/detail</t>
  </si>
  <si>
    <t>鲁阳节能</t>
  </si>
  <si>
    <t>www.lixinger.com/analytics/company/sz/002088/2088/detail</t>
  </si>
  <si>
    <t>ST新海</t>
  </si>
  <si>
    <t>www.lixinger.com/analytics/company/sz/002089/2089/detail</t>
  </si>
  <si>
    <t>金智科技</t>
  </si>
  <si>
    <t>www.lixinger.com/analytics/company/sz/002090/2090/detail</t>
  </si>
  <si>
    <t>江苏国泰</t>
  </si>
  <si>
    <t>www.lixinger.com/analytics/company/sz/002091/2091/detail</t>
  </si>
  <si>
    <t>中泰化学</t>
  </si>
  <si>
    <t>www.lixinger.com/analytics/company/sz/002092/2092/detail</t>
  </si>
  <si>
    <t>国脉科技</t>
  </si>
  <si>
    <t>www.lixinger.com/analytics/company/sz/002093/2093/detail</t>
  </si>
  <si>
    <t>青岛金王</t>
  </si>
  <si>
    <t>化妆品制造及其他</t>
  </si>
  <si>
    <t>www.lixinger.com/analytics/company/sz/002094/2094/detail</t>
  </si>
  <si>
    <t>生意宝</t>
  </si>
  <si>
    <t>www.lixinger.com/analytics/company/sz/002095/2095/detail</t>
  </si>
  <si>
    <t>南岭民爆</t>
  </si>
  <si>
    <t>www.lixinger.com/analytics/company/sz/002096/2096/detail</t>
  </si>
  <si>
    <t>山河智能</t>
  </si>
  <si>
    <t>www.lixinger.com/analytics/company/sz/002097/2097/detail</t>
  </si>
  <si>
    <t>浔兴股份</t>
  </si>
  <si>
    <t>www.lixinger.com/analytics/company/sz/002098/2098/detail</t>
  </si>
  <si>
    <t>海翔药业</t>
  </si>
  <si>
    <t>www.lixinger.com/analytics/company/sz/002099/2099/detail</t>
  </si>
  <si>
    <t>天康生物</t>
  </si>
  <si>
    <t>www.lixinger.com/analytics/company/sz/002100/2100/detail</t>
  </si>
  <si>
    <t>广东鸿图</t>
  </si>
  <si>
    <t>www.lixinger.com/analytics/company/sz/002101/2101/detail</t>
  </si>
  <si>
    <t>ST冠福</t>
  </si>
  <si>
    <t>www.lixinger.com/analytics/company/sz/002102/2102/detail</t>
  </si>
  <si>
    <t>广博股份</t>
  </si>
  <si>
    <t>www.lixinger.com/analytics/company/sz/002103/2103/detail</t>
  </si>
  <si>
    <t>恒宝股份</t>
  </si>
  <si>
    <t>www.lixinger.com/analytics/company/sz/002104/2104/detail</t>
  </si>
  <si>
    <t>信隆健康</t>
  </si>
  <si>
    <t>www.lixinger.com/analytics/company/sz/002105/2105/detail</t>
  </si>
  <si>
    <t>莱宝高科</t>
  </si>
  <si>
    <t>www.lixinger.com/analytics/company/sz/002106/2106/detail</t>
  </si>
  <si>
    <t>沃华医药</t>
  </si>
  <si>
    <t>www.lixinger.com/analytics/company/sz/002107/2107/detail</t>
  </si>
  <si>
    <t>沧州明珠</t>
  </si>
  <si>
    <t>www.lixinger.com/analytics/company/sz/002108/2108/detail</t>
  </si>
  <si>
    <t>兴化股份</t>
  </si>
  <si>
    <t>www.lixinger.com/analytics/company/sz/002109/2109/detail</t>
  </si>
  <si>
    <t>三钢闽光</t>
  </si>
  <si>
    <t>www.lixinger.com/analytics/company/sz/002110/2110/detail</t>
  </si>
  <si>
    <t>威海广泰</t>
  </si>
  <si>
    <t>www.lixinger.com/analytics/company/sz/002111/2111/detail</t>
  </si>
  <si>
    <t>三变科技</t>
  </si>
  <si>
    <t>www.lixinger.com/analytics/company/sz/002112/2112/detail</t>
  </si>
  <si>
    <t>ST天润</t>
  </si>
  <si>
    <t>www.lixinger.com/analytics/company/sz/002113/2113/detail</t>
  </si>
  <si>
    <t>罗平锌电</t>
  </si>
  <si>
    <t>www.lixinger.com/analytics/company/sz/002114/2114/detail</t>
  </si>
  <si>
    <t>三维通信</t>
  </si>
  <si>
    <t>www.lixinger.com/analytics/company/sz/002115/2115/detail</t>
  </si>
  <si>
    <t>中国海诚</t>
  </si>
  <si>
    <t>www.lixinger.com/analytics/company/sz/002116/2116/detail</t>
  </si>
  <si>
    <t>东港股份</t>
  </si>
  <si>
    <t>www.lixinger.com/analytics/company/sz/002117/2117/detail</t>
  </si>
  <si>
    <t>紫鑫药业</t>
  </si>
  <si>
    <t>www.lixinger.com/analytics/company/sz/002118/2118/detail</t>
  </si>
  <si>
    <t>康强电子</t>
  </si>
  <si>
    <t>www.lixinger.com/analytics/company/sz/002119/2119/detail</t>
  </si>
  <si>
    <t>韵达股份</t>
  </si>
  <si>
    <t>www.lixinger.com/analytics/company/sz/002120/2120/detail</t>
  </si>
  <si>
    <t>科陆电子</t>
  </si>
  <si>
    <t>www.lixinger.com/analytics/company/sz/002121/2121/detail</t>
  </si>
  <si>
    <t>ST天马</t>
  </si>
  <si>
    <t>www.lixinger.com/analytics/company/sz/002122/2122/detail</t>
  </si>
  <si>
    <t>梦网科技</t>
  </si>
  <si>
    <t>www.lixinger.com/analytics/company/sz/002123/2123/detail</t>
  </si>
  <si>
    <t>天邦股份</t>
  </si>
  <si>
    <t>www.lixinger.com/analytics/company/sz/002124/2124/detail</t>
  </si>
  <si>
    <t>湘潭电化</t>
  </si>
  <si>
    <t>www.lixinger.com/analytics/company/sz/002125/2125/detail</t>
  </si>
  <si>
    <t>银轮股份</t>
  </si>
  <si>
    <t>www.lixinger.com/analytics/company/sz/002126/2126/detail</t>
  </si>
  <si>
    <t>南极电商</t>
  </si>
  <si>
    <t>www.lixinger.com/analytics/company/sz/002127/2127/detail</t>
  </si>
  <si>
    <t>电投能源</t>
  </si>
  <si>
    <t>www.lixinger.com/analytics/company/sz/002128/2128/detail</t>
  </si>
  <si>
    <t>中环股份</t>
  </si>
  <si>
    <t>www.lixinger.com/analytics/company/sz/002129/2129/detail</t>
  </si>
  <si>
    <t>沃尔核材</t>
  </si>
  <si>
    <t>www.lixinger.com/analytics/company/sz/002130/2130/detail</t>
  </si>
  <si>
    <t>利欧股份</t>
  </si>
  <si>
    <t>www.lixinger.com/analytics/company/sz/002131/2131/detail</t>
  </si>
  <si>
    <t>恒星科技</t>
  </si>
  <si>
    <t>www.lixinger.com/analytics/company/sz/002132/2132/detail</t>
  </si>
  <si>
    <t>广宇集团</t>
  </si>
  <si>
    <t>www.lixinger.com/analytics/company/sz/002133/2133/detail</t>
  </si>
  <si>
    <t>天津普林</t>
  </si>
  <si>
    <t>www.lixinger.com/analytics/company/sz/002134/2134/detail</t>
  </si>
  <si>
    <t>东南网架</t>
  </si>
  <si>
    <t>www.lixinger.com/analytics/company/sz/002135/2135/detail</t>
  </si>
  <si>
    <t>安纳达</t>
  </si>
  <si>
    <t>www.lixinger.com/analytics/company/sz/002136/2136/detail</t>
  </si>
  <si>
    <t>实益达</t>
  </si>
  <si>
    <t>www.lixinger.com/analytics/company/sz/002137/2137/detail</t>
  </si>
  <si>
    <t>顺络电子</t>
  </si>
  <si>
    <t>www.lixinger.com/analytics/company/sz/002138/2138/detail</t>
  </si>
  <si>
    <t>拓邦股份</t>
  </si>
  <si>
    <t>www.lixinger.com/analytics/company/sz/002139/2139/detail</t>
  </si>
  <si>
    <t>东华科技</t>
  </si>
  <si>
    <t>www.lixinger.com/analytics/company/sz/002140/2140/detail</t>
  </si>
  <si>
    <t>贤丰控股</t>
  </si>
  <si>
    <t>www.lixinger.com/analytics/company/sz/002141/2141/detail</t>
  </si>
  <si>
    <t>宁波银行</t>
  </si>
  <si>
    <t>www.lixinger.com/analytics/company/sz/002142/2142/detail</t>
  </si>
  <si>
    <t>印纪退</t>
  </si>
  <si>
    <t>www.lixinger.com/analytics/company/sz/002143/2143/detail</t>
  </si>
  <si>
    <t>宏达高科</t>
  </si>
  <si>
    <t>www.lixinger.com/analytics/company/sz/002144/2144/detail</t>
  </si>
  <si>
    <t>中核钛白</t>
  </si>
  <si>
    <t>www.lixinger.com/analytics/company/sz/002145/2145/detail</t>
  </si>
  <si>
    <t>荣盛发展</t>
  </si>
  <si>
    <t>www.lixinger.com/analytics/company/sz/002146/2146/detail</t>
  </si>
  <si>
    <t>*ST新光</t>
  </si>
  <si>
    <t>www.lixinger.com/analytics/company/sz/002147/2147/detail</t>
  </si>
  <si>
    <t>北纬科技</t>
  </si>
  <si>
    <t>www.lixinger.com/analytics/company/sz/002148/2148/detail</t>
  </si>
  <si>
    <t>西部材料</t>
  </si>
  <si>
    <t>www.lixinger.com/analytics/company/sz/002149/2149/detail</t>
  </si>
  <si>
    <t>通润装备</t>
  </si>
  <si>
    <t>www.lixinger.com/analytics/company/sz/002150/2150/detail</t>
  </si>
  <si>
    <t>北斗星通</t>
  </si>
  <si>
    <t>www.lixinger.com/analytics/company/sz/002151/2151/detail</t>
  </si>
  <si>
    <t>广电运通</t>
  </si>
  <si>
    <t>www.lixinger.com/analytics/company/sz/002152/2152/detail</t>
  </si>
  <si>
    <t>石基信息</t>
  </si>
  <si>
    <t>www.lixinger.com/analytics/company/sz/002153/2153/detail</t>
  </si>
  <si>
    <t>报喜鸟</t>
  </si>
  <si>
    <t>www.lixinger.com/analytics/company/sz/002154/2154/detail</t>
  </si>
  <si>
    <t>湖南黄金</t>
  </si>
  <si>
    <t>www.lixinger.com/analytics/company/sz/002155/2155/detail</t>
  </si>
  <si>
    <t>通富微电</t>
  </si>
  <si>
    <t>www.lixinger.com/analytics/company/sz/002156/2156/detail</t>
  </si>
  <si>
    <t>正邦科技</t>
  </si>
  <si>
    <t>www.lixinger.com/analytics/company/sz/002157/2157/detail</t>
  </si>
  <si>
    <t>汉钟精机</t>
  </si>
  <si>
    <t>www.lixinger.com/analytics/company/sz/002158/2158/detail</t>
  </si>
  <si>
    <t>三特索道</t>
  </si>
  <si>
    <t>www.lixinger.com/analytics/company/sz/002159/2159/detail</t>
  </si>
  <si>
    <t>常铝股份</t>
  </si>
  <si>
    <t>www.lixinger.com/analytics/company/sz/002160/2160/detail</t>
  </si>
  <si>
    <t>远望谷</t>
  </si>
  <si>
    <t>www.lixinger.com/analytics/company/sz/002161/2161/detail</t>
  </si>
  <si>
    <t>悦心健康</t>
  </si>
  <si>
    <t>www.lixinger.com/analytics/company/sz/002162/2162/detail</t>
  </si>
  <si>
    <t>海南发展</t>
  </si>
  <si>
    <t>www.lixinger.com/analytics/company/sz/002163/2163/detail</t>
  </si>
  <si>
    <t>宁波东力</t>
  </si>
  <si>
    <t>www.lixinger.com/analytics/company/sz/002164/2164/detail</t>
  </si>
  <si>
    <t>红宝丽</t>
  </si>
  <si>
    <t>www.lixinger.com/analytics/company/sz/002165/2165/detail</t>
  </si>
  <si>
    <t>莱茵生物</t>
  </si>
  <si>
    <t>www.lixinger.com/analytics/company/sz/002166/2166/detail</t>
  </si>
  <si>
    <t>东方锆业</t>
  </si>
  <si>
    <t>www.lixinger.com/analytics/company/sz/002167/2167/detail</t>
  </si>
  <si>
    <t>惠程科技</t>
  </si>
  <si>
    <t>www.lixinger.com/analytics/company/sz/002168/2168/detail</t>
  </si>
  <si>
    <t>智光电气</t>
  </si>
  <si>
    <t>www.lixinger.com/analytics/company/sz/002169/2169/detail</t>
  </si>
  <si>
    <t>芭田股份</t>
  </si>
  <si>
    <t>www.lixinger.com/analytics/company/sz/002170/2170/detail</t>
  </si>
  <si>
    <t>楚江新材</t>
  </si>
  <si>
    <t>www.lixinger.com/analytics/company/sz/002171/2171/detail</t>
  </si>
  <si>
    <t>澳洋健康</t>
  </si>
  <si>
    <t>www.lixinger.com/analytics/company/sz/002172/2172/detail</t>
  </si>
  <si>
    <t>创新医疗</t>
  </si>
  <si>
    <t>www.lixinger.com/analytics/company/sz/002173/2173/detail</t>
  </si>
  <si>
    <t>游族网络</t>
  </si>
  <si>
    <t>www.lixinger.com/analytics/company/sz/002174/2174/detail</t>
  </si>
  <si>
    <t>东方网络</t>
  </si>
  <si>
    <t>www.lixinger.com/analytics/company/sz/002175/2175/detail</t>
  </si>
  <si>
    <t>江特电机</t>
  </si>
  <si>
    <t>www.lixinger.com/analytics/company/sz/002176/2176/detail</t>
  </si>
  <si>
    <t>御银股份</t>
  </si>
  <si>
    <t>www.lixinger.com/analytics/company/sz/002177/2177/detail</t>
  </si>
  <si>
    <t>延华智能</t>
  </si>
  <si>
    <t>www.lixinger.com/analytics/company/sz/002178/2178/detail</t>
  </si>
  <si>
    <t>中航光电</t>
  </si>
  <si>
    <t>www.lixinger.com/analytics/company/sz/002179/2179/detail</t>
  </si>
  <si>
    <t>纳思达</t>
  </si>
  <si>
    <t>www.lixinger.com/analytics/company/sz/002180/2180/detail</t>
  </si>
  <si>
    <t>粤传媒</t>
  </si>
  <si>
    <t>www.lixinger.com/analytics/company/sz/002181/2181/detail</t>
  </si>
  <si>
    <t>云海金属</t>
  </si>
  <si>
    <t>www.lixinger.com/analytics/company/sz/002182/2182/detail</t>
  </si>
  <si>
    <t>怡亚通</t>
  </si>
  <si>
    <t>www.lixinger.com/analytics/company/sz/002183/2183/detail</t>
  </si>
  <si>
    <t>海得控制</t>
  </si>
  <si>
    <t>www.lixinger.com/analytics/company/sz/002184/2184/detail</t>
  </si>
  <si>
    <t>华天科技</t>
  </si>
  <si>
    <t>www.lixinger.com/analytics/company/sz/002185/2185/detail</t>
  </si>
  <si>
    <t>全聚德</t>
  </si>
  <si>
    <t>www.lixinger.com/analytics/company/sz/002186/2186/detail</t>
  </si>
  <si>
    <t>广百股份</t>
  </si>
  <si>
    <t>www.lixinger.com/analytics/company/sz/002187/2187/detail</t>
  </si>
  <si>
    <t>*ST巴士</t>
  </si>
  <si>
    <t>www.lixinger.com/analytics/company/sz/002188/2188/detail</t>
  </si>
  <si>
    <t>中光学</t>
  </si>
  <si>
    <t>www.lixinger.com/analytics/company/sz/002189/2189/detail</t>
  </si>
  <si>
    <t>成飞集成</t>
  </si>
  <si>
    <t>www.lixinger.com/analytics/company/sz/002190/2190/detail</t>
  </si>
  <si>
    <t>劲嘉股份</t>
  </si>
  <si>
    <t>www.lixinger.com/analytics/company/sz/002191/2191/detail</t>
  </si>
  <si>
    <t>融捷股份</t>
  </si>
  <si>
    <t>www.lixinger.com/analytics/company/sz/002192/2192/detail</t>
  </si>
  <si>
    <t>如意集团</t>
  </si>
  <si>
    <t>www.lixinger.com/analytics/company/sz/002193/2193/detail</t>
  </si>
  <si>
    <t>武汉凡谷</t>
  </si>
  <si>
    <t>www.lixinger.com/analytics/company/sz/002194/2194/detail</t>
  </si>
  <si>
    <t>二三四五</t>
  </si>
  <si>
    <t>www.lixinger.com/analytics/company/sz/002195/2195/detail</t>
  </si>
  <si>
    <t>方正电机</t>
  </si>
  <si>
    <t>www.lixinger.com/analytics/company/sz/002196/2196/detail</t>
  </si>
  <si>
    <t>证通电子</t>
  </si>
  <si>
    <t>www.lixinger.com/analytics/company/sz/002197/2197/detail</t>
  </si>
  <si>
    <t>嘉应制药</t>
  </si>
  <si>
    <t>www.lixinger.com/analytics/company/sz/002198/2198/detail</t>
  </si>
  <si>
    <t>东晶电子</t>
  </si>
  <si>
    <t>www.lixinger.com/analytics/company/sz/002199/2199/detail</t>
  </si>
  <si>
    <t>ST云投</t>
  </si>
  <si>
    <t>www.lixinger.com/analytics/company/sz/002200/2200/detail</t>
  </si>
  <si>
    <t>正威新材</t>
  </si>
  <si>
    <t>www.lixinger.com/analytics/company/sz/002201/2201/detail</t>
  </si>
  <si>
    <t>金风科技</t>
  </si>
  <si>
    <t>www.lixinger.com/analytics/company/sz/002202/2202/detail</t>
  </si>
  <si>
    <t>海亮股份</t>
  </si>
  <si>
    <t>www.lixinger.com/analytics/company/sz/002203/2203/detail</t>
  </si>
  <si>
    <t>大连重工</t>
  </si>
  <si>
    <t>www.lixinger.com/analytics/company/sz/002204/2204/detail</t>
  </si>
  <si>
    <t>国统股份</t>
  </si>
  <si>
    <t>www.lixinger.com/analytics/company/sz/002205/2205/detail</t>
  </si>
  <si>
    <t>海利得</t>
  </si>
  <si>
    <t>www.lixinger.com/analytics/company/sz/002206/2206/detail</t>
  </si>
  <si>
    <t>准油股份</t>
  </si>
  <si>
    <t>www.lixinger.com/analytics/company/sz/002207/2207/detail</t>
  </si>
  <si>
    <t>合肥城建</t>
  </si>
  <si>
    <t>www.lixinger.com/analytics/company/sz/002208/2208/detail</t>
  </si>
  <si>
    <t>达意隆</t>
  </si>
  <si>
    <t>www.lixinger.com/analytics/company/sz/002209/2209/detail</t>
  </si>
  <si>
    <t>飞马国际</t>
  </si>
  <si>
    <t>www.lixinger.com/analytics/company/sz/002210/2210/detail</t>
  </si>
  <si>
    <t>宏达新材</t>
  </si>
  <si>
    <t>www.lixinger.com/analytics/company/sz/002211/2211/detail</t>
  </si>
  <si>
    <t>天融信</t>
  </si>
  <si>
    <t>www.lixinger.com/analytics/company/sz/002212/2212/detail</t>
  </si>
  <si>
    <t>大为股份</t>
  </si>
  <si>
    <t>www.lixinger.com/analytics/company/sz/002213/2213/detail</t>
  </si>
  <si>
    <t>大立科技</t>
  </si>
  <si>
    <t>www.lixinger.com/analytics/company/sz/002214/2214/detail</t>
  </si>
  <si>
    <t>诺普信</t>
  </si>
  <si>
    <t>www.lixinger.com/analytics/company/sz/002215/2215/detail</t>
  </si>
  <si>
    <t>三全食品</t>
  </si>
  <si>
    <t>www.lixinger.com/analytics/company/sz/002216/2216/detail</t>
  </si>
  <si>
    <t>合力泰</t>
  </si>
  <si>
    <t>www.lixinger.com/analytics/company/sz/002217/2217/detail</t>
  </si>
  <si>
    <t>拓日新能</t>
  </si>
  <si>
    <t>www.lixinger.com/analytics/company/sz/002218/2218/detail</t>
  </si>
  <si>
    <t>*ST恒康</t>
  </si>
  <si>
    <t>www.lixinger.com/analytics/company/sz/002219/2219/detail</t>
  </si>
  <si>
    <t>天宝退</t>
  </si>
  <si>
    <t>www.lixinger.com/analytics/company/sz/002220/2220/detail</t>
  </si>
  <si>
    <t>东华能源</t>
  </si>
  <si>
    <t>www.lixinger.com/analytics/company/sz/002221/2221/detail</t>
  </si>
  <si>
    <t>福晶科技</t>
  </si>
  <si>
    <t>www.lixinger.com/analytics/company/sz/002222/2222/detail</t>
  </si>
  <si>
    <t>鱼跃医疗</t>
  </si>
  <si>
    <t>www.lixinger.com/analytics/company/sz/002223/2223/detail</t>
  </si>
  <si>
    <t>三力士</t>
  </si>
  <si>
    <t>www.lixinger.com/analytics/company/sz/002224/2224/detail</t>
  </si>
  <si>
    <t>濮耐股份</t>
  </si>
  <si>
    <t>www.lixinger.com/analytics/company/sz/002225/2225/detail</t>
  </si>
  <si>
    <t>江南化工</t>
  </si>
  <si>
    <t>www.lixinger.com/analytics/company/sz/002226/2226/detail</t>
  </si>
  <si>
    <t>奥特迅</t>
  </si>
  <si>
    <t>www.lixinger.com/analytics/company/sz/002227/2227/detail</t>
  </si>
  <si>
    <t>合兴包装</t>
  </si>
  <si>
    <t>www.lixinger.com/analytics/company/sz/002228/2228/detail</t>
  </si>
  <si>
    <t>鸿博股份</t>
  </si>
  <si>
    <t>www.lixinger.com/analytics/company/sz/002229/2229/detail</t>
  </si>
  <si>
    <t>科大讯飞</t>
  </si>
  <si>
    <t>www.lixinger.com/analytics/company/sz/002230/2230/detail</t>
  </si>
  <si>
    <t>奥维通信</t>
  </si>
  <si>
    <t>www.lixinger.com/analytics/company/sz/002231/2231/detail</t>
  </si>
  <si>
    <t>启明信息</t>
  </si>
  <si>
    <t>www.lixinger.com/analytics/company/sz/002232/2232/detail</t>
  </si>
  <si>
    <t>塔牌集团</t>
  </si>
  <si>
    <t>www.lixinger.com/analytics/company/sz/002233/2233/detail</t>
  </si>
  <si>
    <t>民和股份</t>
  </si>
  <si>
    <t>肉鸡养殖</t>
  </si>
  <si>
    <t>www.lixinger.com/analytics/company/sz/002234/2234/detail</t>
  </si>
  <si>
    <t>安妮股份</t>
  </si>
  <si>
    <t>www.lixinger.com/analytics/company/sz/002235/2235/detail</t>
  </si>
  <si>
    <t>大华股份</t>
  </si>
  <si>
    <t>www.lixinger.com/analytics/company/sz/002236/2236/detail</t>
  </si>
  <si>
    <t>恒邦股份</t>
  </si>
  <si>
    <t>www.lixinger.com/analytics/company/sz/002237/2237/detail</t>
  </si>
  <si>
    <t>天威视讯</t>
  </si>
  <si>
    <t>www.lixinger.com/analytics/company/sz/002238/2238/detail</t>
  </si>
  <si>
    <t>奥特佳</t>
  </si>
  <si>
    <t>www.lixinger.com/analytics/company/sz/002239/2239/detail</t>
  </si>
  <si>
    <t>盛新锂能</t>
  </si>
  <si>
    <t>www.lixinger.com/analytics/company/sz/002240/2240/detail</t>
  </si>
  <si>
    <t>歌尔股份</t>
  </si>
  <si>
    <t>www.lixinger.com/analytics/company/sz/002241/2241/detail</t>
  </si>
  <si>
    <t>九阳股份</t>
  </si>
  <si>
    <t>www.lixinger.com/analytics/company/sz/002242/2242/detail</t>
  </si>
  <si>
    <t>力合科创</t>
  </si>
  <si>
    <t>www.lixinger.com/analytics/company/sz/002243/2243/detail</t>
  </si>
  <si>
    <t>滨江集团</t>
  </si>
  <si>
    <t>www.lixinger.com/analytics/company/sz/002244/2244/detail</t>
  </si>
  <si>
    <t>蔚蓝锂芯</t>
  </si>
  <si>
    <t>www.lixinger.com/analytics/company/sz/002245/2245/detail</t>
  </si>
  <si>
    <t>北化股份</t>
  </si>
  <si>
    <t>www.lixinger.com/analytics/company/sz/002246/2246/detail</t>
  </si>
  <si>
    <t>聚力文化</t>
  </si>
  <si>
    <t>www.lixinger.com/analytics/company/sz/002247/2247/detail</t>
  </si>
  <si>
    <t>华东数控</t>
  </si>
  <si>
    <t>www.lixinger.com/analytics/company/sz/002248/2248/detail</t>
  </si>
  <si>
    <t>大洋电机</t>
  </si>
  <si>
    <t>www.lixinger.com/analytics/company/sz/002249/2249/detail</t>
  </si>
  <si>
    <t>联化科技</t>
  </si>
  <si>
    <t>www.lixinger.com/analytics/company/sz/002250/2250/detail</t>
  </si>
  <si>
    <t>步步高</t>
  </si>
  <si>
    <t>www.lixinger.com/analytics/company/sz/002251/2251/detail</t>
  </si>
  <si>
    <t>上海莱士</t>
  </si>
  <si>
    <t>www.lixinger.com/analytics/company/sz/002252/2252/detail</t>
  </si>
  <si>
    <t>川大智胜</t>
  </si>
  <si>
    <t>www.lixinger.com/analytics/company/sz/002253/2253/detail</t>
  </si>
  <si>
    <t>泰和新材</t>
  </si>
  <si>
    <t>www.lixinger.com/analytics/company/sz/002254/2254/detail</t>
  </si>
  <si>
    <t>海陆重工</t>
  </si>
  <si>
    <t>www.lixinger.com/analytics/company/sz/002255/2255/detail</t>
  </si>
  <si>
    <t>兆新股份</t>
  </si>
  <si>
    <t>www.lixinger.com/analytics/company/sz/002256/2256/detail</t>
  </si>
  <si>
    <t>利尔化学</t>
  </si>
  <si>
    <t>www.lixinger.com/analytics/company/sz/002258/2258/detail</t>
  </si>
  <si>
    <t>ST升达</t>
  </si>
  <si>
    <t>www.lixinger.com/analytics/company/sz/002259/2259/detail</t>
  </si>
  <si>
    <t>*ST德奥</t>
  </si>
  <si>
    <t>www.lixinger.com/analytics/company/sz/002260/2260/detail</t>
  </si>
  <si>
    <t>拓维信息</t>
  </si>
  <si>
    <t>www.lixinger.com/analytics/company/sz/002261/2261/detail</t>
  </si>
  <si>
    <t>恩华药业</t>
  </si>
  <si>
    <t>www.lixinger.com/analytics/company/sz/002262/2262/detail</t>
  </si>
  <si>
    <t>大东南</t>
  </si>
  <si>
    <t>www.lixinger.com/analytics/company/sz/002263/2263/detail</t>
  </si>
  <si>
    <t>新华都</t>
  </si>
  <si>
    <t>www.lixinger.com/analytics/company/sz/002264/2264/detail</t>
  </si>
  <si>
    <t>西仪股份</t>
  </si>
  <si>
    <t>www.lixinger.com/analytics/company/sz/002265/2265/detail</t>
  </si>
  <si>
    <t>浙富控股</t>
  </si>
  <si>
    <t>www.lixinger.com/analytics/company/sz/002266/2266/detail</t>
  </si>
  <si>
    <t>陕天然气</t>
  </si>
  <si>
    <t>www.lixinger.com/analytics/company/sz/002267/2267/detail</t>
  </si>
  <si>
    <t>卫士通</t>
  </si>
  <si>
    <t>www.lixinger.com/analytics/company/sz/002268/2268/detail</t>
  </si>
  <si>
    <t>美邦服饰</t>
  </si>
  <si>
    <t>www.lixinger.com/analytics/company/sz/002269/2269/detail</t>
  </si>
  <si>
    <t>华明装备</t>
  </si>
  <si>
    <t>www.lixinger.com/analytics/company/sz/002270/2270/detail</t>
  </si>
  <si>
    <t>东方雨虹</t>
  </si>
  <si>
    <t>防水材料</t>
  </si>
  <si>
    <t>www.lixinger.com/analytics/company/sz/002271/2271/detail</t>
  </si>
  <si>
    <t>川润股份</t>
  </si>
  <si>
    <t>www.lixinger.com/analytics/company/sz/002272/2272/detail</t>
  </si>
  <si>
    <t>水晶光电</t>
  </si>
  <si>
    <t>www.lixinger.com/analytics/company/sz/002273/2273/detail</t>
  </si>
  <si>
    <t>华昌化工</t>
  </si>
  <si>
    <t>www.lixinger.com/analytics/company/sz/002274/2274/detail</t>
  </si>
  <si>
    <t>桂林三金</t>
  </si>
  <si>
    <t>www.lixinger.com/analytics/company/sz/002275/2275/detail</t>
  </si>
  <si>
    <t>万马股份</t>
  </si>
  <si>
    <t>www.lixinger.com/analytics/company/sz/002276/2276/detail</t>
  </si>
  <si>
    <t>友阿股份</t>
  </si>
  <si>
    <t>www.lixinger.com/analytics/company/sz/002277/2277/detail</t>
  </si>
  <si>
    <t>神开股份</t>
  </si>
  <si>
    <t>www.lixinger.com/analytics/company/sz/002278/2278/detail</t>
  </si>
  <si>
    <t>久其软件</t>
  </si>
  <si>
    <t>www.lixinger.com/analytics/company/sz/002279/2279/detail</t>
  </si>
  <si>
    <t>联络互动</t>
  </si>
  <si>
    <t>www.lixinger.com/analytics/company/sz/002280/2280/detail</t>
  </si>
  <si>
    <t>光迅科技</t>
  </si>
  <si>
    <t>www.lixinger.com/analytics/company/sz/002281/2281/detail</t>
  </si>
  <si>
    <t>博深股份</t>
  </si>
  <si>
    <t>www.lixinger.com/analytics/company/sz/002282/2282/detail</t>
  </si>
  <si>
    <t>天润工业</t>
  </si>
  <si>
    <t>www.lixinger.com/analytics/company/sz/002283/2283/detail</t>
  </si>
  <si>
    <t>亚太股份</t>
  </si>
  <si>
    <t>www.lixinger.com/analytics/company/sz/002284/2284/detail</t>
  </si>
  <si>
    <t>世联行</t>
  </si>
  <si>
    <t>www.lixinger.com/analytics/company/sz/002285/2285/detail</t>
  </si>
  <si>
    <t>保龄宝</t>
  </si>
  <si>
    <t>www.lixinger.com/analytics/company/sz/002286/2286/detail</t>
  </si>
  <si>
    <t>奇正藏药</t>
  </si>
  <si>
    <t>www.lixinger.com/analytics/company/sz/002287/2287/detail</t>
  </si>
  <si>
    <t>超华科技</t>
  </si>
  <si>
    <t>www.lixinger.com/analytics/company/sz/002288/2288/detail</t>
  </si>
  <si>
    <t>宇顺电子</t>
  </si>
  <si>
    <t>www.lixinger.com/analytics/company/sz/002289/2289/detail</t>
  </si>
  <si>
    <t>禾盛新材</t>
  </si>
  <si>
    <t>www.lixinger.com/analytics/company/sz/002290/2290/detail</t>
  </si>
  <si>
    <t>星期六</t>
  </si>
  <si>
    <t>www.lixinger.com/analytics/company/sz/002291/2291/detail</t>
  </si>
  <si>
    <t>奥飞娱乐</t>
  </si>
  <si>
    <t>www.lixinger.com/analytics/company/sz/002292/2292/detail</t>
  </si>
  <si>
    <t>罗莱生活</t>
  </si>
  <si>
    <t>www.lixinger.com/analytics/company/sz/002293/2293/detail</t>
  </si>
  <si>
    <t>信立泰</t>
  </si>
  <si>
    <t>www.lixinger.com/analytics/company/sz/002294/2294/detail</t>
  </si>
  <si>
    <t>精艺股份</t>
  </si>
  <si>
    <t>www.lixinger.com/analytics/company/sz/002295/2295/detail</t>
  </si>
  <si>
    <t>辉煌科技</t>
  </si>
  <si>
    <t>www.lixinger.com/analytics/company/sz/002296/2296/detail</t>
  </si>
  <si>
    <t>博云新材</t>
  </si>
  <si>
    <t>www.lixinger.com/analytics/company/sz/002297/2297/detail</t>
  </si>
  <si>
    <t>中电兴发</t>
  </si>
  <si>
    <t>www.lixinger.com/analytics/company/sz/002298/2298/detail</t>
  </si>
  <si>
    <t>圣农发展</t>
  </si>
  <si>
    <t>www.lixinger.com/analytics/company/sz/002299/2299/detail</t>
  </si>
  <si>
    <t>太阳电缆</t>
  </si>
  <si>
    <t>www.lixinger.com/analytics/company/sz/002300/2300/detail</t>
  </si>
  <si>
    <t>齐心集团</t>
  </si>
  <si>
    <t>www.lixinger.com/analytics/company/sz/002301/2301/detail</t>
  </si>
  <si>
    <t>西部建设</t>
  </si>
  <si>
    <t>www.lixinger.com/analytics/company/sz/002302/2302/detail</t>
  </si>
  <si>
    <t>美盈森</t>
  </si>
  <si>
    <t>www.lixinger.com/analytics/company/sz/002303/2303/detail</t>
  </si>
  <si>
    <t>洋河股份</t>
  </si>
  <si>
    <t>www.lixinger.com/analytics/company/sz/002304/2304/detail</t>
  </si>
  <si>
    <t>南国置业</t>
  </si>
  <si>
    <t>www.lixinger.com/analytics/company/sz/002305/2305/detail</t>
  </si>
  <si>
    <t>中科云网</t>
  </si>
  <si>
    <t>www.lixinger.com/analytics/company/sz/002306/2306/detail</t>
  </si>
  <si>
    <t>北新路桥</t>
  </si>
  <si>
    <t>www.lixinger.com/analytics/company/sz/002307/2307/detail</t>
  </si>
  <si>
    <t>威创股份</t>
  </si>
  <si>
    <t>www.lixinger.com/analytics/company/sz/002308/2308/detail</t>
  </si>
  <si>
    <t>中利集团</t>
  </si>
  <si>
    <t>www.lixinger.com/analytics/company/sz/002309/2309/detail</t>
  </si>
  <si>
    <t>东方园林</t>
  </si>
  <si>
    <t>www.lixinger.com/analytics/company/sz/002310/2310/detail</t>
  </si>
  <si>
    <t>海大集团</t>
  </si>
  <si>
    <t>www.lixinger.com/analytics/company/sz/002311/2311/detail</t>
  </si>
  <si>
    <t>川发龙蟒</t>
  </si>
  <si>
    <t>www.lixinger.com/analytics/company/sz/002312/2312/detail</t>
  </si>
  <si>
    <t>日海智能</t>
  </si>
  <si>
    <t>www.lixinger.com/analytics/company/sz/002313/2313/detail</t>
  </si>
  <si>
    <t>南山控股</t>
  </si>
  <si>
    <t>www.lixinger.com/analytics/company/sz/002314/2314/detail</t>
  </si>
  <si>
    <t>焦点科技</t>
  </si>
  <si>
    <t>www.lixinger.com/analytics/company/sz/002315/2315/detail</t>
  </si>
  <si>
    <t>亚联发展</t>
  </si>
  <si>
    <t>金融信息服务</t>
  </si>
  <si>
    <t>www.lixinger.com/analytics/company/sz/002316/2316/detail</t>
  </si>
  <si>
    <t>众生药业</t>
  </si>
  <si>
    <t>www.lixinger.com/analytics/company/sz/002317/2317/detail</t>
  </si>
  <si>
    <t>久立特材</t>
  </si>
  <si>
    <t>www.lixinger.com/analytics/company/sz/002318/2318/detail</t>
  </si>
  <si>
    <t>乐通股份</t>
  </si>
  <si>
    <t>www.lixinger.com/analytics/company/sz/002319/2319/detail</t>
  </si>
  <si>
    <t>海峡股份</t>
  </si>
  <si>
    <t>www.lixinger.com/analytics/company/sz/002320/2320/detail</t>
  </si>
  <si>
    <t>*ST华英</t>
  </si>
  <si>
    <t>www.lixinger.com/analytics/company/sz/002321/2321/detail</t>
  </si>
  <si>
    <t>理工能科</t>
  </si>
  <si>
    <t>www.lixinger.com/analytics/company/sz/002322/2322/detail</t>
  </si>
  <si>
    <t>*ST雅博</t>
  </si>
  <si>
    <t>www.lixinger.com/analytics/company/sz/002323/2323/detail</t>
  </si>
  <si>
    <t>普利特</t>
  </si>
  <si>
    <t>www.lixinger.com/analytics/company/sz/002324/2324/detail</t>
  </si>
  <si>
    <t>洪涛股份</t>
  </si>
  <si>
    <t>www.lixinger.com/analytics/company/sz/002325/2325/detail</t>
  </si>
  <si>
    <t>永太科技</t>
  </si>
  <si>
    <t>www.lixinger.com/analytics/company/sz/002326/2326/detail</t>
  </si>
  <si>
    <t>富安娜</t>
  </si>
  <si>
    <t>www.lixinger.com/analytics/company/sz/002327/2327/detail</t>
  </si>
  <si>
    <t>新朋股份</t>
  </si>
  <si>
    <t>www.lixinger.com/analytics/company/sz/002328/2328/detail</t>
  </si>
  <si>
    <t>皇氏集团</t>
  </si>
  <si>
    <t>www.lixinger.com/analytics/company/sz/002329/2329/detail</t>
  </si>
  <si>
    <t>得利斯</t>
  </si>
  <si>
    <t>www.lixinger.com/analytics/company/sz/002330/2330/detail</t>
  </si>
  <si>
    <t>皖通科技</t>
  </si>
  <si>
    <t>www.lixinger.com/analytics/company/sz/002331/2331/detail</t>
  </si>
  <si>
    <t>仙琚制药</t>
  </si>
  <si>
    <t>www.lixinger.com/analytics/company/sz/002332/2332/detail</t>
  </si>
  <si>
    <t>罗普斯金</t>
  </si>
  <si>
    <t>www.lixinger.com/analytics/company/sz/002333/2333/detail</t>
  </si>
  <si>
    <t>英威腾</t>
  </si>
  <si>
    <t>www.lixinger.com/analytics/company/sz/002334/2334/detail</t>
  </si>
  <si>
    <t>科华数据</t>
  </si>
  <si>
    <t>www.lixinger.com/analytics/company/sz/002335/2335/detail</t>
  </si>
  <si>
    <t>人人乐</t>
  </si>
  <si>
    <t>www.lixinger.com/analytics/company/sz/002336/2336/detail</t>
  </si>
  <si>
    <t>赛象科技</t>
  </si>
  <si>
    <t>www.lixinger.com/analytics/company/sz/002337/2337/detail</t>
  </si>
  <si>
    <t>奥普光电</t>
  </si>
  <si>
    <t>www.lixinger.com/analytics/company/sz/002338/2338/detail</t>
  </si>
  <si>
    <t>积成电子</t>
  </si>
  <si>
    <t>www.lixinger.com/analytics/company/sz/002339/2339/detail</t>
  </si>
  <si>
    <t>格林美</t>
  </si>
  <si>
    <t>www.lixinger.com/analytics/company/sz/002340/2340/detail</t>
  </si>
  <si>
    <t>新纶新材</t>
  </si>
  <si>
    <t>www.lixinger.com/analytics/company/sz/002341/2341/detail</t>
  </si>
  <si>
    <t>巨力索具</t>
  </si>
  <si>
    <t>www.lixinger.com/analytics/company/sz/002342/2342/detail</t>
  </si>
  <si>
    <t>慈文传媒</t>
  </si>
  <si>
    <t>www.lixinger.com/analytics/company/sz/002343/2343/detail</t>
  </si>
  <si>
    <t>海宁皮城</t>
  </si>
  <si>
    <t>www.lixinger.com/analytics/company/sz/002344/2344/detail</t>
  </si>
  <si>
    <t>潮宏基</t>
  </si>
  <si>
    <t>www.lixinger.com/analytics/company/sz/002345/2345/detail</t>
  </si>
  <si>
    <t>柘中股份</t>
  </si>
  <si>
    <t>www.lixinger.com/analytics/company/sz/002346/2346/detail</t>
  </si>
  <si>
    <t>泰尔股份</t>
  </si>
  <si>
    <t>www.lixinger.com/analytics/company/sz/002347/2347/detail</t>
  </si>
  <si>
    <t>高乐股份</t>
  </si>
  <si>
    <t>www.lixinger.com/analytics/company/sz/002348/2348/detail</t>
  </si>
  <si>
    <t>精华制药</t>
  </si>
  <si>
    <t>www.lixinger.com/analytics/company/sz/002349/2349/detail</t>
  </si>
  <si>
    <t>北京科锐</t>
  </si>
  <si>
    <t>www.lixinger.com/analytics/company/sz/002350/2350/detail</t>
  </si>
  <si>
    <t>漫步者</t>
  </si>
  <si>
    <t>www.lixinger.com/analytics/company/sz/002351/2351/detail</t>
  </si>
  <si>
    <t>顺丰控股</t>
  </si>
  <si>
    <t>www.lixinger.com/analytics/company/sz/002352/2352/detail</t>
  </si>
  <si>
    <t>杰瑞股份</t>
  </si>
  <si>
    <t>www.lixinger.com/analytics/company/sz/002353/2353/detail</t>
  </si>
  <si>
    <t>天娱数科</t>
  </si>
  <si>
    <t>www.lixinger.com/analytics/company/sz/002354/2354/detail</t>
  </si>
  <si>
    <t>兴民智通</t>
  </si>
  <si>
    <t>www.lixinger.com/analytics/company/sz/002355/2355/detail</t>
  </si>
  <si>
    <t>*ST赫美</t>
  </si>
  <si>
    <t>www.lixinger.com/analytics/company/sz/002356/2356/detail</t>
  </si>
  <si>
    <t>富临运业</t>
  </si>
  <si>
    <t>www.lixinger.com/analytics/company/sz/002357/2357/detail</t>
  </si>
  <si>
    <t>ST森源</t>
  </si>
  <si>
    <t>www.lixinger.com/analytics/company/sz/002358/2358/detail</t>
  </si>
  <si>
    <t>北讯退</t>
  </si>
  <si>
    <t>www.lixinger.com/analytics/company/sz/002359/2359/detail</t>
  </si>
  <si>
    <t>同德化工</t>
  </si>
  <si>
    <t>www.lixinger.com/analytics/company/sz/002360/2360/detail</t>
  </si>
  <si>
    <t>神剑股份</t>
  </si>
  <si>
    <t>www.lixinger.com/analytics/company/sz/002361/2361/detail</t>
  </si>
  <si>
    <t>汉王科技</t>
  </si>
  <si>
    <t>www.lixinger.com/analytics/company/sz/002362/2362/detail</t>
  </si>
  <si>
    <t>隆基机械</t>
  </si>
  <si>
    <t>www.lixinger.com/analytics/company/sz/002363/2363/detail</t>
  </si>
  <si>
    <t>中恒电气</t>
  </si>
  <si>
    <t>www.lixinger.com/analytics/company/sz/002364/2364/detail</t>
  </si>
  <si>
    <t>永安药业</t>
  </si>
  <si>
    <t>www.lixinger.com/analytics/company/sz/002365/2365/detail</t>
  </si>
  <si>
    <t>台海核电</t>
  </si>
  <si>
    <t>www.lixinger.com/analytics/company/sz/002366/2366/detail</t>
  </si>
  <si>
    <t>康力电梯</t>
  </si>
  <si>
    <t>www.lixinger.com/analytics/company/sz/002367/2367/detail</t>
  </si>
  <si>
    <t>太极股份</t>
  </si>
  <si>
    <t>www.lixinger.com/analytics/company/sz/002368/2368/detail</t>
  </si>
  <si>
    <t>卓翼科技</t>
  </si>
  <si>
    <t>www.lixinger.com/analytics/company/sz/002369/2369/detail</t>
  </si>
  <si>
    <t>亚太药业</t>
  </si>
  <si>
    <t>www.lixinger.com/analytics/company/sz/002370/2370/detail</t>
  </si>
  <si>
    <t>北方华创</t>
  </si>
  <si>
    <t>www.lixinger.com/analytics/company/sz/002371/2371/detail</t>
  </si>
  <si>
    <t>伟星新材</t>
  </si>
  <si>
    <t>www.lixinger.com/analytics/company/sz/002372/2372/detail</t>
  </si>
  <si>
    <t>千方科技</t>
  </si>
  <si>
    <t>www.lixinger.com/analytics/company/sz/002373/2373/detail</t>
  </si>
  <si>
    <t>中锐股份</t>
  </si>
  <si>
    <t>www.lixinger.com/analytics/company/sz/002374/2374/detail</t>
  </si>
  <si>
    <t>亚厦股份</t>
  </si>
  <si>
    <t>www.lixinger.com/analytics/company/sz/002375/2375/detail</t>
  </si>
  <si>
    <t>新北洋</t>
  </si>
  <si>
    <t>www.lixinger.com/analytics/company/sz/002376/2376/detail</t>
  </si>
  <si>
    <t>国创高新</t>
  </si>
  <si>
    <t>www.lixinger.com/analytics/company/sz/002377/2377/detail</t>
  </si>
  <si>
    <t>章源钨业</t>
  </si>
  <si>
    <t>www.lixinger.com/analytics/company/sz/002378/2378/detail</t>
  </si>
  <si>
    <t>宏创控股</t>
  </si>
  <si>
    <t>www.lixinger.com/analytics/company/sz/002379/2379/detail</t>
  </si>
  <si>
    <t>科远智慧</t>
  </si>
  <si>
    <t>www.lixinger.com/analytics/company/sz/002380/2380/detail</t>
  </si>
  <si>
    <t>双箭股份</t>
  </si>
  <si>
    <t>www.lixinger.com/analytics/company/sz/002381/2381/detail</t>
  </si>
  <si>
    <t>蓝帆医疗</t>
  </si>
  <si>
    <t>www.lixinger.com/analytics/company/sz/002382/2382/detail</t>
  </si>
  <si>
    <t>合众思壮</t>
  </si>
  <si>
    <t>www.lixinger.com/analytics/company/sz/002383/2383/detail</t>
  </si>
  <si>
    <t>东山精密</t>
  </si>
  <si>
    <t>www.lixinger.com/analytics/company/sz/002384/2384/detail</t>
  </si>
  <si>
    <t>大北农</t>
  </si>
  <si>
    <t>www.lixinger.com/analytics/company/sz/002385/2385/detail</t>
  </si>
  <si>
    <t>天原股份</t>
  </si>
  <si>
    <t>www.lixinger.com/analytics/company/sz/002386/2386/detail</t>
  </si>
  <si>
    <t>维信诺</t>
  </si>
  <si>
    <t>www.lixinger.com/analytics/company/sz/002387/2387/detail</t>
  </si>
  <si>
    <t>新亚制程</t>
  </si>
  <si>
    <t>www.lixinger.com/analytics/company/sz/002388/2388/detail</t>
  </si>
  <si>
    <t>航天彩虹</t>
  </si>
  <si>
    <t>www.lixinger.com/analytics/company/sz/002389/2389/detail</t>
  </si>
  <si>
    <t>信邦制药</t>
  </si>
  <si>
    <t>www.lixinger.com/analytics/company/sz/002390/2390/detail</t>
  </si>
  <si>
    <t>长青股份</t>
  </si>
  <si>
    <t>www.lixinger.com/analytics/company/sz/002391/2391/detail</t>
  </si>
  <si>
    <t>北京利尔</t>
  </si>
  <si>
    <t>www.lixinger.com/analytics/company/sz/002392/2392/detail</t>
  </si>
  <si>
    <t>力生制药</t>
  </si>
  <si>
    <t>www.lixinger.com/analytics/company/sz/002393/2393/detail</t>
  </si>
  <si>
    <t>联发股份</t>
  </si>
  <si>
    <t>www.lixinger.com/analytics/company/sz/002394/2394/detail</t>
  </si>
  <si>
    <t>双象股份</t>
  </si>
  <si>
    <t>www.lixinger.com/analytics/company/sz/002395/2395/detail</t>
  </si>
  <si>
    <t>星网锐捷</t>
  </si>
  <si>
    <t>www.lixinger.com/analytics/company/sz/002396/2396/detail</t>
  </si>
  <si>
    <t>梦洁股份</t>
  </si>
  <si>
    <t>www.lixinger.com/analytics/company/sz/002397/2397/detail</t>
  </si>
  <si>
    <t>垒知集团</t>
  </si>
  <si>
    <t>www.lixinger.com/analytics/company/sz/002398/2398/detail</t>
  </si>
  <si>
    <t>海普瑞</t>
  </si>
  <si>
    <t>www.lixinger.com/analytics/company/sz/002399/2399/detail</t>
  </si>
  <si>
    <t>省广集团</t>
  </si>
  <si>
    <t>www.lixinger.com/analytics/company/sz/002400/2400/detail</t>
  </si>
  <si>
    <t>中远海科</t>
  </si>
  <si>
    <t>www.lixinger.com/analytics/company/sz/002401/2401/detail</t>
  </si>
  <si>
    <t>和而泰</t>
  </si>
  <si>
    <t>www.lixinger.com/analytics/company/sz/002402/2402/detail</t>
  </si>
  <si>
    <t>爱仕达</t>
  </si>
  <si>
    <t>www.lixinger.com/analytics/company/sz/002403/2403/detail</t>
  </si>
  <si>
    <t>嘉欣丝绸</t>
  </si>
  <si>
    <t>www.lixinger.com/analytics/company/sz/002404/2404/detail</t>
  </si>
  <si>
    <t>四维图新</t>
  </si>
  <si>
    <t>www.lixinger.com/analytics/company/sz/002405/2405/detail</t>
  </si>
  <si>
    <t>远东传动</t>
  </si>
  <si>
    <t>www.lixinger.com/analytics/company/sz/002406/2406/detail</t>
  </si>
  <si>
    <t>多氟多</t>
  </si>
  <si>
    <t>www.lixinger.com/analytics/company/sz/002407/2407/detail</t>
  </si>
  <si>
    <t>齐翔腾达</t>
  </si>
  <si>
    <t>www.lixinger.com/analytics/company/sz/002408/2408/detail</t>
  </si>
  <si>
    <t>雅克科技</t>
  </si>
  <si>
    <t>www.lixinger.com/analytics/company/sz/002409/2409/detail</t>
  </si>
  <si>
    <t>广联达</t>
  </si>
  <si>
    <t>www.lixinger.com/analytics/company/sz/002410/2410/detail</t>
  </si>
  <si>
    <t>延安必康</t>
  </si>
  <si>
    <t>www.lixinger.com/analytics/company/sz/002411/2411/detail</t>
  </si>
  <si>
    <t>汉森制药</t>
  </si>
  <si>
    <t>www.lixinger.com/analytics/company/sz/002412/2412/detail</t>
  </si>
  <si>
    <t>雷科防务</t>
  </si>
  <si>
    <t>www.lixinger.com/analytics/company/sz/002413/2413/detail</t>
  </si>
  <si>
    <t>高德红外</t>
  </si>
  <si>
    <t>www.lixinger.com/analytics/company/sz/002414/2414/detail</t>
  </si>
  <si>
    <t>海康威视</t>
  </si>
  <si>
    <t>www.lixinger.com/analytics/company/sz/002415/2415/detail</t>
  </si>
  <si>
    <t>爱施德</t>
  </si>
  <si>
    <t>www.lixinger.com/analytics/company/sz/002416/2416/detail</t>
  </si>
  <si>
    <t>*ST深南</t>
  </si>
  <si>
    <t>www.lixinger.com/analytics/company/sz/002417/2417/detail</t>
  </si>
  <si>
    <t>康盛股份</t>
  </si>
  <si>
    <t>www.lixinger.com/analytics/company/sz/002418/2418/detail</t>
  </si>
  <si>
    <t>天虹股份</t>
  </si>
  <si>
    <t>www.lixinger.com/analytics/company/sz/002419/2419/detail</t>
  </si>
  <si>
    <t>毅昌科技</t>
  </si>
  <si>
    <t>www.lixinger.com/analytics/company/sz/002420/2420/detail</t>
  </si>
  <si>
    <t>达实智能</t>
  </si>
  <si>
    <t>www.lixinger.com/analytics/company/sz/002421/2421/detail</t>
  </si>
  <si>
    <t>科伦药业</t>
  </si>
  <si>
    <t>www.lixinger.com/analytics/company/sz/002422/2422/detail</t>
  </si>
  <si>
    <t>中粮资本</t>
  </si>
  <si>
    <t>www.lixinger.com/analytics/company/sz/002423/2423/detail</t>
  </si>
  <si>
    <t>贵州百灵</t>
  </si>
  <si>
    <t>www.lixinger.com/analytics/company/sz/002424/2424/detail</t>
  </si>
  <si>
    <t>凯撒文化</t>
  </si>
  <si>
    <t>www.lixinger.com/analytics/company/sz/002425/2425/detail</t>
  </si>
  <si>
    <t>胜利精密</t>
  </si>
  <si>
    <t>www.lixinger.com/analytics/company/sz/002426/2426/detail</t>
  </si>
  <si>
    <t>*ST尤夫</t>
  </si>
  <si>
    <t>www.lixinger.com/analytics/company/sz/002427/2427/detail</t>
  </si>
  <si>
    <t>云南锗业</t>
  </si>
  <si>
    <t>www.lixinger.com/analytics/company/sz/002428/2428/detail</t>
  </si>
  <si>
    <t>兆驰股份</t>
  </si>
  <si>
    <t>www.lixinger.com/analytics/company/sz/002429/2429/detail</t>
  </si>
  <si>
    <t>杭氧股份</t>
  </si>
  <si>
    <t>www.lixinger.com/analytics/company/sz/002430/2430/detail</t>
  </si>
  <si>
    <t>棕榈股份</t>
  </si>
  <si>
    <t>www.lixinger.com/analytics/company/sz/002431/2431/detail</t>
  </si>
  <si>
    <t>九安医疗</t>
  </si>
  <si>
    <t>www.lixinger.com/analytics/company/sz/002432/2432/detail</t>
  </si>
  <si>
    <t>太安堂</t>
  </si>
  <si>
    <t>www.lixinger.com/analytics/company/sz/002433/2433/detail</t>
  </si>
  <si>
    <t>万里扬</t>
  </si>
  <si>
    <t>www.lixinger.com/analytics/company/sz/002434/2434/detail</t>
  </si>
  <si>
    <t>长江健康</t>
  </si>
  <si>
    <t>www.lixinger.com/analytics/company/sz/002435/2435/detail</t>
  </si>
  <si>
    <t>兴森科技</t>
  </si>
  <si>
    <t>www.lixinger.com/analytics/company/sz/002436/2436/detail</t>
  </si>
  <si>
    <t>誉衡药业</t>
  </si>
  <si>
    <t>www.lixinger.com/analytics/company/sz/002437/2437/detail</t>
  </si>
  <si>
    <t>江苏神通</t>
  </si>
  <si>
    <t>www.lixinger.com/analytics/company/sz/002438/2438/detail</t>
  </si>
  <si>
    <t>启明星辰</t>
  </si>
  <si>
    <t>www.lixinger.com/analytics/company/sz/002439/2439/detail</t>
  </si>
  <si>
    <t>闰土股份</t>
  </si>
  <si>
    <t>www.lixinger.com/analytics/company/sz/002440/2440/detail</t>
  </si>
  <si>
    <t>众业达</t>
  </si>
  <si>
    <t>www.lixinger.com/analytics/company/sz/002441/2441/detail</t>
  </si>
  <si>
    <t>龙星化工</t>
  </si>
  <si>
    <t>www.lixinger.com/analytics/company/sz/002442/2442/detail</t>
  </si>
  <si>
    <t>金洲管道</t>
  </si>
  <si>
    <t>www.lixinger.com/analytics/company/sz/002443/2443/detail</t>
  </si>
  <si>
    <t>巨星科技</t>
  </si>
  <si>
    <t>www.lixinger.com/analytics/company/sz/002444/2444/detail</t>
  </si>
  <si>
    <t>中南文化</t>
  </si>
  <si>
    <t>www.lixinger.com/analytics/company/sz/002445/2445/detail</t>
  </si>
  <si>
    <t>盛路通信</t>
  </si>
  <si>
    <t>www.lixinger.com/analytics/company/sz/002446/2446/detail</t>
  </si>
  <si>
    <t>*ST晨鑫</t>
  </si>
  <si>
    <t>www.lixinger.com/analytics/company/sz/002447/2447/detail</t>
  </si>
  <si>
    <t>中原内配</t>
  </si>
  <si>
    <t>www.lixinger.com/analytics/company/sz/002448/2448/detail</t>
  </si>
  <si>
    <t>国星光电</t>
  </si>
  <si>
    <t>www.lixinger.com/analytics/company/sz/002449/2449/detail</t>
  </si>
  <si>
    <t>康得退</t>
  </si>
  <si>
    <t>www.lixinger.com/analytics/company/sz/002450/2450/detail</t>
  </si>
  <si>
    <t>摩恩电气</t>
  </si>
  <si>
    <t>www.lixinger.com/analytics/company/sz/002451/2451/detail</t>
  </si>
  <si>
    <t>长高集团</t>
  </si>
  <si>
    <t>www.lixinger.com/analytics/company/sz/002452/2452/detail</t>
  </si>
  <si>
    <t>华软科技</t>
  </si>
  <si>
    <t>www.lixinger.com/analytics/company/sz/002453/2453/detail</t>
  </si>
  <si>
    <t>松芝股份</t>
  </si>
  <si>
    <t>www.lixinger.com/analytics/company/sz/002454/2454/detail</t>
  </si>
  <si>
    <t>百川股份</t>
  </si>
  <si>
    <t>www.lixinger.com/analytics/company/sz/002455/2455/detail</t>
  </si>
  <si>
    <t>欧菲光</t>
  </si>
  <si>
    <t>www.lixinger.com/analytics/company/sz/002456/2456/detail</t>
  </si>
  <si>
    <t>青龙管业</t>
  </si>
  <si>
    <t>www.lixinger.com/analytics/company/sz/002457/2457/detail</t>
  </si>
  <si>
    <t>益生股份</t>
  </si>
  <si>
    <t>www.lixinger.com/analytics/company/sz/002458/2458/detail</t>
  </si>
  <si>
    <t>晶澳科技</t>
  </si>
  <si>
    <t>www.lixinger.com/analytics/company/sz/002459/2459/detail</t>
  </si>
  <si>
    <t>赣锋锂业</t>
  </si>
  <si>
    <t>www.lixinger.com/analytics/company/sz/002460/2460/detail</t>
  </si>
  <si>
    <t>珠江啤酒</t>
  </si>
  <si>
    <t>www.lixinger.com/analytics/company/sz/002461/2461/detail</t>
  </si>
  <si>
    <t>嘉事堂</t>
  </si>
  <si>
    <t>www.lixinger.com/analytics/company/sz/002462/2462/detail</t>
  </si>
  <si>
    <t>沪电股份</t>
  </si>
  <si>
    <t>www.lixinger.com/analytics/company/sz/002463/2463/detail</t>
  </si>
  <si>
    <t>*ST众应</t>
  </si>
  <si>
    <t>www.lixinger.com/analytics/company/sz/002464/2464/detail</t>
  </si>
  <si>
    <t>海格通信</t>
  </si>
  <si>
    <t>www.lixinger.com/analytics/company/sz/002465/2465/detail</t>
  </si>
  <si>
    <t>天齐锂业</t>
  </si>
  <si>
    <t>www.lixinger.com/analytics/company/sz/002466/2466/detail</t>
  </si>
  <si>
    <t>二六三</t>
  </si>
  <si>
    <t>www.lixinger.com/analytics/company/sz/002467/2467/detail</t>
  </si>
  <si>
    <t>申通快递</t>
  </si>
  <si>
    <t>www.lixinger.com/analytics/company/sz/002468/2468/detail</t>
  </si>
  <si>
    <t>三维化学</t>
  </si>
  <si>
    <t>www.lixinger.com/analytics/company/sz/002469/2469/detail</t>
  </si>
  <si>
    <t>ST金正</t>
  </si>
  <si>
    <t>www.lixinger.com/analytics/company/sz/002470/2470/detail</t>
  </si>
  <si>
    <t>中超控股</t>
  </si>
  <si>
    <t>www.lixinger.com/analytics/company/sz/002471/2471/detail</t>
  </si>
  <si>
    <t>双环传动</t>
  </si>
  <si>
    <t>www.lixinger.com/analytics/company/sz/002472/2472/detail</t>
  </si>
  <si>
    <t>*ST圣莱</t>
  </si>
  <si>
    <t>www.lixinger.com/analytics/company/sz/002473/2473/detail</t>
  </si>
  <si>
    <t>榕基软件</t>
  </si>
  <si>
    <t>www.lixinger.com/analytics/company/sz/002474/2474/detail</t>
  </si>
  <si>
    <t>立讯精密</t>
  </si>
  <si>
    <t>www.lixinger.com/analytics/company/sz/002475/2475/detail</t>
  </si>
  <si>
    <t>宝莫股份</t>
  </si>
  <si>
    <t>www.lixinger.com/analytics/company/sz/002476/2476/detail</t>
  </si>
  <si>
    <t>雏鹰退</t>
  </si>
  <si>
    <t>www.lixinger.com/analytics/company/sz/002477/2477/detail</t>
  </si>
  <si>
    <t>常宝股份</t>
  </si>
  <si>
    <t>www.lixinger.com/analytics/company/sz/002478/2478/detail</t>
  </si>
  <si>
    <t>富春环保</t>
  </si>
  <si>
    <t>www.lixinger.com/analytics/company/sz/002479/2479/detail</t>
  </si>
  <si>
    <t>新筑股份</t>
  </si>
  <si>
    <t>www.lixinger.com/analytics/company/sz/002480/2480/detail</t>
  </si>
  <si>
    <t>双塔食品</t>
  </si>
  <si>
    <t>www.lixinger.com/analytics/company/sz/002481/2481/detail</t>
  </si>
  <si>
    <t>广田集团</t>
  </si>
  <si>
    <t>www.lixinger.com/analytics/company/sz/002482/2482/detail</t>
  </si>
  <si>
    <t>润邦股份</t>
  </si>
  <si>
    <t>www.lixinger.com/analytics/company/sz/002483/2483/detail</t>
  </si>
  <si>
    <t>江海股份</t>
  </si>
  <si>
    <t>www.lixinger.com/analytics/company/sz/002484/2484/detail</t>
  </si>
  <si>
    <t>雪松发展</t>
  </si>
  <si>
    <t>www.lixinger.com/analytics/company/sz/002485/2485/detail</t>
  </si>
  <si>
    <t>嘉麟杰</t>
  </si>
  <si>
    <t>www.lixinger.com/analytics/company/sz/002486/2486/detail</t>
  </si>
  <si>
    <t>大金重工</t>
  </si>
  <si>
    <t>www.lixinger.com/analytics/company/sz/002487/2487/detail</t>
  </si>
  <si>
    <t>金固股份</t>
  </si>
  <si>
    <t>www.lixinger.com/analytics/company/sz/002488/2488/detail</t>
  </si>
  <si>
    <t>浙江永强</t>
  </si>
  <si>
    <t>www.lixinger.com/analytics/company/sz/002489/2489/detail</t>
  </si>
  <si>
    <t>山东墨龙</t>
  </si>
  <si>
    <t>www.lixinger.com/analytics/company/sz/002490/2490/detail</t>
  </si>
  <si>
    <t>通鼎互联</t>
  </si>
  <si>
    <t>www.lixinger.com/analytics/company/sz/002491/2491/detail</t>
  </si>
  <si>
    <t>恒基达鑫</t>
  </si>
  <si>
    <t>www.lixinger.com/analytics/company/sz/002492/2492/detail</t>
  </si>
  <si>
    <t>荣盛石化</t>
  </si>
  <si>
    <t>www.lixinger.com/analytics/company/sz/002493/2493/detail</t>
  </si>
  <si>
    <t>华斯股份</t>
  </si>
  <si>
    <t>www.lixinger.com/analytics/company/sz/002494/2494/detail</t>
  </si>
  <si>
    <t>佳隆股份</t>
  </si>
  <si>
    <t>www.lixinger.com/analytics/company/sz/002495/2495/detail</t>
  </si>
  <si>
    <t>ST辉丰</t>
  </si>
  <si>
    <t>www.lixinger.com/analytics/company/sz/002496/2496/detail</t>
  </si>
  <si>
    <t>雅化集团</t>
  </si>
  <si>
    <t>www.lixinger.com/analytics/company/sz/002497/2497/detail</t>
  </si>
  <si>
    <t>汉缆股份</t>
  </si>
  <si>
    <t>www.lixinger.com/analytics/company/sz/002498/2498/detail</t>
  </si>
  <si>
    <t>*ST科林</t>
  </si>
  <si>
    <t>www.lixinger.com/analytics/company/sz/002499/2499/detail</t>
  </si>
  <si>
    <t>山西证券</t>
  </si>
  <si>
    <t>www.lixinger.com/analytics/company/sz/002500/2500/detail</t>
  </si>
  <si>
    <t>*ST利源</t>
  </si>
  <si>
    <t>www.lixinger.com/analytics/company/sz/002501/2501/detail</t>
  </si>
  <si>
    <t>鼎龙文化</t>
  </si>
  <si>
    <t>www.lixinger.com/analytics/company/sz/002502/2502/detail</t>
  </si>
  <si>
    <t>搜于特</t>
  </si>
  <si>
    <t>www.lixinger.com/analytics/company/sz/002503/2503/detail</t>
  </si>
  <si>
    <t>ST弘高</t>
  </si>
  <si>
    <t>www.lixinger.com/analytics/company/sz/002504/2504/detail</t>
  </si>
  <si>
    <t>鹏都农牧</t>
  </si>
  <si>
    <t>www.lixinger.com/analytics/company/sz/002505/2505/detail</t>
  </si>
  <si>
    <t>协鑫集成</t>
  </si>
  <si>
    <t>www.lixinger.com/analytics/company/sz/002506/2506/detail</t>
  </si>
  <si>
    <t>涪陵榨菜</t>
  </si>
  <si>
    <t>www.lixinger.com/analytics/company/sz/002507/2507/detail</t>
  </si>
  <si>
    <t>老板电器</t>
  </si>
  <si>
    <t>www.lixinger.com/analytics/company/sz/002508/2508/detail</t>
  </si>
  <si>
    <t>天茂退</t>
  </si>
  <si>
    <t>www.lixinger.com/analytics/company/sz/002509/2509/detail</t>
  </si>
  <si>
    <t>天汽模</t>
  </si>
  <si>
    <t>www.lixinger.com/analytics/company/sz/002510/2510/detail</t>
  </si>
  <si>
    <t>中顺洁柔</t>
  </si>
  <si>
    <t>www.lixinger.com/analytics/company/sz/002511/2511/detail</t>
  </si>
  <si>
    <t>达华智能</t>
  </si>
  <si>
    <t>www.lixinger.com/analytics/company/sz/002512/2512/detail</t>
  </si>
  <si>
    <t>蓝丰生化</t>
  </si>
  <si>
    <t>www.lixinger.com/analytics/company/sz/002513/2513/detail</t>
  </si>
  <si>
    <t>宝馨科技</t>
  </si>
  <si>
    <t>www.lixinger.com/analytics/company/sz/002514/2514/detail</t>
  </si>
  <si>
    <t>金字火腿</t>
  </si>
  <si>
    <t>www.lixinger.com/analytics/company/sz/002515/2515/detail</t>
  </si>
  <si>
    <t>旷达科技</t>
  </si>
  <si>
    <t>www.lixinger.com/analytics/company/sz/002516/2516/detail</t>
  </si>
  <si>
    <t>恺英网络</t>
  </si>
  <si>
    <t>www.lixinger.com/analytics/company/sz/002517/2517/detail</t>
  </si>
  <si>
    <t>科士达</t>
  </si>
  <si>
    <t>www.lixinger.com/analytics/company/sz/002518/2518/detail</t>
  </si>
  <si>
    <t>银河电子</t>
  </si>
  <si>
    <t>www.lixinger.com/analytics/company/sz/002519/2519/detail</t>
  </si>
  <si>
    <t>日发精机</t>
  </si>
  <si>
    <t>www.lixinger.com/analytics/company/sz/002520/2520/detail</t>
  </si>
  <si>
    <t>齐峰新材</t>
  </si>
  <si>
    <t>www.lixinger.com/analytics/company/sz/002521/2521/detail</t>
  </si>
  <si>
    <t>浙江众成</t>
  </si>
  <si>
    <t>www.lixinger.com/analytics/company/sz/002522/2522/detail</t>
  </si>
  <si>
    <t>天桥起重</t>
  </si>
  <si>
    <t>www.lixinger.com/analytics/company/sz/002523/2523/detail</t>
  </si>
  <si>
    <t>光正眼科</t>
  </si>
  <si>
    <t>www.lixinger.com/analytics/company/sz/002524/2524/detail</t>
  </si>
  <si>
    <t>山东矿机</t>
  </si>
  <si>
    <t>www.lixinger.com/analytics/company/sz/002526/2526/detail</t>
  </si>
  <si>
    <t>新时达</t>
  </si>
  <si>
    <t>www.lixinger.com/analytics/company/sz/002527/2527/detail</t>
  </si>
  <si>
    <t>英飞拓</t>
  </si>
  <si>
    <t>www.lixinger.com/analytics/company/sz/002528/2528/detail</t>
  </si>
  <si>
    <t>海源复材</t>
  </si>
  <si>
    <t>www.lixinger.com/analytics/company/sz/002529/2529/detail</t>
  </si>
  <si>
    <t>金财互联</t>
  </si>
  <si>
    <t>www.lixinger.com/analytics/company/sz/002530/2530/detail</t>
  </si>
  <si>
    <t>天顺风能</t>
  </si>
  <si>
    <t>www.lixinger.com/analytics/company/sz/002531/2531/detail</t>
  </si>
  <si>
    <t>天山铝业</t>
  </si>
  <si>
    <t>www.lixinger.com/analytics/company/sz/002532/2532/detail</t>
  </si>
  <si>
    <t>金杯电工</t>
  </si>
  <si>
    <t>www.lixinger.com/analytics/company/sz/002533/2533/detail</t>
  </si>
  <si>
    <t>西子洁能</t>
  </si>
  <si>
    <t>www.lixinger.com/analytics/company/sz/002534/2534/detail</t>
  </si>
  <si>
    <t>ST林重</t>
  </si>
  <si>
    <t>www.lixinger.com/analytics/company/sz/002535/2535/detail</t>
  </si>
  <si>
    <t>飞龙股份</t>
  </si>
  <si>
    <t>www.lixinger.com/analytics/company/sz/002536/2536/detail</t>
  </si>
  <si>
    <t>海联金汇</t>
  </si>
  <si>
    <t>www.lixinger.com/analytics/company/sz/002537/2537/detail</t>
  </si>
  <si>
    <t>司尔特</t>
  </si>
  <si>
    <t>www.lixinger.com/analytics/company/sz/002538/2538/detail</t>
  </si>
  <si>
    <t>云图控股</t>
  </si>
  <si>
    <t>www.lixinger.com/analytics/company/sz/002539/2539/detail</t>
  </si>
  <si>
    <t>亚太科技</t>
  </si>
  <si>
    <t>www.lixinger.com/analytics/company/sz/002540/2540/detail</t>
  </si>
  <si>
    <t>鸿路钢构</t>
  </si>
  <si>
    <t>www.lixinger.com/analytics/company/sz/002541/2541/detail</t>
  </si>
  <si>
    <t>中化岩土</t>
  </si>
  <si>
    <t>www.lixinger.com/analytics/company/sz/002542/2542/detail</t>
  </si>
  <si>
    <t>万和电气</t>
  </si>
  <si>
    <t>www.lixinger.com/analytics/company/sz/002543/2543/detail</t>
  </si>
  <si>
    <t>杰赛科技</t>
  </si>
  <si>
    <t>www.lixinger.com/analytics/company/sz/002544/2544/detail</t>
  </si>
  <si>
    <t>东方铁塔</t>
  </si>
  <si>
    <t>www.lixinger.com/analytics/company/sz/002545/2545/detail</t>
  </si>
  <si>
    <t>新联电子</t>
  </si>
  <si>
    <t>www.lixinger.com/analytics/company/sz/002546/2546/detail</t>
  </si>
  <si>
    <t>春兴精工</t>
  </si>
  <si>
    <t>www.lixinger.com/analytics/company/sz/002547/2547/detail</t>
  </si>
  <si>
    <t>金新农</t>
  </si>
  <si>
    <t>www.lixinger.com/analytics/company/sz/002548/2548/detail</t>
  </si>
  <si>
    <t>凯美特气</t>
  </si>
  <si>
    <t>www.lixinger.com/analytics/company/sz/002549/2549/detail</t>
  </si>
  <si>
    <t>千红制药</t>
  </si>
  <si>
    <t>www.lixinger.com/analytics/company/sz/002550/2550/detail</t>
  </si>
  <si>
    <t>尚荣医疗</t>
  </si>
  <si>
    <t>www.lixinger.com/analytics/company/sz/002551/2551/detail</t>
  </si>
  <si>
    <t>宝鼎科技</t>
  </si>
  <si>
    <t>www.lixinger.com/analytics/company/sz/002552/2552/detail</t>
  </si>
  <si>
    <t>南方精工</t>
  </si>
  <si>
    <t>www.lixinger.com/analytics/company/sz/002553/2553/detail</t>
  </si>
  <si>
    <t>惠博普</t>
  </si>
  <si>
    <t>www.lixinger.com/analytics/company/sz/002554/2554/detail</t>
  </si>
  <si>
    <t>三七互娱</t>
  </si>
  <si>
    <t>www.lixinger.com/analytics/company/sz/002555/2555/detail</t>
  </si>
  <si>
    <t>辉隆股份</t>
  </si>
  <si>
    <t>农业综合</t>
  </si>
  <si>
    <t>www.lixinger.com/analytics/company/sz/002556/2556/detail</t>
  </si>
  <si>
    <t>洽洽食品</t>
  </si>
  <si>
    <t>www.lixinger.com/analytics/company/sz/002557/2557/detail</t>
  </si>
  <si>
    <t>巨人网络</t>
  </si>
  <si>
    <t>www.lixinger.com/analytics/company/sz/002558/2558/detail</t>
  </si>
  <si>
    <t>亚威股份</t>
  </si>
  <si>
    <t>www.lixinger.com/analytics/company/sz/002559/2559/detail</t>
  </si>
  <si>
    <t>通达股份</t>
  </si>
  <si>
    <t>www.lixinger.com/analytics/company/sz/002560/2560/detail</t>
  </si>
  <si>
    <t>徐家汇</t>
  </si>
  <si>
    <t>www.lixinger.com/analytics/company/sz/002561/2561/detail</t>
  </si>
  <si>
    <t>兄弟科技</t>
  </si>
  <si>
    <t>www.lixinger.com/analytics/company/sz/002562/2562/detail</t>
  </si>
  <si>
    <t>森马服饰</t>
  </si>
  <si>
    <t>www.lixinger.com/analytics/company/sz/002563/2563/detail</t>
  </si>
  <si>
    <t>天沃科技</t>
  </si>
  <si>
    <t>www.lixinger.com/analytics/company/sz/002564/2564/detail</t>
  </si>
  <si>
    <t>顺灏股份</t>
  </si>
  <si>
    <t>www.lixinger.com/analytics/company/sz/002565/2565/detail</t>
  </si>
  <si>
    <t>益盛药业</t>
  </si>
  <si>
    <t>www.lixinger.com/analytics/company/sz/002566/2566/detail</t>
  </si>
  <si>
    <t>唐人神</t>
  </si>
  <si>
    <t>www.lixinger.com/analytics/company/sz/002567/2567/detail</t>
  </si>
  <si>
    <t>百润股份</t>
  </si>
  <si>
    <t>www.lixinger.com/analytics/company/sz/002568/2568/detail</t>
  </si>
  <si>
    <t>ST步森</t>
  </si>
  <si>
    <t>www.lixinger.com/analytics/company/sz/002569/2569/detail</t>
  </si>
  <si>
    <t>贝因美</t>
  </si>
  <si>
    <t>www.lixinger.com/analytics/company/sz/002570/2570/detail</t>
  </si>
  <si>
    <t>德力股份</t>
  </si>
  <si>
    <t>www.lixinger.com/analytics/company/sz/002571/2571/detail</t>
  </si>
  <si>
    <t>索菲亚</t>
  </si>
  <si>
    <t>www.lixinger.com/analytics/company/sz/002572/2572/detail</t>
  </si>
  <si>
    <t>清新环境</t>
  </si>
  <si>
    <t>www.lixinger.com/analytics/company/sz/002573/2573/detail</t>
  </si>
  <si>
    <t>明牌珠宝</t>
  </si>
  <si>
    <t>www.lixinger.com/analytics/company/sz/002574/2574/detail</t>
  </si>
  <si>
    <t>*ST群兴</t>
  </si>
  <si>
    <t>www.lixinger.com/analytics/company/sz/002575/2575/detail</t>
  </si>
  <si>
    <t>通达动力</t>
  </si>
  <si>
    <t>www.lixinger.com/analytics/company/sz/002576/2576/detail</t>
  </si>
  <si>
    <t>雷柏科技</t>
  </si>
  <si>
    <t>www.lixinger.com/analytics/company/sz/002577/2577/detail</t>
  </si>
  <si>
    <t>闽发铝业</t>
  </si>
  <si>
    <t>www.lixinger.com/analytics/company/sz/002578/2578/detail</t>
  </si>
  <si>
    <t>中京电子</t>
  </si>
  <si>
    <t>www.lixinger.com/analytics/company/sz/002579/2579/detail</t>
  </si>
  <si>
    <t>圣阳股份</t>
  </si>
  <si>
    <t>www.lixinger.com/analytics/company/sz/002580/2580/detail</t>
  </si>
  <si>
    <t>未名医药</t>
  </si>
  <si>
    <t>www.lixinger.com/analytics/company/sz/002581/2581/detail</t>
  </si>
  <si>
    <t>好想你</t>
  </si>
  <si>
    <t>www.lixinger.com/analytics/company/sz/002582/2582/detail</t>
  </si>
  <si>
    <t>海能达</t>
  </si>
  <si>
    <t>www.lixinger.com/analytics/company/sz/002583/2583/detail</t>
  </si>
  <si>
    <t>西陇科学</t>
  </si>
  <si>
    <t>www.lixinger.com/analytics/company/sz/002584/2584/detail</t>
  </si>
  <si>
    <t>双星新材</t>
  </si>
  <si>
    <t>www.lixinger.com/analytics/company/sz/002585/2585/detail</t>
  </si>
  <si>
    <t>*ST围海</t>
  </si>
  <si>
    <t>www.lixinger.com/analytics/company/sz/002586/2586/detail</t>
  </si>
  <si>
    <t>奥拓电子</t>
  </si>
  <si>
    <t>www.lixinger.com/analytics/company/sz/002587/2587/detail</t>
  </si>
  <si>
    <t>史丹利</t>
  </si>
  <si>
    <t>www.lixinger.com/analytics/company/sz/002588/2588/detail</t>
  </si>
  <si>
    <t>瑞康医药</t>
  </si>
  <si>
    <t>www.lixinger.com/analytics/company/sz/002589/2589/detail</t>
  </si>
  <si>
    <t>万安科技</t>
  </si>
  <si>
    <t>www.lixinger.com/analytics/company/sz/002590/2590/detail</t>
  </si>
  <si>
    <t>恒大高新</t>
  </si>
  <si>
    <t>www.lixinger.com/analytics/company/sz/002591/2591/detail</t>
  </si>
  <si>
    <t>ST八菱</t>
  </si>
  <si>
    <t>www.lixinger.com/analytics/company/sz/002592/2592/detail</t>
  </si>
  <si>
    <t>日上集团</t>
  </si>
  <si>
    <t>www.lixinger.com/analytics/company/sz/002593/2593/detail</t>
  </si>
  <si>
    <t>比亚迪</t>
  </si>
  <si>
    <t>电动乘用车</t>
  </si>
  <si>
    <t>www.lixinger.com/analytics/company/sz/002594/2594/detail</t>
  </si>
  <si>
    <t>豪迈科技</t>
  </si>
  <si>
    <t>www.lixinger.com/analytics/company/sz/002595/2595/detail</t>
  </si>
  <si>
    <t>海南瑞泽</t>
  </si>
  <si>
    <t>www.lixinger.com/analytics/company/sz/002596/2596/detail</t>
  </si>
  <si>
    <t>金禾实业</t>
  </si>
  <si>
    <t>www.lixinger.com/analytics/company/sz/002597/2597/detail</t>
  </si>
  <si>
    <t>山东章鼓</t>
  </si>
  <si>
    <t>www.lixinger.com/analytics/company/sz/002598/2598/detail</t>
  </si>
  <si>
    <t>盛通股份</t>
  </si>
  <si>
    <t>www.lixinger.com/analytics/company/sz/002599/2599/detail</t>
  </si>
  <si>
    <t>领益智造</t>
  </si>
  <si>
    <t>www.lixinger.com/analytics/company/sz/002600/2600/detail</t>
  </si>
  <si>
    <t>龙佰集团</t>
  </si>
  <si>
    <t>www.lixinger.com/analytics/company/sz/002601/2601/detail</t>
  </si>
  <si>
    <t>世纪华通</t>
  </si>
  <si>
    <t>www.lixinger.com/analytics/company/sz/002602/2602/detail</t>
  </si>
  <si>
    <t>以岭药业</t>
  </si>
  <si>
    <t>www.lixinger.com/analytics/company/sz/002603/2603/detail</t>
  </si>
  <si>
    <t>龙力退</t>
  </si>
  <si>
    <t>www.lixinger.com/analytics/company/sz/002604/2604/detail</t>
  </si>
  <si>
    <t>姚记科技</t>
  </si>
  <si>
    <t>www.lixinger.com/analytics/company/sz/002605/2605/detail</t>
  </si>
  <si>
    <t>大连电瓷</t>
  </si>
  <si>
    <t>www.lixinger.com/analytics/company/sz/002606/2606/detail</t>
  </si>
  <si>
    <t>中公教育</t>
  </si>
  <si>
    <t>www.lixinger.com/analytics/company/sz/002607/2607/detail</t>
  </si>
  <si>
    <t>江苏国信</t>
  </si>
  <si>
    <t>www.lixinger.com/analytics/company/sz/002608/2608/detail</t>
  </si>
  <si>
    <t>捷顺科技</t>
  </si>
  <si>
    <t>www.lixinger.com/analytics/company/sz/002609/2609/detail</t>
  </si>
  <si>
    <t>爱康科技</t>
  </si>
  <si>
    <t>www.lixinger.com/analytics/company/sz/002610/2610/detail</t>
  </si>
  <si>
    <t>东方精工</t>
  </si>
  <si>
    <t>www.lixinger.com/analytics/company/sz/002611/2611/detail</t>
  </si>
  <si>
    <t>朗姿股份</t>
  </si>
  <si>
    <t>www.lixinger.com/analytics/company/sz/002612/2612/detail</t>
  </si>
  <si>
    <t>北玻股份</t>
  </si>
  <si>
    <t>www.lixinger.com/analytics/company/sz/002613/2613/detail</t>
  </si>
  <si>
    <t>奥佳华</t>
  </si>
  <si>
    <t>www.lixinger.com/analytics/company/sz/002614/2614/detail</t>
  </si>
  <si>
    <t>哈尔斯</t>
  </si>
  <si>
    <t>www.lixinger.com/analytics/company/sz/002615/2615/detail</t>
  </si>
  <si>
    <t>长青集团</t>
  </si>
  <si>
    <t>其他能源发电</t>
  </si>
  <si>
    <t>www.lixinger.com/analytics/company/sz/002616/2616/detail</t>
  </si>
  <si>
    <t>露笑科技</t>
  </si>
  <si>
    <t>www.lixinger.com/analytics/company/sz/002617/2617/detail</t>
  </si>
  <si>
    <t>*ST丹邦</t>
  </si>
  <si>
    <t>www.lixinger.com/analytics/company/sz/002618/2618/detail</t>
  </si>
  <si>
    <t>*ST艾格</t>
  </si>
  <si>
    <t>www.lixinger.com/analytics/company/sz/002619/2619/detail</t>
  </si>
  <si>
    <t>瑞和股份</t>
  </si>
  <si>
    <t>www.lixinger.com/analytics/company/sz/002620/2620/detail</t>
  </si>
  <si>
    <t>美吉姆</t>
  </si>
  <si>
    <t>www.lixinger.com/analytics/company/sz/002621/2621/detail</t>
  </si>
  <si>
    <t>融钰集团</t>
  </si>
  <si>
    <t>www.lixinger.com/analytics/company/sz/002622/2622/detail</t>
  </si>
  <si>
    <t>亚玛顿</t>
  </si>
  <si>
    <t>www.lixinger.com/analytics/company/sz/002623/2623/detail</t>
  </si>
  <si>
    <t>完美世界</t>
  </si>
  <si>
    <t>www.lixinger.com/analytics/company/sz/002624/2624/detail</t>
  </si>
  <si>
    <t>光启技术</t>
  </si>
  <si>
    <t>www.lixinger.com/analytics/company/sz/002625/2625/detail</t>
  </si>
  <si>
    <t>金达威</t>
  </si>
  <si>
    <t>www.lixinger.com/analytics/company/sz/002626/2626/detail</t>
  </si>
  <si>
    <t>三峡旅游</t>
  </si>
  <si>
    <t>www.lixinger.com/analytics/company/sz/002627/2627/detail</t>
  </si>
  <si>
    <t>成都路桥</t>
  </si>
  <si>
    <t>www.lixinger.com/analytics/company/sz/002628/2628/detail</t>
  </si>
  <si>
    <t>仁智股份</t>
  </si>
  <si>
    <t>www.lixinger.com/analytics/company/sz/002629/2629/detail</t>
  </si>
  <si>
    <t>华西能源</t>
  </si>
  <si>
    <t>www.lixinger.com/analytics/company/sz/002630/2630/detail</t>
  </si>
  <si>
    <t>德尔未来</t>
  </si>
  <si>
    <t>www.lixinger.com/analytics/company/sz/002631/2631/detail</t>
  </si>
  <si>
    <t>道明光学</t>
  </si>
  <si>
    <t>www.lixinger.com/analytics/company/sz/002632/2632/detail</t>
  </si>
  <si>
    <t>申科股份</t>
  </si>
  <si>
    <t>www.lixinger.com/analytics/company/sz/002633/2633/detail</t>
  </si>
  <si>
    <t>棒杰股份</t>
  </si>
  <si>
    <t>www.lixinger.com/analytics/company/sz/002634/2634/detail</t>
  </si>
  <si>
    <t>安洁科技</t>
  </si>
  <si>
    <t>www.lixinger.com/analytics/company/sz/002635/2635/detail</t>
  </si>
  <si>
    <t>金安国纪</t>
  </si>
  <si>
    <t>www.lixinger.com/analytics/company/sz/002636/2636/detail</t>
  </si>
  <si>
    <t>赞宇科技</t>
  </si>
  <si>
    <t>www.lixinger.com/analytics/company/sz/002637/2637/detail</t>
  </si>
  <si>
    <t>勤上股份</t>
  </si>
  <si>
    <t>www.lixinger.com/analytics/company/sz/002638/2638/detail</t>
  </si>
  <si>
    <t>雪人股份</t>
  </si>
  <si>
    <t>www.lixinger.com/analytics/company/sz/002639/2639/detail</t>
  </si>
  <si>
    <t>*ST跨境</t>
  </si>
  <si>
    <t>www.lixinger.com/analytics/company/sz/002640/2640/detail</t>
  </si>
  <si>
    <t>公元股份</t>
  </si>
  <si>
    <t>www.lixinger.com/analytics/company/sz/002641/2641/detail</t>
  </si>
  <si>
    <t>荣联科技</t>
  </si>
  <si>
    <t>www.lixinger.com/analytics/company/sz/002642/2642/detail</t>
  </si>
  <si>
    <t>万润股份</t>
  </si>
  <si>
    <t>www.lixinger.com/analytics/company/sz/002643/2643/detail</t>
  </si>
  <si>
    <t>佛慈制药</t>
  </si>
  <si>
    <t>www.lixinger.com/analytics/company/sz/002644/2644/detail</t>
  </si>
  <si>
    <t>华宏科技</t>
  </si>
  <si>
    <t>www.lixinger.com/analytics/company/sz/002645/2645/detail</t>
  </si>
  <si>
    <t>天佑德酒</t>
  </si>
  <si>
    <t>www.lixinger.com/analytics/company/sz/002646/2646/detail</t>
  </si>
  <si>
    <t>仁东控股</t>
  </si>
  <si>
    <t>www.lixinger.com/analytics/company/sz/002647/2647/detail</t>
  </si>
  <si>
    <t>卫星化学</t>
  </si>
  <si>
    <t>www.lixinger.com/analytics/company/sz/002648/2648/detail</t>
  </si>
  <si>
    <t>博彦科技</t>
  </si>
  <si>
    <t>www.lixinger.com/analytics/company/sz/002649/2649/detail</t>
  </si>
  <si>
    <t>加加食品</t>
  </si>
  <si>
    <t>www.lixinger.com/analytics/company/sz/002650/2650/detail</t>
  </si>
  <si>
    <t>利君股份</t>
  </si>
  <si>
    <t>www.lixinger.com/analytics/company/sz/002651/2651/detail</t>
  </si>
  <si>
    <t>扬子新材</t>
  </si>
  <si>
    <t>www.lixinger.com/analytics/company/sz/002652/2652/detail</t>
  </si>
  <si>
    <t>海思科</t>
  </si>
  <si>
    <t>www.lixinger.com/analytics/company/sz/002653/2653/detail</t>
  </si>
  <si>
    <t>万润科技</t>
  </si>
  <si>
    <t>www.lixinger.com/analytics/company/sz/002654/2654/detail</t>
  </si>
  <si>
    <t>共达电声</t>
  </si>
  <si>
    <t>www.lixinger.com/analytics/company/sz/002655/2655/detail</t>
  </si>
  <si>
    <t>ST摩登</t>
  </si>
  <si>
    <t>www.lixinger.com/analytics/company/sz/002656/2656/detail</t>
  </si>
  <si>
    <t>中科金财</t>
  </si>
  <si>
    <t>www.lixinger.com/analytics/company/sz/002657/2657/detail</t>
  </si>
  <si>
    <t>雪迪龙</t>
  </si>
  <si>
    <t>www.lixinger.com/analytics/company/sz/002658/2658/detail</t>
  </si>
  <si>
    <t>凯文教育</t>
  </si>
  <si>
    <t>www.lixinger.com/analytics/company/sz/002659/2659/detail</t>
  </si>
  <si>
    <t>茂硕电源</t>
  </si>
  <si>
    <t>www.lixinger.com/analytics/company/sz/002660/2660/detail</t>
  </si>
  <si>
    <t>克明食品</t>
  </si>
  <si>
    <t>www.lixinger.com/analytics/company/sz/002661/2661/detail</t>
  </si>
  <si>
    <t>京威股份</t>
  </si>
  <si>
    <t>www.lixinger.com/analytics/company/sz/002662/2662/detail</t>
  </si>
  <si>
    <t>普邦股份</t>
  </si>
  <si>
    <t>www.lixinger.com/analytics/company/sz/002663/2663/detail</t>
  </si>
  <si>
    <t>长鹰信质</t>
  </si>
  <si>
    <t>www.lixinger.com/analytics/company/sz/002664/2664/detail</t>
  </si>
  <si>
    <t>首航高科</t>
  </si>
  <si>
    <t>www.lixinger.com/analytics/company/sz/002665/2665/detail</t>
  </si>
  <si>
    <t>德联集团</t>
  </si>
  <si>
    <t>www.lixinger.com/analytics/company/sz/002666/2666/detail</t>
  </si>
  <si>
    <t>鞍重股份</t>
  </si>
  <si>
    <t>www.lixinger.com/analytics/company/sz/002667/2667/detail</t>
  </si>
  <si>
    <t>ST奥马</t>
  </si>
  <si>
    <t>www.lixinger.com/analytics/company/sz/002668/2668/detail</t>
  </si>
  <si>
    <t>康达新材</t>
  </si>
  <si>
    <t>www.lixinger.com/analytics/company/sz/002669/2669/detail</t>
  </si>
  <si>
    <t>国盛金控</t>
  </si>
  <si>
    <t>www.lixinger.com/analytics/company/sz/002670/2670/detail</t>
  </si>
  <si>
    <t>龙泉股份</t>
  </si>
  <si>
    <t>www.lixinger.com/analytics/company/sz/002671/2671/detail</t>
  </si>
  <si>
    <t>东江环保</t>
  </si>
  <si>
    <t>www.lixinger.com/analytics/company/sz/002672/2672/detail</t>
  </si>
  <si>
    <t>西部证券</t>
  </si>
  <si>
    <t>www.lixinger.com/analytics/company/sz/002673/2673/detail</t>
  </si>
  <si>
    <t>兴业科技</t>
  </si>
  <si>
    <t>www.lixinger.com/analytics/company/sz/002674/2674/detail</t>
  </si>
  <si>
    <t>东诚药业</t>
  </si>
  <si>
    <t>www.lixinger.com/analytics/company/sz/002675/2675/detail</t>
  </si>
  <si>
    <t>顺威股份</t>
  </si>
  <si>
    <t>www.lixinger.com/analytics/company/sz/002676/2676/detail</t>
  </si>
  <si>
    <t>浙江美大</t>
  </si>
  <si>
    <t>www.lixinger.com/analytics/company/sz/002677/2677/detail</t>
  </si>
  <si>
    <t>珠江钢琴</t>
  </si>
  <si>
    <t>www.lixinger.com/analytics/company/sz/002678/2678/detail</t>
  </si>
  <si>
    <t>福建金森</t>
  </si>
  <si>
    <t>www.lixinger.com/analytics/company/sz/002679/2679/detail</t>
  </si>
  <si>
    <t>长生退</t>
  </si>
  <si>
    <t>www.lixinger.com/analytics/company/sz/002680/2680/detail</t>
  </si>
  <si>
    <t>奋达科技</t>
  </si>
  <si>
    <t>www.lixinger.com/analytics/company/sz/002681/2681/detail</t>
  </si>
  <si>
    <t>龙洲股份</t>
  </si>
  <si>
    <t>www.lixinger.com/analytics/company/sz/002682/2682/detail</t>
  </si>
  <si>
    <t>广东宏大</t>
  </si>
  <si>
    <t>www.lixinger.com/analytics/company/sz/002683/2683/detail</t>
  </si>
  <si>
    <t>*ST猛狮</t>
  </si>
  <si>
    <t>www.lixinger.com/analytics/company/sz/002684/2684/detail</t>
  </si>
  <si>
    <t>华东重机</t>
  </si>
  <si>
    <t>www.lixinger.com/analytics/company/sz/002685/2685/detail</t>
  </si>
  <si>
    <t>亿利达</t>
  </si>
  <si>
    <t>www.lixinger.com/analytics/company/sz/002686/2686/detail</t>
  </si>
  <si>
    <t>乔治白</t>
  </si>
  <si>
    <t>www.lixinger.com/analytics/company/sz/002687/2687/detail</t>
  </si>
  <si>
    <t>金河生物</t>
  </si>
  <si>
    <t>www.lixinger.com/analytics/company/sz/002688/2688/detail</t>
  </si>
  <si>
    <t>远大智能</t>
  </si>
  <si>
    <t>www.lixinger.com/analytics/company/sz/002689/2689/detail</t>
  </si>
  <si>
    <t>美亚光电</t>
  </si>
  <si>
    <t>www.lixinger.com/analytics/company/sz/002690/2690/detail</t>
  </si>
  <si>
    <t>冀凯股份</t>
  </si>
  <si>
    <t>www.lixinger.com/analytics/company/sz/002691/2691/detail</t>
  </si>
  <si>
    <t>ST远程</t>
  </si>
  <si>
    <t>www.lixinger.com/analytics/company/sz/002692/2692/detail</t>
  </si>
  <si>
    <t>双成药业</t>
  </si>
  <si>
    <t>www.lixinger.com/analytics/company/sz/002693/2693/detail</t>
  </si>
  <si>
    <t>顾地科技</t>
  </si>
  <si>
    <t>www.lixinger.com/analytics/company/sz/002694/2694/detail</t>
  </si>
  <si>
    <t>煌上煌</t>
  </si>
  <si>
    <t>www.lixinger.com/analytics/company/sz/002695/2695/detail</t>
  </si>
  <si>
    <t>百洋股份</t>
  </si>
  <si>
    <t>www.lixinger.com/analytics/company/sz/002696/2696/detail</t>
  </si>
  <si>
    <t>红旗连锁</t>
  </si>
  <si>
    <t>www.lixinger.com/analytics/company/sz/002697/2697/detail</t>
  </si>
  <si>
    <t>博实股份</t>
  </si>
  <si>
    <t>www.lixinger.com/analytics/company/sz/002698/2698/detail</t>
  </si>
  <si>
    <t>美盛文化</t>
  </si>
  <si>
    <t>www.lixinger.com/analytics/company/sz/002699/2699/detail</t>
  </si>
  <si>
    <t>ST浩源</t>
  </si>
  <si>
    <t>www.lixinger.com/analytics/company/sz/002700/2700/detail</t>
  </si>
  <si>
    <t>奥瑞金</t>
  </si>
  <si>
    <t>www.lixinger.com/analytics/company/sz/002701/2701/detail</t>
  </si>
  <si>
    <t>海欣食品</t>
  </si>
  <si>
    <t>www.lixinger.com/analytics/company/sz/002702/2702/detail</t>
  </si>
  <si>
    <t>浙江世宝</t>
  </si>
  <si>
    <t>www.lixinger.com/analytics/company/sz/002703/2703/detail</t>
  </si>
  <si>
    <t>新宝股份</t>
  </si>
  <si>
    <t>www.lixinger.com/analytics/company/sz/002705/2705/detail</t>
  </si>
  <si>
    <t>良信股份</t>
  </si>
  <si>
    <t>www.lixinger.com/analytics/company/sz/002706/2706/detail</t>
  </si>
  <si>
    <t>众信旅游</t>
  </si>
  <si>
    <t>www.lixinger.com/analytics/company/sz/002707/2707/detail</t>
  </si>
  <si>
    <t>光洋股份</t>
  </si>
  <si>
    <t>www.lixinger.com/analytics/company/sz/002708/2708/detail</t>
  </si>
  <si>
    <t>天赐材料</t>
  </si>
  <si>
    <t>www.lixinger.com/analytics/company/sz/002709/2709/detail</t>
  </si>
  <si>
    <t>慈铭体检</t>
  </si>
  <si>
    <t>医疗服务</t>
  </si>
  <si>
    <t>www.lixinger.com/analytics/company/sz/002710/2710/detail</t>
  </si>
  <si>
    <t>欧浦退</t>
  </si>
  <si>
    <t>www.lixinger.com/analytics/company/sz/002711/2711/detail</t>
  </si>
  <si>
    <t>思美传媒</t>
  </si>
  <si>
    <t>www.lixinger.com/analytics/company/sz/002712/2712/detail</t>
  </si>
  <si>
    <t>东易日盛</t>
  </si>
  <si>
    <t>www.lixinger.com/analytics/company/sz/002713/2713/detail</t>
  </si>
  <si>
    <t>牧原股份</t>
  </si>
  <si>
    <t>www.lixinger.com/analytics/company/sz/002714/2714/detail</t>
  </si>
  <si>
    <t>登云股份</t>
  </si>
  <si>
    <t>www.lixinger.com/analytics/company/sz/002715/2715/detail</t>
  </si>
  <si>
    <t>金贵银业</t>
  </si>
  <si>
    <t>www.lixinger.com/analytics/company/sz/002716/2716/detail</t>
  </si>
  <si>
    <t>岭南股份</t>
  </si>
  <si>
    <t>www.lixinger.com/analytics/company/sz/002717/2717/detail</t>
  </si>
  <si>
    <t>友邦吊顶</t>
  </si>
  <si>
    <t>www.lixinger.com/analytics/company/sz/002718/2718/detail</t>
  </si>
  <si>
    <t>麦趣尔</t>
  </si>
  <si>
    <t>www.lixinger.com/analytics/company/sz/002719/2719/detail</t>
  </si>
  <si>
    <t>宏良股份</t>
  </si>
  <si>
    <t>www.lixinger.com/analytics/company/sz/002720/2720/detail</t>
  </si>
  <si>
    <t>金一文化</t>
  </si>
  <si>
    <t>www.lixinger.com/analytics/company/sz/002721/2721/detail</t>
  </si>
  <si>
    <t>金轮股份</t>
  </si>
  <si>
    <t>www.lixinger.com/analytics/company/sz/002722/2722/detail</t>
  </si>
  <si>
    <t>金莱特</t>
  </si>
  <si>
    <t>www.lixinger.com/analytics/company/sz/002723/2723/detail</t>
  </si>
  <si>
    <t>海洋王</t>
  </si>
  <si>
    <t>www.lixinger.com/analytics/company/sz/002724/2724/detail</t>
  </si>
  <si>
    <t>跃岭股份</t>
  </si>
  <si>
    <t>www.lixinger.com/analytics/company/sz/002725/2725/detail</t>
  </si>
  <si>
    <t>龙大美食</t>
  </si>
  <si>
    <t>www.lixinger.com/analytics/company/sz/002726/2726/detail</t>
  </si>
  <si>
    <t>一心堂</t>
  </si>
  <si>
    <t>www.lixinger.com/analytics/company/sz/002727/2727/detail</t>
  </si>
  <si>
    <t>特一药业</t>
  </si>
  <si>
    <t>www.lixinger.com/analytics/company/sz/002728/2728/detail</t>
  </si>
  <si>
    <t>好利科技</t>
  </si>
  <si>
    <t>www.lixinger.com/analytics/company/sz/002729/2729/detail</t>
  </si>
  <si>
    <t>电光科技</t>
  </si>
  <si>
    <t>www.lixinger.com/analytics/company/sz/002730/2730/detail</t>
  </si>
  <si>
    <t>萃华珠宝</t>
  </si>
  <si>
    <t>www.lixinger.com/analytics/company/sz/002731/2731/detail</t>
  </si>
  <si>
    <t>燕塘乳业</t>
  </si>
  <si>
    <t>www.lixinger.com/analytics/company/sz/002732/2732/detail</t>
  </si>
  <si>
    <t>雄韬股份</t>
  </si>
  <si>
    <t>www.lixinger.com/analytics/company/sz/002733/2733/detail</t>
  </si>
  <si>
    <t>利民股份</t>
  </si>
  <si>
    <t>www.lixinger.com/analytics/company/sz/002734/2734/detail</t>
  </si>
  <si>
    <t>王子新材</t>
  </si>
  <si>
    <t>www.lixinger.com/analytics/company/sz/002735/2735/detail</t>
  </si>
  <si>
    <t>国信证券</t>
  </si>
  <si>
    <t>www.lixinger.com/analytics/company/sz/002736/2736/detail</t>
  </si>
  <si>
    <t>葵花药业</t>
  </si>
  <si>
    <t>www.lixinger.com/analytics/company/sz/002737/2737/detail</t>
  </si>
  <si>
    <t>中矿资源</t>
  </si>
  <si>
    <t>www.lixinger.com/analytics/company/sz/002738/2738/detail</t>
  </si>
  <si>
    <t>万达电影</t>
  </si>
  <si>
    <t>www.lixinger.com/analytics/company/sz/002739/2739/detail</t>
  </si>
  <si>
    <t>爱迪尔</t>
  </si>
  <si>
    <t>www.lixinger.com/analytics/company/sz/002740/2740/detail</t>
  </si>
  <si>
    <t>光华科技</t>
  </si>
  <si>
    <t>www.lixinger.com/analytics/company/sz/002741/2741/detail</t>
  </si>
  <si>
    <t>三圣股份</t>
  </si>
  <si>
    <t>www.lixinger.com/analytics/company/sz/002742/2742/detail</t>
  </si>
  <si>
    <t>富煌钢构</t>
  </si>
  <si>
    <t>www.lixinger.com/analytics/company/sz/002743/2743/detail</t>
  </si>
  <si>
    <t>木林森</t>
  </si>
  <si>
    <t>www.lixinger.com/analytics/company/sz/002745/2745/detail</t>
  </si>
  <si>
    <t>仙坛股份</t>
  </si>
  <si>
    <t>www.lixinger.com/analytics/company/sz/002746/2746/detail</t>
  </si>
  <si>
    <t>埃斯顿</t>
  </si>
  <si>
    <t>www.lixinger.com/analytics/company/sz/002747/2747/detail</t>
  </si>
  <si>
    <t>世龙实业</t>
  </si>
  <si>
    <t>www.lixinger.com/analytics/company/sz/002748/2748/detail</t>
  </si>
  <si>
    <t>国光股份</t>
  </si>
  <si>
    <t>www.lixinger.com/analytics/company/sz/002749/2749/detail</t>
  </si>
  <si>
    <t>龙津药业</t>
  </si>
  <si>
    <t>www.lixinger.com/analytics/company/sz/002750/2750/detail</t>
  </si>
  <si>
    <t>易尚展示</t>
  </si>
  <si>
    <t>www.lixinger.com/analytics/company/sz/002751/2751/detail</t>
  </si>
  <si>
    <t>昇兴股份</t>
  </si>
  <si>
    <t>www.lixinger.com/analytics/company/sz/002752/2752/detail</t>
  </si>
  <si>
    <t>永东股份</t>
  </si>
  <si>
    <t>www.lixinger.com/analytics/company/sz/002753/2753/detail</t>
  </si>
  <si>
    <t>奥赛康</t>
  </si>
  <si>
    <t>www.lixinger.com/analytics/company/sz/002755/2755/detail</t>
  </si>
  <si>
    <t>永兴材料</t>
  </si>
  <si>
    <t>www.lixinger.com/analytics/company/sz/002756/2756/detail</t>
  </si>
  <si>
    <t>南兴股份</t>
  </si>
  <si>
    <t>www.lixinger.com/analytics/company/sz/002757/2757/detail</t>
  </si>
  <si>
    <t>浙农股份</t>
  </si>
  <si>
    <t>www.lixinger.com/analytics/company/sz/002758/2758/detail</t>
  </si>
  <si>
    <t>天际股份</t>
  </si>
  <si>
    <t>www.lixinger.com/analytics/company/sz/002759/2759/detail</t>
  </si>
  <si>
    <t>凤形股份</t>
  </si>
  <si>
    <t>www.lixinger.com/analytics/company/sz/002760/2760/detail</t>
  </si>
  <si>
    <t>浙江建投</t>
  </si>
  <si>
    <t>www.lixinger.com/analytics/company/sz/002761/2761/detail</t>
  </si>
  <si>
    <t>金发拉比</t>
  </si>
  <si>
    <t>www.lixinger.com/analytics/company/sz/002762/2762/detail</t>
  </si>
  <si>
    <t>汇洁股份</t>
  </si>
  <si>
    <t>www.lixinger.com/analytics/company/sz/002763/2763/detail</t>
  </si>
  <si>
    <t>蓝黛科技</t>
  </si>
  <si>
    <t>www.lixinger.com/analytics/company/sz/002765/2765/detail</t>
  </si>
  <si>
    <t>*ST索菱</t>
  </si>
  <si>
    <t>www.lixinger.com/analytics/company/sz/002766/2766/detail</t>
  </si>
  <si>
    <t>先锋电子</t>
  </si>
  <si>
    <t>www.lixinger.com/analytics/company/sz/002767/2767/detail</t>
  </si>
  <si>
    <t>国恩股份</t>
  </si>
  <si>
    <t>www.lixinger.com/analytics/company/sz/002768/2768/detail</t>
  </si>
  <si>
    <t>普路通</t>
  </si>
  <si>
    <t>www.lixinger.com/analytics/company/sz/002769/2769/detail</t>
  </si>
  <si>
    <t>*ST科迪</t>
  </si>
  <si>
    <t>www.lixinger.com/analytics/company/sz/002770/2770/detail</t>
  </si>
  <si>
    <t>真视通</t>
  </si>
  <si>
    <t>www.lixinger.com/analytics/company/sz/002771/2771/detail</t>
  </si>
  <si>
    <t>众兴菌业</t>
  </si>
  <si>
    <t>食用菌</t>
  </si>
  <si>
    <t>www.lixinger.com/analytics/company/sz/002772/2772/detail</t>
  </si>
  <si>
    <t>康弘药业</t>
  </si>
  <si>
    <t>www.lixinger.com/analytics/company/sz/002773/2773/detail</t>
  </si>
  <si>
    <t>快意电梯</t>
  </si>
  <si>
    <t>www.lixinger.com/analytics/company/sz/002774/2774/detail</t>
  </si>
  <si>
    <t>文科园林</t>
  </si>
  <si>
    <t>www.lixinger.com/analytics/company/sz/002775/2775/detail</t>
  </si>
  <si>
    <t>ST柏龙</t>
  </si>
  <si>
    <t>www.lixinger.com/analytics/company/sz/002776/2776/detail</t>
  </si>
  <si>
    <t>久远银海</t>
  </si>
  <si>
    <t>www.lixinger.com/analytics/company/sz/002777/2777/detail</t>
  </si>
  <si>
    <t>中晟高科</t>
  </si>
  <si>
    <t>www.lixinger.com/analytics/company/sz/002778/2778/detail</t>
  </si>
  <si>
    <t>中坚科技</t>
  </si>
  <si>
    <t>www.lixinger.com/analytics/company/sz/002779/2779/detail</t>
  </si>
  <si>
    <t>三夫户外</t>
  </si>
  <si>
    <t>www.lixinger.com/analytics/company/sz/002780/2780/detail</t>
  </si>
  <si>
    <t>ST奇信</t>
  </si>
  <si>
    <t>www.lixinger.com/analytics/company/sz/002781/2781/detail</t>
  </si>
  <si>
    <t>可立克</t>
  </si>
  <si>
    <t>www.lixinger.com/analytics/company/sz/002782/2782/detail</t>
  </si>
  <si>
    <t>凯龙股份</t>
  </si>
  <si>
    <t>www.lixinger.com/analytics/company/sz/002783/2783/detail</t>
  </si>
  <si>
    <t>万里石</t>
  </si>
  <si>
    <t>www.lixinger.com/analytics/company/sz/002785/2785/detail</t>
  </si>
  <si>
    <t>银宝山新</t>
  </si>
  <si>
    <t>www.lixinger.com/analytics/company/sz/002786/2786/detail</t>
  </si>
  <si>
    <t>华源控股</t>
  </si>
  <si>
    <t>www.lixinger.com/analytics/company/sz/002787/2787/detail</t>
  </si>
  <si>
    <t>鹭燕医药</t>
  </si>
  <si>
    <t>www.lixinger.com/analytics/company/sz/002788/2788/detail</t>
  </si>
  <si>
    <t>建艺集团</t>
  </si>
  <si>
    <t>www.lixinger.com/analytics/company/sz/002789/2789/detail</t>
  </si>
  <si>
    <t>瑞尔特</t>
  </si>
  <si>
    <t>www.lixinger.com/analytics/company/sz/002790/2790/detail</t>
  </si>
  <si>
    <t>坚朗五金</t>
  </si>
  <si>
    <t>www.lixinger.com/analytics/company/sz/002791/2791/detail</t>
  </si>
  <si>
    <t>通宇通讯</t>
  </si>
  <si>
    <t>www.lixinger.com/analytics/company/sz/002792/2792/detail</t>
  </si>
  <si>
    <t>罗欣药业</t>
  </si>
  <si>
    <t>www.lixinger.com/analytics/company/sz/002793/2793/detail</t>
  </si>
  <si>
    <t>永和智控</t>
  </si>
  <si>
    <t>www.lixinger.com/analytics/company/sz/002795/2795/detail</t>
  </si>
  <si>
    <t>世嘉科技</t>
  </si>
  <si>
    <t>www.lixinger.com/analytics/company/sz/002796/2796/detail</t>
  </si>
  <si>
    <t>第一创业</t>
  </si>
  <si>
    <t>www.lixinger.com/analytics/company/sz/002797/2797/detail</t>
  </si>
  <si>
    <t>帝欧家居</t>
  </si>
  <si>
    <t>www.lixinger.com/analytics/company/sz/002798/2798/detail</t>
  </si>
  <si>
    <t>环球印务</t>
  </si>
  <si>
    <t>www.lixinger.com/analytics/company/sz/002799/2799/detail</t>
  </si>
  <si>
    <t>天顺股份</t>
  </si>
  <si>
    <t>www.lixinger.com/analytics/company/sz/002800/2800/detail</t>
  </si>
  <si>
    <t>微光股份</t>
  </si>
  <si>
    <t>www.lixinger.com/analytics/company/sz/002801/2801/detail</t>
  </si>
  <si>
    <t>洪汇新材</t>
  </si>
  <si>
    <t>www.lixinger.com/analytics/company/sz/002802/2802/detail</t>
  </si>
  <si>
    <t>吉宏股份</t>
  </si>
  <si>
    <t>www.lixinger.com/analytics/company/sz/002803/2803/detail</t>
  </si>
  <si>
    <t>丰元股份</t>
  </si>
  <si>
    <t>www.lixinger.com/analytics/company/sz/002805/2805/detail</t>
  </si>
  <si>
    <t>华锋股份</t>
  </si>
  <si>
    <t>www.lixinger.com/analytics/company/sz/002806/2806/detail</t>
  </si>
  <si>
    <t>江阴银行</t>
  </si>
  <si>
    <t>www.lixinger.com/analytics/company/sz/002807/2807/detail</t>
  </si>
  <si>
    <t>恒久科技</t>
  </si>
  <si>
    <t>www.lixinger.com/analytics/company/sz/002808/2808/detail</t>
  </si>
  <si>
    <t>红墙股份</t>
  </si>
  <si>
    <t>www.lixinger.com/analytics/company/sz/002809/2809/detail</t>
  </si>
  <si>
    <t>山东赫达</t>
  </si>
  <si>
    <t>www.lixinger.com/analytics/company/sz/002810/2810/detail</t>
  </si>
  <si>
    <t>郑中设计</t>
  </si>
  <si>
    <t>www.lixinger.com/analytics/company/sz/002811/2811/detail</t>
  </si>
  <si>
    <t>恩捷股份</t>
  </si>
  <si>
    <t>www.lixinger.com/analytics/company/sz/002812/2812/detail</t>
  </si>
  <si>
    <t>路畅科技</t>
  </si>
  <si>
    <t>www.lixinger.com/analytics/company/sz/002813/2813/detail</t>
  </si>
  <si>
    <t>崇达技术</t>
  </si>
  <si>
    <t>www.lixinger.com/analytics/company/sz/002815/2815/detail</t>
  </si>
  <si>
    <t>和科达</t>
  </si>
  <si>
    <t>www.lixinger.com/analytics/company/sz/002816/2816/detail</t>
  </si>
  <si>
    <t>黄山胶囊</t>
  </si>
  <si>
    <t>www.lixinger.com/analytics/company/sz/002817/2817/detail</t>
  </si>
  <si>
    <t>富森美</t>
  </si>
  <si>
    <t>www.lixinger.com/analytics/company/sz/002818/2818/detail</t>
  </si>
  <si>
    <t>东方中科</t>
  </si>
  <si>
    <t>www.lixinger.com/analytics/company/sz/002819/2819/detail</t>
  </si>
  <si>
    <t>桂发祥</t>
  </si>
  <si>
    <t>www.lixinger.com/analytics/company/sz/002820/2820/detail</t>
  </si>
  <si>
    <t>凯莱英</t>
  </si>
  <si>
    <t>www.lixinger.com/analytics/company/sz/002821/2821/detail</t>
  </si>
  <si>
    <t>中装建设</t>
  </si>
  <si>
    <t>www.lixinger.com/analytics/company/sz/002822/2822/detail</t>
  </si>
  <si>
    <t>凯中精密</t>
  </si>
  <si>
    <t>www.lixinger.com/analytics/company/sz/002823/2823/detail</t>
  </si>
  <si>
    <t>和胜股份</t>
  </si>
  <si>
    <t>www.lixinger.com/analytics/company/sz/002824/2824/detail</t>
  </si>
  <si>
    <t>纳尔股份</t>
  </si>
  <si>
    <t>www.lixinger.com/analytics/company/sz/002825/2825/detail</t>
  </si>
  <si>
    <t>易明医药</t>
  </si>
  <si>
    <t>www.lixinger.com/analytics/company/sz/002826/2826/detail</t>
  </si>
  <si>
    <t>高争民爆</t>
  </si>
  <si>
    <t>www.lixinger.com/analytics/company/sz/002827/2827/detail</t>
  </si>
  <si>
    <t>贝肯能源</t>
  </si>
  <si>
    <t>www.lixinger.com/analytics/company/sz/002828/2828/detail</t>
  </si>
  <si>
    <t>星网宇达</t>
  </si>
  <si>
    <t>www.lixinger.com/analytics/company/sz/002829/2829/detail</t>
  </si>
  <si>
    <t>名雕股份</t>
  </si>
  <si>
    <t>www.lixinger.com/analytics/company/sz/002830/2830/detail</t>
  </si>
  <si>
    <t>裕同科技</t>
  </si>
  <si>
    <t>www.lixinger.com/analytics/company/sz/002831/2831/detail</t>
  </si>
  <si>
    <t>比音勒芬</t>
  </si>
  <si>
    <t>www.lixinger.com/analytics/company/sz/002832/2832/detail</t>
  </si>
  <si>
    <t>弘亚数控</t>
  </si>
  <si>
    <t>www.lixinger.com/analytics/company/sz/002833/2833/detail</t>
  </si>
  <si>
    <t>同为股份</t>
  </si>
  <si>
    <t>www.lixinger.com/analytics/company/sz/002835/2835/detail</t>
  </si>
  <si>
    <t>新宏泽</t>
  </si>
  <si>
    <t>www.lixinger.com/analytics/company/sz/002836/2836/detail</t>
  </si>
  <si>
    <t>英维克</t>
  </si>
  <si>
    <t>www.lixinger.com/analytics/company/sz/002837/2837/detail</t>
  </si>
  <si>
    <t>道恩股份</t>
  </si>
  <si>
    <t>www.lixinger.com/analytics/company/sz/002838/2838/detail</t>
  </si>
  <si>
    <t>张家港行</t>
  </si>
  <si>
    <t>www.lixinger.com/analytics/company/sz/002839/2839/detail</t>
  </si>
  <si>
    <t>华统股份</t>
  </si>
  <si>
    <t>www.lixinger.com/analytics/company/sz/002840/2840/detail</t>
  </si>
  <si>
    <t>视源股份</t>
  </si>
  <si>
    <t>www.lixinger.com/analytics/company/sz/002841/2841/detail</t>
  </si>
  <si>
    <t>翔鹭钨业</t>
  </si>
  <si>
    <t>www.lixinger.com/analytics/company/sz/002842/2842/detail</t>
  </si>
  <si>
    <t>泰嘉股份</t>
  </si>
  <si>
    <t>www.lixinger.com/analytics/company/sz/002843/2843/detail</t>
  </si>
  <si>
    <t>同兴达</t>
  </si>
  <si>
    <t>www.lixinger.com/analytics/company/sz/002845/2845/detail</t>
  </si>
  <si>
    <t>英联股份</t>
  </si>
  <si>
    <t>www.lixinger.com/analytics/company/sz/002846/2846/detail</t>
  </si>
  <si>
    <t>盐津铺子</t>
  </si>
  <si>
    <t>www.lixinger.com/analytics/company/sz/002847/2847/detail</t>
  </si>
  <si>
    <t>高斯贝尔</t>
  </si>
  <si>
    <t>www.lixinger.com/analytics/company/sz/002848/2848/detail</t>
  </si>
  <si>
    <t>威星智能</t>
  </si>
  <si>
    <t>www.lixinger.com/analytics/company/sz/002849/2849/detail</t>
  </si>
  <si>
    <t>科达利</t>
  </si>
  <si>
    <t>www.lixinger.com/analytics/company/sz/002850/2850/detail</t>
  </si>
  <si>
    <t>麦格米特</t>
  </si>
  <si>
    <t>www.lixinger.com/analytics/company/sz/002851/2851/detail</t>
  </si>
  <si>
    <t>道道全</t>
  </si>
  <si>
    <t>www.lixinger.com/analytics/company/sz/002852/2852/detail</t>
  </si>
  <si>
    <t>皮阿诺</t>
  </si>
  <si>
    <t>www.lixinger.com/analytics/company/sz/002853/2853/detail</t>
  </si>
  <si>
    <t>捷荣技术</t>
  </si>
  <si>
    <t>www.lixinger.com/analytics/company/sz/002855/2855/detail</t>
  </si>
  <si>
    <t>美芝股份</t>
  </si>
  <si>
    <t>www.lixinger.com/analytics/company/sz/002856/2856/detail</t>
  </si>
  <si>
    <t>三晖电气</t>
  </si>
  <si>
    <t>www.lixinger.com/analytics/company/sz/002857/2857/detail</t>
  </si>
  <si>
    <t>力盛赛车</t>
  </si>
  <si>
    <t>www.lixinger.com/analytics/company/sz/002858/2858/detail</t>
  </si>
  <si>
    <t>洁美科技</t>
  </si>
  <si>
    <t>www.lixinger.com/analytics/company/sz/002859/2859/detail</t>
  </si>
  <si>
    <t>星帅尔</t>
  </si>
  <si>
    <t>www.lixinger.com/analytics/company/sz/002860/2860/detail</t>
  </si>
  <si>
    <t>瀛通通讯</t>
  </si>
  <si>
    <t>www.lixinger.com/analytics/company/sz/002861/2861/detail</t>
  </si>
  <si>
    <t>实丰文化</t>
  </si>
  <si>
    <t>www.lixinger.com/analytics/company/sz/002862/2862/detail</t>
  </si>
  <si>
    <t>今飞凯达</t>
  </si>
  <si>
    <t>www.lixinger.com/analytics/company/sz/002863/2863/detail</t>
  </si>
  <si>
    <t>盘龙药业</t>
  </si>
  <si>
    <t>www.lixinger.com/analytics/company/sz/002864/2864/detail</t>
  </si>
  <si>
    <t>钧达股份</t>
  </si>
  <si>
    <t>www.lixinger.com/analytics/company/sz/002865/2865/detail</t>
  </si>
  <si>
    <t>传艺科技</t>
  </si>
  <si>
    <t>www.lixinger.com/analytics/company/sz/002866/2866/detail</t>
  </si>
  <si>
    <t>周大生</t>
  </si>
  <si>
    <t>www.lixinger.com/analytics/company/sz/002867/2867/detail</t>
  </si>
  <si>
    <t>绿康生化</t>
  </si>
  <si>
    <t>www.lixinger.com/analytics/company/sz/002868/2868/detail</t>
  </si>
  <si>
    <t>金溢科技</t>
  </si>
  <si>
    <t>www.lixinger.com/analytics/company/sz/002869/2869/detail</t>
  </si>
  <si>
    <t>香山股份</t>
  </si>
  <si>
    <t>www.lixinger.com/analytics/company/sz/002870/2870/detail</t>
  </si>
  <si>
    <t>伟隆股份</t>
  </si>
  <si>
    <t>www.lixinger.com/analytics/company/sz/002871/2871/detail</t>
  </si>
  <si>
    <t>ST天圣</t>
  </si>
  <si>
    <t>www.lixinger.com/analytics/company/sz/002872/2872/detail</t>
  </si>
  <si>
    <t>新天药业</t>
  </si>
  <si>
    <t>www.lixinger.com/analytics/company/sz/002873/2873/detail</t>
  </si>
  <si>
    <t>安奈儿</t>
  </si>
  <si>
    <t>www.lixinger.com/analytics/company/sz/002875/2875/detail</t>
  </si>
  <si>
    <t>三利谱</t>
  </si>
  <si>
    <t>www.lixinger.com/analytics/company/sz/002876/2876/detail</t>
  </si>
  <si>
    <t>智能自控</t>
  </si>
  <si>
    <t>www.lixinger.com/analytics/company/sz/002877/2877/detail</t>
  </si>
  <si>
    <t>元隆雅图</t>
  </si>
  <si>
    <t>www.lixinger.com/analytics/company/sz/002878/2878/detail</t>
  </si>
  <si>
    <t>长缆科技</t>
  </si>
  <si>
    <t>www.lixinger.com/analytics/company/sz/002879/2879/detail</t>
  </si>
  <si>
    <t>卫光生物</t>
  </si>
  <si>
    <t>www.lixinger.com/analytics/company/sz/002880/2880/detail</t>
  </si>
  <si>
    <t>美格智能</t>
  </si>
  <si>
    <t>www.lixinger.com/analytics/company/sz/002881/2881/detail</t>
  </si>
  <si>
    <t>金龙羽</t>
  </si>
  <si>
    <t>www.lixinger.com/analytics/company/sz/002882/2882/detail</t>
  </si>
  <si>
    <t>中设股份</t>
  </si>
  <si>
    <t>www.lixinger.com/analytics/company/sz/002883/2883/detail</t>
  </si>
  <si>
    <t>凌霄泵业</t>
  </si>
  <si>
    <t>www.lixinger.com/analytics/company/sz/002884/2884/detail</t>
  </si>
  <si>
    <t>京泉华</t>
  </si>
  <si>
    <t>www.lixinger.com/analytics/company/sz/002885/2885/detail</t>
  </si>
  <si>
    <t>沃特股份</t>
  </si>
  <si>
    <t>www.lixinger.com/analytics/company/sz/002886/2886/detail</t>
  </si>
  <si>
    <t>绿茵生态</t>
  </si>
  <si>
    <t>www.lixinger.com/analytics/company/sz/002887/2887/detail</t>
  </si>
  <si>
    <t>惠威科技</t>
  </si>
  <si>
    <t>www.lixinger.com/analytics/company/sz/002888/2888/detail</t>
  </si>
  <si>
    <t>东方嘉盛</t>
  </si>
  <si>
    <t>www.lixinger.com/analytics/company/sz/002889/2889/detail</t>
  </si>
  <si>
    <t>弘宇股份</t>
  </si>
  <si>
    <t>www.lixinger.com/analytics/company/sz/002890/2890/detail</t>
  </si>
  <si>
    <t>中宠股份</t>
  </si>
  <si>
    <t>宠物食品</t>
  </si>
  <si>
    <t>www.lixinger.com/analytics/company/sz/002891/2891/detail</t>
  </si>
  <si>
    <t>科力尔</t>
  </si>
  <si>
    <t>www.lixinger.com/analytics/company/sz/002892/2892/detail</t>
  </si>
  <si>
    <t>华通热力</t>
  </si>
  <si>
    <t>www.lixinger.com/analytics/company/sz/002893/2893/detail</t>
  </si>
  <si>
    <t>川恒股份</t>
  </si>
  <si>
    <t>www.lixinger.com/analytics/company/sz/002895/2895/detail</t>
  </si>
  <si>
    <t>中大力德</t>
  </si>
  <si>
    <t>www.lixinger.com/analytics/company/sz/002896/2896/detail</t>
  </si>
  <si>
    <t>意华股份</t>
  </si>
  <si>
    <t>www.lixinger.com/analytics/company/sz/002897/2897/detail</t>
  </si>
  <si>
    <t>赛隆药业</t>
  </si>
  <si>
    <t>www.lixinger.com/analytics/company/sz/002898/2898/detail</t>
  </si>
  <si>
    <t>英派斯</t>
  </si>
  <si>
    <t>www.lixinger.com/analytics/company/sz/002899/2899/detail</t>
  </si>
  <si>
    <t>哈三联</t>
  </si>
  <si>
    <t>www.lixinger.com/analytics/company/sz/002900/2900/detail</t>
  </si>
  <si>
    <t>大博医疗</t>
  </si>
  <si>
    <t>www.lixinger.com/analytics/company/sz/002901/2901/detail</t>
  </si>
  <si>
    <t>铭普光磁</t>
  </si>
  <si>
    <t>www.lixinger.com/analytics/company/sz/002902/2902/detail</t>
  </si>
  <si>
    <t>宇环数控</t>
  </si>
  <si>
    <t>www.lixinger.com/analytics/company/sz/002903/2903/detail</t>
  </si>
  <si>
    <t>金逸影视</t>
  </si>
  <si>
    <t>www.lixinger.com/analytics/company/sz/002905/2905/detail</t>
  </si>
  <si>
    <t>华阳集团</t>
  </si>
  <si>
    <t>www.lixinger.com/analytics/company/sz/002906/2906/detail</t>
  </si>
  <si>
    <t>华森制药</t>
  </si>
  <si>
    <t>www.lixinger.com/analytics/company/sz/002907/2907/detail</t>
  </si>
  <si>
    <t>德生科技</t>
  </si>
  <si>
    <t>www.lixinger.com/analytics/company/sz/002908/2908/detail</t>
  </si>
  <si>
    <t>集泰股份</t>
  </si>
  <si>
    <t>www.lixinger.com/analytics/company/sz/002909/2909/detail</t>
  </si>
  <si>
    <t>庄园牧场</t>
  </si>
  <si>
    <t>www.lixinger.com/analytics/company/sz/002910/2910/detail</t>
  </si>
  <si>
    <t>佛燃能源</t>
  </si>
  <si>
    <t>www.lixinger.com/analytics/company/sz/002911/2911/detail</t>
  </si>
  <si>
    <t>中新赛克</t>
  </si>
  <si>
    <t>www.lixinger.com/analytics/company/sz/002912/2912/detail</t>
  </si>
  <si>
    <t>奥士康</t>
  </si>
  <si>
    <t>www.lixinger.com/analytics/company/sz/002913/2913/detail</t>
  </si>
  <si>
    <t>中欣氟材</t>
  </si>
  <si>
    <t>www.lixinger.com/analytics/company/sz/002915/2915/detail</t>
  </si>
  <si>
    <t>深南电路</t>
  </si>
  <si>
    <t>www.lixinger.com/analytics/company/sz/002916/2916/detail</t>
  </si>
  <si>
    <t>金奥博</t>
  </si>
  <si>
    <t>www.lixinger.com/analytics/company/sz/002917/2917/detail</t>
  </si>
  <si>
    <t>蒙娜丽莎</t>
  </si>
  <si>
    <t>www.lixinger.com/analytics/company/sz/002918/2918/detail</t>
  </si>
  <si>
    <t>名臣健康</t>
  </si>
  <si>
    <t>www.lixinger.com/analytics/company/sz/002919/2919/detail</t>
  </si>
  <si>
    <t>德赛西威</t>
  </si>
  <si>
    <t>www.lixinger.com/analytics/company/sz/002920/2920/detail</t>
  </si>
  <si>
    <t>联诚精密</t>
  </si>
  <si>
    <t>www.lixinger.com/analytics/company/sz/002921/2921/detail</t>
  </si>
  <si>
    <t>伊戈尔</t>
  </si>
  <si>
    <t>www.lixinger.com/analytics/company/sz/002922/2922/detail</t>
  </si>
  <si>
    <t>润都股份</t>
  </si>
  <si>
    <t>www.lixinger.com/analytics/company/sz/002923/2923/detail</t>
  </si>
  <si>
    <t>盈趣科技</t>
  </si>
  <si>
    <t>www.lixinger.com/analytics/company/sz/002925/2925/detail</t>
  </si>
  <si>
    <t>华西证券</t>
  </si>
  <si>
    <t>www.lixinger.com/analytics/company/sz/002926/2926/detail</t>
  </si>
  <si>
    <t>泰永长征</t>
  </si>
  <si>
    <t>www.lixinger.com/analytics/company/sz/002927/2927/detail</t>
  </si>
  <si>
    <t>华夏航空</t>
  </si>
  <si>
    <t>www.lixinger.com/analytics/company/sz/002928/2928/detail</t>
  </si>
  <si>
    <t>润建股份</t>
  </si>
  <si>
    <t>www.lixinger.com/analytics/company/sz/002929/2929/detail</t>
  </si>
  <si>
    <t>宏川智慧</t>
  </si>
  <si>
    <t>www.lixinger.com/analytics/company/sz/002930/2930/detail</t>
  </si>
  <si>
    <t>锋龙股份</t>
  </si>
  <si>
    <t>www.lixinger.com/analytics/company/sz/002931/2931/detail</t>
  </si>
  <si>
    <t>明德生物</t>
  </si>
  <si>
    <t>www.lixinger.com/analytics/company/sz/002932/2932/detail</t>
  </si>
  <si>
    <t>新兴装备</t>
  </si>
  <si>
    <t>www.lixinger.com/analytics/company/sz/002933/2933/detail</t>
  </si>
  <si>
    <t>天奥电子</t>
  </si>
  <si>
    <t>www.lixinger.com/analytics/company/sz/002935/2935/detail</t>
  </si>
  <si>
    <t>郑州银行</t>
  </si>
  <si>
    <t>www.lixinger.com/analytics/company/sz/002936/2936/detail</t>
  </si>
  <si>
    <t>兴瑞科技</t>
  </si>
  <si>
    <t>www.lixinger.com/analytics/company/sz/002937/2937/detail</t>
  </si>
  <si>
    <t>鹏鼎控股</t>
  </si>
  <si>
    <t>www.lixinger.com/analytics/company/sz/002938/2938/detail</t>
  </si>
  <si>
    <t>长城证券</t>
  </si>
  <si>
    <t>www.lixinger.com/analytics/company/sz/002939/2939/detail</t>
  </si>
  <si>
    <t>昂利康</t>
  </si>
  <si>
    <t>www.lixinger.com/analytics/company/sz/002940/2940/detail</t>
  </si>
  <si>
    <t>新疆交建</t>
  </si>
  <si>
    <t>www.lixinger.com/analytics/company/sz/002941/2941/detail</t>
  </si>
  <si>
    <t>新农股份</t>
  </si>
  <si>
    <t>www.lixinger.com/analytics/company/sz/002942/2942/detail</t>
  </si>
  <si>
    <t>宇晶股份</t>
  </si>
  <si>
    <t>www.lixinger.com/analytics/company/sz/002943/2943/detail</t>
  </si>
  <si>
    <t>华林证券</t>
  </si>
  <si>
    <t>www.lixinger.com/analytics/company/sz/002945/2945/detail</t>
  </si>
  <si>
    <t>新乳业</t>
  </si>
  <si>
    <t>www.lixinger.com/analytics/company/sz/002946/2946/detail</t>
  </si>
  <si>
    <t>恒铭达</t>
  </si>
  <si>
    <t>www.lixinger.com/analytics/company/sz/002947/2947/detail</t>
  </si>
  <si>
    <t>青岛银行</t>
  </si>
  <si>
    <t>www.lixinger.com/analytics/company/sz/002948/2948/detail</t>
  </si>
  <si>
    <t>华阳国际</t>
  </si>
  <si>
    <t>www.lixinger.com/analytics/company/sz/002949/2949/detail</t>
  </si>
  <si>
    <t>奥美医疗</t>
  </si>
  <si>
    <t>www.lixinger.com/analytics/company/sz/002950/2950/detail</t>
  </si>
  <si>
    <t>金时科技</t>
  </si>
  <si>
    <t>www.lixinger.com/analytics/company/sz/002951/2951/detail</t>
  </si>
  <si>
    <t>亚世光电</t>
  </si>
  <si>
    <t>www.lixinger.com/analytics/company/sz/002952/2952/detail</t>
  </si>
  <si>
    <t>日丰股份</t>
  </si>
  <si>
    <t>www.lixinger.com/analytics/company/sz/002953/2953/detail</t>
  </si>
  <si>
    <t>鸿合科技</t>
  </si>
  <si>
    <t>www.lixinger.com/analytics/company/sz/002955/2955/detail</t>
  </si>
  <si>
    <t>西麦食品</t>
  </si>
  <si>
    <t>www.lixinger.com/analytics/company/sz/002956/2956/detail</t>
  </si>
  <si>
    <t>科瑞技术</t>
  </si>
  <si>
    <t>www.lixinger.com/analytics/company/sz/002957/2957/detail</t>
  </si>
  <si>
    <t>青农商行</t>
  </si>
  <si>
    <t>www.lixinger.com/analytics/company/sz/002958/2958/detail</t>
  </si>
  <si>
    <t>小熊电器</t>
  </si>
  <si>
    <t>www.lixinger.com/analytics/company/sz/002959/2959/detail</t>
  </si>
  <si>
    <t>青鸟消防</t>
  </si>
  <si>
    <t>www.lixinger.com/analytics/company/sz/002960/2960/detail</t>
  </si>
  <si>
    <t>瑞达期货</t>
  </si>
  <si>
    <t>www.lixinger.com/analytics/company/sz/002961/2961/detail</t>
  </si>
  <si>
    <t>五方光电</t>
  </si>
  <si>
    <t>www.lixinger.com/analytics/company/sz/002962/2962/detail</t>
  </si>
  <si>
    <t>豪尔赛</t>
  </si>
  <si>
    <t>www.lixinger.com/analytics/company/sz/002963/2963/detail</t>
  </si>
  <si>
    <t>祥鑫科技</t>
  </si>
  <si>
    <t>www.lixinger.com/analytics/company/sz/002965/2965/detail</t>
  </si>
  <si>
    <t>苏州银行</t>
  </si>
  <si>
    <t>www.lixinger.com/analytics/company/sz/002966/2966/detail</t>
  </si>
  <si>
    <t>广电计量</t>
  </si>
  <si>
    <t>www.lixinger.com/analytics/company/sz/002967/2967/detail</t>
  </si>
  <si>
    <t>新大正</t>
  </si>
  <si>
    <t>www.lixinger.com/analytics/company/sz/002968/2968/detail</t>
  </si>
  <si>
    <t>嘉美包装</t>
  </si>
  <si>
    <t>www.lixinger.com/analytics/company/sz/002969/2969/detail</t>
  </si>
  <si>
    <t>锐明技术</t>
  </si>
  <si>
    <t>www.lixinger.com/analytics/company/sz/002970/2970/detail</t>
  </si>
  <si>
    <t>和远气体</t>
  </si>
  <si>
    <t>www.lixinger.com/analytics/company/sz/002971/2971/detail</t>
  </si>
  <si>
    <t>科安达</t>
  </si>
  <si>
    <t>www.lixinger.com/analytics/company/sz/002972/2972/detail</t>
  </si>
  <si>
    <t>侨银股份</t>
  </si>
  <si>
    <t>www.lixinger.com/analytics/company/sz/002973/2973/detail</t>
  </si>
  <si>
    <t>博杰股份</t>
  </si>
  <si>
    <t>www.lixinger.com/analytics/company/sz/002975/2975/detail</t>
  </si>
  <si>
    <t>瑞玛精密</t>
  </si>
  <si>
    <t>www.lixinger.com/analytics/company/sz/002976/2976/detail</t>
  </si>
  <si>
    <t>天箭科技</t>
  </si>
  <si>
    <t>www.lixinger.com/analytics/company/sz/002977/2977/detail</t>
  </si>
  <si>
    <t>安宁股份</t>
  </si>
  <si>
    <t>www.lixinger.com/analytics/company/sz/002978/2978/detail</t>
  </si>
  <si>
    <t>雷赛智能</t>
  </si>
  <si>
    <t>www.lixinger.com/analytics/company/sz/002979/2979/detail</t>
  </si>
  <si>
    <t>华盛昌</t>
  </si>
  <si>
    <t>www.lixinger.com/analytics/company/sz/002980/2980/detail</t>
  </si>
  <si>
    <t>朝阳科技</t>
  </si>
  <si>
    <t>www.lixinger.com/analytics/company/sz/002981/2981/detail</t>
  </si>
  <si>
    <t>湘佳股份</t>
  </si>
  <si>
    <t>www.lixinger.com/analytics/company/sz/002982/2982/detail</t>
  </si>
  <si>
    <t>芯瑞达</t>
  </si>
  <si>
    <t>www.lixinger.com/analytics/company/sz/002983/2983/detail</t>
  </si>
  <si>
    <t>森麒麟</t>
  </si>
  <si>
    <t>www.lixinger.com/analytics/company/sz/002984/2984/detail</t>
  </si>
  <si>
    <t>北摩高科</t>
  </si>
  <si>
    <t>www.lixinger.com/analytics/company/sz/002985/2985/detail</t>
  </si>
  <si>
    <t>宇新股份</t>
  </si>
  <si>
    <t>www.lixinger.com/analytics/company/sz/002986/2986/detail</t>
  </si>
  <si>
    <t>京北方</t>
  </si>
  <si>
    <t>www.lixinger.com/analytics/company/sz/002987/2987/detail</t>
  </si>
  <si>
    <t>豪美新材</t>
  </si>
  <si>
    <t>www.lixinger.com/analytics/company/sz/002988/2988/detail</t>
  </si>
  <si>
    <t>中天精装</t>
  </si>
  <si>
    <t>www.lixinger.com/analytics/company/sz/002989/2989/detail</t>
  </si>
  <si>
    <t>盛视科技</t>
  </si>
  <si>
    <t>www.lixinger.com/analytics/company/sz/002990/2990/detail</t>
  </si>
  <si>
    <t>甘源食品</t>
  </si>
  <si>
    <t>www.lixinger.com/analytics/company/sz/002991/2991/detail</t>
  </si>
  <si>
    <t>宝明科技</t>
  </si>
  <si>
    <t>www.lixinger.com/analytics/company/sz/002992/2992/detail</t>
  </si>
  <si>
    <t>奥海科技</t>
  </si>
  <si>
    <t>www.lixinger.com/analytics/company/sz/002993/2993/detail</t>
  </si>
  <si>
    <t>天地在线</t>
  </si>
  <si>
    <t>www.lixinger.com/analytics/company/sz/002995/2995/detail</t>
  </si>
  <si>
    <t>顺博合金</t>
  </si>
  <si>
    <t>www.lixinger.com/analytics/company/sz/002996/2996/detail</t>
  </si>
  <si>
    <t>瑞鹄模具</t>
  </si>
  <si>
    <t>www.lixinger.com/analytics/company/sz/002997/2997/detail</t>
  </si>
  <si>
    <t>优彩资源</t>
  </si>
  <si>
    <t>www.lixinger.com/analytics/company/sz/002998/2998/detail</t>
  </si>
  <si>
    <t>天禾股份</t>
  </si>
  <si>
    <t>www.lixinger.com/analytics/company/sz/002999/2999/detail</t>
  </si>
  <si>
    <t>劲仔食品</t>
  </si>
  <si>
    <t>www.lixinger.com/analytics/company/sz/003000/3000/detail</t>
  </si>
  <si>
    <t>中岩大地</t>
  </si>
  <si>
    <t>www.lixinger.com/analytics/company/sz/003001/3001/detail</t>
  </si>
  <si>
    <t>壶化股份</t>
  </si>
  <si>
    <t>www.lixinger.com/analytics/company/sz/003002/3002/detail</t>
  </si>
  <si>
    <t>天元股份</t>
  </si>
  <si>
    <t>www.lixinger.com/analytics/company/sz/003003/3003/detail</t>
  </si>
  <si>
    <t>声迅股份</t>
  </si>
  <si>
    <t>www.lixinger.com/analytics/company/sz/003004/3004/detail</t>
  </si>
  <si>
    <t>竞业达</t>
  </si>
  <si>
    <t>www.lixinger.com/analytics/company/sz/003005/3005/detail</t>
  </si>
  <si>
    <t>百亚股份</t>
  </si>
  <si>
    <t>www.lixinger.com/analytics/company/sz/003006/3006/detail</t>
  </si>
  <si>
    <t>直真科技</t>
  </si>
  <si>
    <t>www.lixinger.com/analytics/company/sz/003007/3007/detail</t>
  </si>
  <si>
    <t>开普检测</t>
  </si>
  <si>
    <t>www.lixinger.com/analytics/company/sz/003008/3008/detail</t>
  </si>
  <si>
    <t>中天火箭</t>
  </si>
  <si>
    <t>www.lixinger.com/analytics/company/sz/003009/3009/detail</t>
  </si>
  <si>
    <t>若羽臣</t>
  </si>
  <si>
    <t>www.lixinger.com/analytics/company/sz/003010/3010/detail</t>
  </si>
  <si>
    <t>海象新材</t>
  </si>
  <si>
    <t>www.lixinger.com/analytics/company/sz/003011/3011/detail</t>
  </si>
  <si>
    <t>东鹏控股</t>
  </si>
  <si>
    <t>www.lixinger.com/analytics/company/sz/003012/3012/detail</t>
  </si>
  <si>
    <t>地铁设计</t>
  </si>
  <si>
    <t>www.lixinger.com/analytics/company/sz/003013/3013/detail</t>
  </si>
  <si>
    <t>日久光电</t>
  </si>
  <si>
    <t>www.lixinger.com/analytics/company/sz/003015/3015/detail</t>
  </si>
  <si>
    <t>欣贺股份</t>
  </si>
  <si>
    <t>www.lixinger.com/analytics/company/sz/003016/3016/detail</t>
  </si>
  <si>
    <t>大洋生物</t>
  </si>
  <si>
    <t>www.lixinger.com/analytics/company/sz/003017/3017/detail</t>
  </si>
  <si>
    <t>金富科技</t>
  </si>
  <si>
    <t>www.lixinger.com/analytics/company/sz/003018/3018/detail</t>
  </si>
  <si>
    <t>宸展光电</t>
  </si>
  <si>
    <t>www.lixinger.com/analytics/company/sz/003019/3019/detail</t>
  </si>
  <si>
    <t>立方制药</t>
  </si>
  <si>
    <t>www.lixinger.com/analytics/company/sz/003020/3020/detail</t>
  </si>
  <si>
    <t>兆威机电</t>
  </si>
  <si>
    <t>www.lixinger.com/analytics/company/sz/003021/3021/detail</t>
  </si>
  <si>
    <t>联泓新科</t>
  </si>
  <si>
    <t>www.lixinger.com/analytics/company/sz/003022/3022/detail</t>
  </si>
  <si>
    <t>彩虹集团</t>
  </si>
  <si>
    <t>www.lixinger.com/analytics/company/sz/003023/3023/detail</t>
  </si>
  <si>
    <t>思进智能</t>
  </si>
  <si>
    <t>www.lixinger.com/analytics/company/sz/003025/3025/detail</t>
  </si>
  <si>
    <t>中晶科技</t>
  </si>
  <si>
    <t>www.lixinger.com/analytics/company/sz/003026/3026/detail</t>
  </si>
  <si>
    <t>同兴环保</t>
  </si>
  <si>
    <t>www.lixinger.com/analytics/company/sz/003027/3027/detail</t>
  </si>
  <si>
    <t>振邦智能</t>
  </si>
  <si>
    <t>www.lixinger.com/analytics/company/sz/003028/3028/detail</t>
  </si>
  <si>
    <t>吉大正元</t>
  </si>
  <si>
    <t>www.lixinger.com/analytics/company/sz/003029/3029/detail</t>
  </si>
  <si>
    <t>祖名股份</t>
  </si>
  <si>
    <t>www.lixinger.com/analytics/company/sz/003030/3030/detail</t>
  </si>
  <si>
    <t>中瓷电子</t>
  </si>
  <si>
    <t>www.lixinger.com/analytics/company/sz/003031/3031/detail</t>
  </si>
  <si>
    <t>传智教育</t>
  </si>
  <si>
    <t>www.lixinger.com/analytics/company/sz/003032/3032/detail</t>
  </si>
  <si>
    <t>征和工业</t>
  </si>
  <si>
    <t>www.lixinger.com/analytics/company/sz/003033/3033/detail</t>
  </si>
  <si>
    <t>南网能源</t>
  </si>
  <si>
    <t>www.lixinger.com/analytics/company/sz/003035/3035/detail</t>
  </si>
  <si>
    <t>泰坦股份</t>
  </si>
  <si>
    <t>www.lixinger.com/analytics/company/sz/003036/3036/detail</t>
  </si>
  <si>
    <t>三和管桩</t>
  </si>
  <si>
    <t>www.lixinger.com/analytics/company/sz/003037/3037/detail</t>
  </si>
  <si>
    <t>鑫铂股份</t>
  </si>
  <si>
    <t>www.lixinger.com/analytics/company/sz/003038/3038/detail</t>
  </si>
  <si>
    <t>顺控发展</t>
  </si>
  <si>
    <t>www.lixinger.com/analytics/company/sz/003039/3039/detail</t>
  </si>
  <si>
    <t>楚天龙</t>
  </si>
  <si>
    <t>www.lixinger.com/analytics/company/sz/003040/3040/detail</t>
  </si>
  <si>
    <t>真爱美家</t>
  </si>
  <si>
    <t>www.lixinger.com/analytics/company/sz/003041/3041/detail</t>
  </si>
  <si>
    <t>中农联合</t>
  </si>
  <si>
    <t>www.lixinger.com/analytics/company/sz/003042/3042/detail</t>
  </si>
  <si>
    <t>华亚智能</t>
  </si>
  <si>
    <t>www.lixinger.com/analytics/company/sz/003043/3043/detail</t>
  </si>
  <si>
    <t>中国广核</t>
  </si>
  <si>
    <t>www.lixinger.com/analytics/company/sz/003816/3816/detail</t>
  </si>
  <si>
    <t>万科Ｂ</t>
  </si>
  <si>
    <t>www.lixinger.com/analytics/company/sz/200002/200002/detail</t>
  </si>
  <si>
    <t>PT金田Ｂ</t>
  </si>
  <si>
    <t>www.lixinger.com/analytics/company/sz/200003/200003/detail</t>
  </si>
  <si>
    <t>深物业B</t>
  </si>
  <si>
    <t>www.lixinger.com/analytics/company/sz/200011/200011/detail</t>
  </si>
  <si>
    <t>南玻Ｂ</t>
  </si>
  <si>
    <t>www.lixinger.com/analytics/company/sz/200012/200012/detail</t>
  </si>
  <si>
    <t>PT中浩Ｂ</t>
  </si>
  <si>
    <t>www.lixinger.com/analytics/company/sz/200015/200015/detail</t>
  </si>
  <si>
    <t>深康佳Ｂ</t>
  </si>
  <si>
    <t>www.lixinger.com/analytics/company/sz/200016/200016/detail</t>
  </si>
  <si>
    <t>深中华B</t>
  </si>
  <si>
    <t>www.lixinger.com/analytics/company/sz/200017/200017/detail</t>
  </si>
  <si>
    <t>神城B退</t>
  </si>
  <si>
    <t>www.lixinger.com/analytics/company/sz/200018/200018/detail</t>
  </si>
  <si>
    <t>深粮B</t>
  </si>
  <si>
    <t>www.lixinger.com/analytics/company/sz/200019/200019/detail</t>
  </si>
  <si>
    <t>深华发Ｂ</t>
  </si>
  <si>
    <t>www.lixinger.com/analytics/company/sz/200020/200020/detail</t>
  </si>
  <si>
    <t>深赤湾Ｂ</t>
  </si>
  <si>
    <t>www.lixinger.com/analytics/company/sz/200022/200022/detail</t>
  </si>
  <si>
    <t>招商局Ｂ</t>
  </si>
  <si>
    <t>www.lixinger.com/analytics/company/sz/200024/200024/detail</t>
  </si>
  <si>
    <t>特力Ｂ</t>
  </si>
  <si>
    <t>www.lixinger.com/analytics/company/sz/200025/200025/detail</t>
  </si>
  <si>
    <t>飞亚达Ｂ</t>
  </si>
  <si>
    <t>www.lixinger.com/analytics/company/sz/200026/200026/detail</t>
  </si>
  <si>
    <t>一致Ｂ</t>
  </si>
  <si>
    <t>www.lixinger.com/analytics/company/sz/200028/200028/detail</t>
  </si>
  <si>
    <t>深深房Ｂ</t>
  </si>
  <si>
    <t>www.lixinger.com/analytics/company/sz/200029/200029/detail</t>
  </si>
  <si>
    <t>富奥B</t>
  </si>
  <si>
    <t>www.lixinger.com/analytics/company/sz/200030/200030/detail</t>
  </si>
  <si>
    <t>深南电B</t>
  </si>
  <si>
    <t>www.lixinger.com/analytics/company/sz/200037/200037/detail</t>
  </si>
  <si>
    <t>中集Ｂ</t>
  </si>
  <si>
    <t>www.lixinger.com/analytics/company/sz/200039/200039/detail</t>
  </si>
  <si>
    <t>深纺织Ｂ</t>
  </si>
  <si>
    <t>www.lixinger.com/analytics/company/sz/200045/200045/detail</t>
  </si>
  <si>
    <t>深基地Ｂ</t>
  </si>
  <si>
    <t>www.lixinger.com/analytics/company/sz/200053/200053/detail</t>
  </si>
  <si>
    <t>建车B</t>
  </si>
  <si>
    <t>www.lixinger.com/analytics/company/sz/200054/200054/detail</t>
  </si>
  <si>
    <t>方大Ｂ</t>
  </si>
  <si>
    <t>www.lixinger.com/analytics/company/sz/200055/200055/detail</t>
  </si>
  <si>
    <t>皇庭B</t>
  </si>
  <si>
    <t>www.lixinger.com/analytics/company/sz/200056/200056/detail</t>
  </si>
  <si>
    <t>深赛格B</t>
  </si>
  <si>
    <t>www.lixinger.com/analytics/company/sz/200058/200058/detail</t>
  </si>
  <si>
    <t>*ST山航B</t>
  </si>
  <si>
    <t>www.lixinger.com/analytics/company/sz/200152/200152/detail</t>
  </si>
  <si>
    <t>东沣B退</t>
  </si>
  <si>
    <t>www.lixinger.com/analytics/company/sz/200160/200160/detail</t>
  </si>
  <si>
    <t>*ST舜喆B</t>
  </si>
  <si>
    <t>www.lixinger.com/analytics/company/sz/200168/200168/detail</t>
  </si>
  <si>
    <t>东旭B</t>
  </si>
  <si>
    <t>www.lixinger.com/analytics/company/sz/200413/200413/detail</t>
  </si>
  <si>
    <t>小天鹅Ｂ</t>
  </si>
  <si>
    <t>www.lixinger.com/analytics/company/sz/200418/200418/detail</t>
  </si>
  <si>
    <t>粤高速Ｂ</t>
  </si>
  <si>
    <t>www.lixinger.com/analytics/company/sz/200429/200429/detail</t>
  </si>
  <si>
    <t>宁通信B</t>
  </si>
  <si>
    <t>www.lixinger.com/analytics/company/sz/200468/200468/detail</t>
  </si>
  <si>
    <t>晨鸣Ｂ</t>
  </si>
  <si>
    <t>www.lixinger.com/analytics/company/sz/200488/200488/detail</t>
  </si>
  <si>
    <t>京粮B</t>
  </si>
  <si>
    <t>www.lixinger.com/analytics/company/sz/200505/200505/detail</t>
  </si>
  <si>
    <t>闽灿坤Ｂ</t>
  </si>
  <si>
    <t>www.lixinger.com/analytics/company/sz/200512/200512/detail</t>
  </si>
  <si>
    <t>丽珠Ｂ</t>
  </si>
  <si>
    <t>www.lixinger.com/analytics/company/sz/200513/200513/detail</t>
  </si>
  <si>
    <t>虹美菱B</t>
  </si>
  <si>
    <t>www.lixinger.com/analytics/company/sz/200521/200521/detail</t>
  </si>
  <si>
    <t>冰山B</t>
  </si>
  <si>
    <t>www.lixinger.com/analytics/company/sz/200530/200530/detail</t>
  </si>
  <si>
    <t>粤电力Ｂ</t>
  </si>
  <si>
    <t>www.lixinger.com/analytics/company/sz/200539/200539/detail</t>
  </si>
  <si>
    <t>粤照明Ｂ</t>
  </si>
  <si>
    <t>www.lixinger.com/analytics/company/sz/200541/200541/detail</t>
  </si>
  <si>
    <t>江铃Ｂ</t>
  </si>
  <si>
    <t>www.lixinger.com/analytics/company/sz/200550/200550/detail</t>
  </si>
  <si>
    <t>安道麦B</t>
  </si>
  <si>
    <t>www.lixinger.com/analytics/company/sz/200553/200553/detail</t>
  </si>
  <si>
    <t>苏常柴Ｂ</t>
  </si>
  <si>
    <t>www.lixinger.com/analytics/company/sz/200570/200570/detail</t>
  </si>
  <si>
    <t>苏威孚Ｂ</t>
  </si>
  <si>
    <t>www.lixinger.com/analytics/company/sz/200581/200581/detail</t>
  </si>
  <si>
    <t>古井贡Ｂ</t>
  </si>
  <si>
    <t>www.lixinger.com/analytics/company/sz/200596/200596/detail</t>
  </si>
  <si>
    <t>*ST东海B</t>
  </si>
  <si>
    <t>www.lixinger.com/analytics/company/sz/200613/200613/detail</t>
  </si>
  <si>
    <t>长安Ｂ</t>
  </si>
  <si>
    <t>www.lixinger.com/analytics/company/sz/200625/200625/detail</t>
  </si>
  <si>
    <t>瓦轴B</t>
  </si>
  <si>
    <t>www.lixinger.com/analytics/company/sz/200706/200706/detail</t>
  </si>
  <si>
    <t>京东方Ｂ</t>
  </si>
  <si>
    <t>www.lixinger.com/analytics/company/sz/200725/200725/detail</t>
  </si>
  <si>
    <t>鲁泰Ｂ</t>
  </si>
  <si>
    <t>www.lixinger.com/analytics/company/sz/200726/200726/detail</t>
  </si>
  <si>
    <t>本钢板Ｂ</t>
  </si>
  <si>
    <t>www.lixinger.com/analytics/company/sz/200761/200761/detail</t>
  </si>
  <si>
    <t>武锅B退</t>
  </si>
  <si>
    <t>www.lixinger.com/analytics/company/sz/200770/200770/detail</t>
  </si>
  <si>
    <t>杭汽轮Ｂ</t>
  </si>
  <si>
    <t>www.lixinger.com/analytics/company/sz/200771/200771/detail</t>
  </si>
  <si>
    <t>张裕Ｂ</t>
  </si>
  <si>
    <t>www.lixinger.com/analytics/company/sz/200869/200869/detail</t>
  </si>
  <si>
    <t>粤华包Ｂ</t>
  </si>
  <si>
    <t>www.lixinger.com/analytics/company/sz/200986/200986/detail</t>
  </si>
  <si>
    <t>中鲁Ｂ</t>
  </si>
  <si>
    <t>www.lixinger.com/analytics/company/sz/200992/200992/detail</t>
  </si>
  <si>
    <t>招港B</t>
  </si>
  <si>
    <t>www.lixinger.com/analytics/company/sz/201872/201872/detail</t>
  </si>
  <si>
    <t>特锐德</t>
  </si>
  <si>
    <t>www.lixinger.com/analytics/company/sz/300001/300001/detail</t>
  </si>
  <si>
    <t>神州泰岳</t>
  </si>
  <si>
    <t>www.lixinger.com/analytics/company/sz/300002/300002/detail</t>
  </si>
  <si>
    <t>乐普医疗</t>
  </si>
  <si>
    <t>www.lixinger.com/analytics/company/sz/300003/300003/detail</t>
  </si>
  <si>
    <t>南风股份</t>
  </si>
  <si>
    <t>www.lixinger.com/analytics/company/sz/300004/300004/detail</t>
  </si>
  <si>
    <t>探路者</t>
  </si>
  <si>
    <t>www.lixinger.com/analytics/company/sz/300005/300005/detail</t>
  </si>
  <si>
    <t>莱美药业</t>
  </si>
  <si>
    <t>www.lixinger.com/analytics/company/sz/300006/300006/detail</t>
  </si>
  <si>
    <t>汉威科技</t>
  </si>
  <si>
    <t>www.lixinger.com/analytics/company/sz/300007/300007/detail</t>
  </si>
  <si>
    <t>天海防务</t>
  </si>
  <si>
    <t>www.lixinger.com/analytics/company/sz/300008/300008/detail</t>
  </si>
  <si>
    <t>安科生物</t>
  </si>
  <si>
    <t>www.lixinger.com/analytics/company/sz/300009/300009/detail</t>
  </si>
  <si>
    <t>豆神教育</t>
  </si>
  <si>
    <t>www.lixinger.com/analytics/company/sz/300010/300010/detail</t>
  </si>
  <si>
    <t>鼎汉技术</t>
  </si>
  <si>
    <t>www.lixinger.com/analytics/company/sz/300011/300011/detail</t>
  </si>
  <si>
    <t>华测检测</t>
  </si>
  <si>
    <t>www.lixinger.com/analytics/company/sz/300012/300012/detail</t>
  </si>
  <si>
    <t>新宁物流</t>
  </si>
  <si>
    <t>www.lixinger.com/analytics/company/sz/300013/300013/detail</t>
  </si>
  <si>
    <t>亿纬锂能</t>
  </si>
  <si>
    <t>www.lixinger.com/analytics/company/sz/300014/300014/detail</t>
  </si>
  <si>
    <t>爱尔眼科</t>
  </si>
  <si>
    <t>www.lixinger.com/analytics/company/sz/300015/300015/detail</t>
  </si>
  <si>
    <t>北陆药业</t>
  </si>
  <si>
    <t>www.lixinger.com/analytics/company/sz/300016/300016/detail</t>
  </si>
  <si>
    <t>网宿科技</t>
  </si>
  <si>
    <t>www.lixinger.com/analytics/company/sz/300017/300017/detail</t>
  </si>
  <si>
    <t>中元股份</t>
  </si>
  <si>
    <t>www.lixinger.com/analytics/company/sz/300018/300018/detail</t>
  </si>
  <si>
    <t>硅宝科技</t>
  </si>
  <si>
    <t>www.lixinger.com/analytics/company/sz/300019/300019/detail</t>
  </si>
  <si>
    <t>银江技术</t>
  </si>
  <si>
    <t>www.lixinger.com/analytics/company/sz/300020/300020/detail</t>
  </si>
  <si>
    <t>大禹节水</t>
  </si>
  <si>
    <t>www.lixinger.com/analytics/company/sz/300021/300021/detail</t>
  </si>
  <si>
    <t>吉峰科技</t>
  </si>
  <si>
    <t>www.lixinger.com/analytics/company/sz/300022/300022/detail</t>
  </si>
  <si>
    <t>*ST宝德</t>
  </si>
  <si>
    <t>www.lixinger.com/analytics/company/sz/300023/300023/detail</t>
  </si>
  <si>
    <t>www.lixinger.com/analytics/company/sz/300024/300024/detail</t>
  </si>
  <si>
    <t>华星创业</t>
  </si>
  <si>
    <t>www.lixinger.com/analytics/company/sz/300025/300025/detail</t>
  </si>
  <si>
    <t>红日药业</t>
  </si>
  <si>
    <t>www.lixinger.com/analytics/company/sz/300026/300026/detail</t>
  </si>
  <si>
    <t>华谊兄弟</t>
  </si>
  <si>
    <t>www.lixinger.com/analytics/company/sz/300027/300027/detail</t>
  </si>
  <si>
    <t>金亚退</t>
  </si>
  <si>
    <t>www.lixinger.com/analytics/company/sz/300028/300028/detail</t>
  </si>
  <si>
    <t>*ST天龙</t>
  </si>
  <si>
    <t>www.lixinger.com/analytics/company/sz/300029/300029/detail</t>
  </si>
  <si>
    <t>阳普医疗</t>
  </si>
  <si>
    <t>www.lixinger.com/analytics/company/sz/300030/300030/detail</t>
  </si>
  <si>
    <t>宝通科技</t>
  </si>
  <si>
    <t>www.lixinger.com/analytics/company/sz/300031/300031/detail</t>
  </si>
  <si>
    <t>金龙机电</t>
  </si>
  <si>
    <t>www.lixinger.com/analytics/company/sz/300032/300032/detail</t>
  </si>
  <si>
    <t>同花顺</t>
  </si>
  <si>
    <t>www.lixinger.com/analytics/company/sz/300033/300033/detail</t>
  </si>
  <si>
    <t>钢研高纳</t>
  </si>
  <si>
    <t>www.lixinger.com/analytics/company/sz/300034/300034/detail</t>
  </si>
  <si>
    <t>中科电气</t>
  </si>
  <si>
    <t>www.lixinger.com/analytics/company/sz/300035/300035/detail</t>
  </si>
  <si>
    <t>超图软件</t>
  </si>
  <si>
    <t>www.lixinger.com/analytics/company/sz/300036/300036/detail</t>
  </si>
  <si>
    <t>新宙邦</t>
  </si>
  <si>
    <t>www.lixinger.com/analytics/company/sz/300037/300037/detail</t>
  </si>
  <si>
    <t>*ST数知</t>
  </si>
  <si>
    <t>www.lixinger.com/analytics/company/sz/300038/300038/detail</t>
  </si>
  <si>
    <t>上海凯宝</t>
  </si>
  <si>
    <t>www.lixinger.com/analytics/company/sz/300039/300039/detail</t>
  </si>
  <si>
    <t>九洲集团</t>
  </si>
  <si>
    <t>www.lixinger.com/analytics/company/sz/300040/300040/detail</t>
  </si>
  <si>
    <t>回天新材</t>
  </si>
  <si>
    <t>www.lixinger.com/analytics/company/sz/300041/300041/detail</t>
  </si>
  <si>
    <t>朗科科技</t>
  </si>
  <si>
    <t>www.lixinger.com/analytics/company/sz/300042/300042/detail</t>
  </si>
  <si>
    <t>星辉娱乐</t>
  </si>
  <si>
    <t>www.lixinger.com/analytics/company/sz/300043/300043/detail</t>
  </si>
  <si>
    <t>*ST赛为</t>
  </si>
  <si>
    <t>www.lixinger.com/analytics/company/sz/300044/300044/detail</t>
  </si>
  <si>
    <t>华力创通</t>
  </si>
  <si>
    <t>www.lixinger.com/analytics/company/sz/300045/300045/detail</t>
  </si>
  <si>
    <t>台基股份</t>
  </si>
  <si>
    <t>www.lixinger.com/analytics/company/sz/300046/300046/detail</t>
  </si>
  <si>
    <t>天源迪科</t>
  </si>
  <si>
    <t>www.lixinger.com/analytics/company/sz/300047/300047/detail</t>
  </si>
  <si>
    <t>合康新能</t>
  </si>
  <si>
    <t>www.lixinger.com/analytics/company/sz/300048/300048/detail</t>
  </si>
  <si>
    <t>福瑞股份</t>
  </si>
  <si>
    <t>www.lixinger.com/analytics/company/sz/300049/300049/detail</t>
  </si>
  <si>
    <t>世纪鼎利</t>
  </si>
  <si>
    <t>www.lixinger.com/analytics/company/sz/300050/300050/detail</t>
  </si>
  <si>
    <t>ST三五</t>
  </si>
  <si>
    <t>www.lixinger.com/analytics/company/sz/300051/300051/detail</t>
  </si>
  <si>
    <t>中青宝</t>
  </si>
  <si>
    <t>www.lixinger.com/analytics/company/sz/300052/300052/detail</t>
  </si>
  <si>
    <t>欧比特</t>
  </si>
  <si>
    <t>www.lixinger.com/analytics/company/sz/300053/300053/detail</t>
  </si>
  <si>
    <t>鼎龙股份</t>
  </si>
  <si>
    <t>www.lixinger.com/analytics/company/sz/300054/300054/detail</t>
  </si>
  <si>
    <t>万邦达</t>
  </si>
  <si>
    <t>www.lixinger.com/analytics/company/sz/300055/300055/detail</t>
  </si>
  <si>
    <t>中创环保</t>
  </si>
  <si>
    <t>www.lixinger.com/analytics/company/sz/300056/300056/detail</t>
  </si>
  <si>
    <t>万顺新材</t>
  </si>
  <si>
    <t>www.lixinger.com/analytics/company/sz/300057/300057/detail</t>
  </si>
  <si>
    <t>蓝色光标</t>
  </si>
  <si>
    <t>www.lixinger.com/analytics/company/sz/300058/300058/detail</t>
  </si>
  <si>
    <t>东方财富</t>
  </si>
  <si>
    <t>www.lixinger.com/analytics/company/sz/300059/300059/detail</t>
  </si>
  <si>
    <t>旗天科技</t>
  </si>
  <si>
    <t>www.lixinger.com/analytics/company/sz/300061/300061/detail</t>
  </si>
  <si>
    <t>中能电气</t>
  </si>
  <si>
    <t>www.lixinger.com/analytics/company/sz/300062/300062/detail</t>
  </si>
  <si>
    <t>天龙集团</t>
  </si>
  <si>
    <t>www.lixinger.com/analytics/company/sz/300063/300063/detail</t>
  </si>
  <si>
    <t>*ST金刚</t>
  </si>
  <si>
    <t>www.lixinger.com/analytics/company/sz/300064/300064/detail</t>
  </si>
  <si>
    <t>海兰信</t>
  </si>
  <si>
    <t>www.lixinger.com/analytics/company/sz/300065/300065/detail</t>
  </si>
  <si>
    <t>三川智慧</t>
  </si>
  <si>
    <t>www.lixinger.com/analytics/company/sz/300066/300066/detail</t>
  </si>
  <si>
    <t>安诺其</t>
  </si>
  <si>
    <t>www.lixinger.com/analytics/company/sz/300067/300067/detail</t>
  </si>
  <si>
    <t>南都电源</t>
  </si>
  <si>
    <t>www.lixinger.com/analytics/company/sz/300068/300068/detail</t>
  </si>
  <si>
    <t>金利华电</t>
  </si>
  <si>
    <t>www.lixinger.com/analytics/company/sz/300069/300069/detail</t>
  </si>
  <si>
    <t>碧水源</t>
  </si>
  <si>
    <t>www.lixinger.com/analytics/company/sz/300070/300070/detail</t>
  </si>
  <si>
    <t>*ST嘉信</t>
  </si>
  <si>
    <t>www.lixinger.com/analytics/company/sz/300071/300071/detail</t>
  </si>
  <si>
    <t>三聚环保</t>
  </si>
  <si>
    <t>www.lixinger.com/analytics/company/sz/300072/300072/detail</t>
  </si>
  <si>
    <t>当升科技</t>
  </si>
  <si>
    <t>www.lixinger.com/analytics/company/sz/300073/300073/detail</t>
  </si>
  <si>
    <t>华平股份</t>
  </si>
  <si>
    <t>www.lixinger.com/analytics/company/sz/300074/300074/detail</t>
  </si>
  <si>
    <t>数字政通</t>
  </si>
  <si>
    <t>www.lixinger.com/analytics/company/sz/300075/300075/detail</t>
  </si>
  <si>
    <t>GQY视讯</t>
  </si>
  <si>
    <t>www.lixinger.com/analytics/company/sz/300076/300076/detail</t>
  </si>
  <si>
    <t>国民技术</t>
  </si>
  <si>
    <t>www.lixinger.com/analytics/company/sz/300077/300077/detail</t>
  </si>
  <si>
    <t>思创医惠</t>
  </si>
  <si>
    <t>www.lixinger.com/analytics/company/sz/300078/300078/detail</t>
  </si>
  <si>
    <t>数码视讯</t>
  </si>
  <si>
    <t>www.lixinger.com/analytics/company/sz/300079/300079/detail</t>
  </si>
  <si>
    <t>易成新能</t>
  </si>
  <si>
    <t>www.lixinger.com/analytics/company/sz/300080/300080/detail</t>
  </si>
  <si>
    <t>恒信东方</t>
  </si>
  <si>
    <t>www.lixinger.com/analytics/company/sz/300081/300081/detail</t>
  </si>
  <si>
    <t>奥克股份</t>
  </si>
  <si>
    <t>www.lixinger.com/analytics/company/sz/300082/300082/detail</t>
  </si>
  <si>
    <t>创世纪</t>
  </si>
  <si>
    <t>www.lixinger.com/analytics/company/sz/300083/300083/detail</t>
  </si>
  <si>
    <t>海默科技</t>
  </si>
  <si>
    <t>www.lixinger.com/analytics/company/sz/300084/300084/detail</t>
  </si>
  <si>
    <t>银之杰</t>
  </si>
  <si>
    <t>www.lixinger.com/analytics/company/sz/300085/300085/detail</t>
  </si>
  <si>
    <t>康芝药业</t>
  </si>
  <si>
    <t>www.lixinger.com/analytics/company/sz/300086/300086/detail</t>
  </si>
  <si>
    <t>荃银高科</t>
  </si>
  <si>
    <t>www.lixinger.com/analytics/company/sz/300087/300087/detail</t>
  </si>
  <si>
    <t>长信科技</t>
  </si>
  <si>
    <t>www.lixinger.com/analytics/company/sz/300088/300088/detail</t>
  </si>
  <si>
    <t>ST文化</t>
  </si>
  <si>
    <t>www.lixinger.com/analytics/company/sz/300089/300089/detail</t>
  </si>
  <si>
    <t>盛运退</t>
  </si>
  <si>
    <t>www.lixinger.com/analytics/company/sz/300090/300090/detail</t>
  </si>
  <si>
    <t>金通灵</t>
  </si>
  <si>
    <t>www.lixinger.com/analytics/company/sz/300091/300091/detail</t>
  </si>
  <si>
    <t>科新机电</t>
  </si>
  <si>
    <t>www.lixinger.com/analytics/company/sz/300092/300092/detail</t>
  </si>
  <si>
    <t>金刚玻璃</t>
  </si>
  <si>
    <t>www.lixinger.com/analytics/company/sz/300093/300093/detail</t>
  </si>
  <si>
    <t>国联水产</t>
  </si>
  <si>
    <t>www.lixinger.com/analytics/company/sz/300094/300094/detail</t>
  </si>
  <si>
    <t>华伍股份</t>
  </si>
  <si>
    <t>www.lixinger.com/analytics/company/sz/300095/300095/detail</t>
  </si>
  <si>
    <t>易联众</t>
  </si>
  <si>
    <t>www.lixinger.com/analytics/company/sz/300096/300096/detail</t>
  </si>
  <si>
    <t>智云股份</t>
  </si>
  <si>
    <t>www.lixinger.com/analytics/company/sz/300097/300097/detail</t>
  </si>
  <si>
    <t>高新兴</t>
  </si>
  <si>
    <t>www.lixinger.com/analytics/company/sz/300098/300098/detail</t>
  </si>
  <si>
    <t>精准信息</t>
  </si>
  <si>
    <t>www.lixinger.com/analytics/company/sz/300099/300099/detail</t>
  </si>
  <si>
    <t>双林股份</t>
  </si>
  <si>
    <t>www.lixinger.com/analytics/company/sz/300100/300100/detail</t>
  </si>
  <si>
    <t>振芯科技</t>
  </si>
  <si>
    <t>www.lixinger.com/analytics/company/sz/300101/300101/detail</t>
  </si>
  <si>
    <t>乾照光电</t>
  </si>
  <si>
    <t>www.lixinger.com/analytics/company/sz/300102/300102/detail</t>
  </si>
  <si>
    <t>达刚控股</t>
  </si>
  <si>
    <t>www.lixinger.com/analytics/company/sz/300103/300103/detail</t>
  </si>
  <si>
    <t>乐视退</t>
  </si>
  <si>
    <t>www.lixinger.com/analytics/company/sz/300104/300104/detail</t>
  </si>
  <si>
    <t>龙源技术</t>
  </si>
  <si>
    <t>www.lixinger.com/analytics/company/sz/300105/300105/detail</t>
  </si>
  <si>
    <t>西部牧业</t>
  </si>
  <si>
    <t>www.lixinger.com/analytics/company/sz/300106/300106/detail</t>
  </si>
  <si>
    <t>建新股份</t>
  </si>
  <si>
    <t>www.lixinger.com/analytics/company/sz/300107/300107/detail</t>
  </si>
  <si>
    <t>吉药控股</t>
  </si>
  <si>
    <t>www.lixinger.com/analytics/company/sz/300108/300108/detail</t>
  </si>
  <si>
    <t>新开源</t>
  </si>
  <si>
    <t>www.lixinger.com/analytics/company/sz/300109/300109/detail</t>
  </si>
  <si>
    <t>华仁药业</t>
  </si>
  <si>
    <t>www.lixinger.com/analytics/company/sz/300110/300110/detail</t>
  </si>
  <si>
    <t>向日葵</t>
  </si>
  <si>
    <t>www.lixinger.com/analytics/company/sz/300111/300111/detail</t>
  </si>
  <si>
    <t>万讯自控</t>
  </si>
  <si>
    <t>www.lixinger.com/analytics/company/sz/300112/300112/detail</t>
  </si>
  <si>
    <t>顺网科技</t>
  </si>
  <si>
    <t>www.lixinger.com/analytics/company/sz/300113/300113/detail</t>
  </si>
  <si>
    <t>中航电测</t>
  </si>
  <si>
    <t>www.lixinger.com/analytics/company/sz/300114/300114/detail</t>
  </si>
  <si>
    <t>长盈精密</t>
  </si>
  <si>
    <t>www.lixinger.com/analytics/company/sz/300115/300115/detail</t>
  </si>
  <si>
    <t>保力新</t>
  </si>
  <si>
    <t>www.lixinger.com/analytics/company/sz/300116/300116/detail</t>
  </si>
  <si>
    <t>嘉寓股份</t>
  </si>
  <si>
    <t>www.lixinger.com/analytics/company/sz/300117/300117/detail</t>
  </si>
  <si>
    <t>东方日升</t>
  </si>
  <si>
    <t>www.lixinger.com/analytics/company/sz/300118/300118/detail</t>
  </si>
  <si>
    <t>瑞普生物</t>
  </si>
  <si>
    <t>www.lixinger.com/analytics/company/sz/300119/300119/detail</t>
  </si>
  <si>
    <t>经纬辉开</t>
  </si>
  <si>
    <t>www.lixinger.com/analytics/company/sz/300120/300120/detail</t>
  </si>
  <si>
    <t>阳谷华泰</t>
  </si>
  <si>
    <t>www.lixinger.com/analytics/company/sz/300121/300121/detail</t>
  </si>
  <si>
    <t>智飞生物</t>
  </si>
  <si>
    <t>www.lixinger.com/analytics/company/sz/300122/300122/detail</t>
  </si>
  <si>
    <t>亚光科技</t>
  </si>
  <si>
    <t>www.lixinger.com/analytics/company/sz/300123/300123/detail</t>
  </si>
  <si>
    <t>汇川技术</t>
  </si>
  <si>
    <t>www.lixinger.com/analytics/company/sz/300124/300124/detail</t>
  </si>
  <si>
    <t>聆达股份</t>
  </si>
  <si>
    <t>www.lixinger.com/analytics/company/sz/300125/300125/detail</t>
  </si>
  <si>
    <t>锐奇股份</t>
  </si>
  <si>
    <t>www.lixinger.com/analytics/company/sz/300126/300126/detail</t>
  </si>
  <si>
    <t>银河磁体</t>
  </si>
  <si>
    <t>www.lixinger.com/analytics/company/sz/300127/300127/detail</t>
  </si>
  <si>
    <t>锦富技术</t>
  </si>
  <si>
    <t>www.lixinger.com/analytics/company/sz/300128/300128/detail</t>
  </si>
  <si>
    <t>泰胜风能</t>
  </si>
  <si>
    <t>www.lixinger.com/analytics/company/sz/300129/300129/detail</t>
  </si>
  <si>
    <t>新国都</t>
  </si>
  <si>
    <t>www.lixinger.com/analytics/company/sz/300130/300130/detail</t>
  </si>
  <si>
    <t>英唐智控</t>
  </si>
  <si>
    <t>www.lixinger.com/analytics/company/sz/300131/300131/detail</t>
  </si>
  <si>
    <t>青松股份</t>
  </si>
  <si>
    <t>www.lixinger.com/analytics/company/sz/300132/300132/detail</t>
  </si>
  <si>
    <t>华策影视</t>
  </si>
  <si>
    <t>www.lixinger.com/analytics/company/sz/300133/300133/detail</t>
  </si>
  <si>
    <t>大富科技</t>
  </si>
  <si>
    <t>www.lixinger.com/analytics/company/sz/300134/300134/detail</t>
  </si>
  <si>
    <t>宝利国际</t>
  </si>
  <si>
    <t>www.lixinger.com/analytics/company/sz/300135/300135/detail</t>
  </si>
  <si>
    <t>信维通信</t>
  </si>
  <si>
    <t>www.lixinger.com/analytics/company/sz/300136/300136/detail</t>
  </si>
  <si>
    <t>先河环保</t>
  </si>
  <si>
    <t>www.lixinger.com/analytics/company/sz/300137/300137/detail</t>
  </si>
  <si>
    <t>晨光生物</t>
  </si>
  <si>
    <t>www.lixinger.com/analytics/company/sz/300138/300138/detail</t>
  </si>
  <si>
    <t>晓程科技</t>
  </si>
  <si>
    <t>www.lixinger.com/analytics/company/sz/300139/300139/detail</t>
  </si>
  <si>
    <t>中环装备</t>
  </si>
  <si>
    <t>www.lixinger.com/analytics/company/sz/300140/300140/detail</t>
  </si>
  <si>
    <t>和顺电气</t>
  </si>
  <si>
    <t>www.lixinger.com/analytics/company/sz/300141/300141/detail</t>
  </si>
  <si>
    <t>沃森生物</t>
  </si>
  <si>
    <t>www.lixinger.com/analytics/company/sz/300142/300142/detail</t>
  </si>
  <si>
    <t>盈康生命</t>
  </si>
  <si>
    <t>www.lixinger.com/analytics/company/sz/300143/300143/detail</t>
  </si>
  <si>
    <t>宋城演艺</t>
  </si>
  <si>
    <t>www.lixinger.com/analytics/company/sz/300144/300144/detail</t>
  </si>
  <si>
    <t>中金环境</t>
  </si>
  <si>
    <t>www.lixinger.com/analytics/company/sz/300145/300145/detail</t>
  </si>
  <si>
    <t>汤臣倍健</t>
  </si>
  <si>
    <t>www.lixinger.com/analytics/company/sz/300146/300146/detail</t>
  </si>
  <si>
    <t>香雪制药</t>
  </si>
  <si>
    <t>www.lixinger.com/analytics/company/sz/300147/300147/detail</t>
  </si>
  <si>
    <t>天舟文化</t>
  </si>
  <si>
    <t>www.lixinger.com/analytics/company/sz/300148/300148/detail</t>
  </si>
  <si>
    <t>睿智医药</t>
  </si>
  <si>
    <t>www.lixinger.com/analytics/company/sz/300149/300149/detail</t>
  </si>
  <si>
    <t>世纪瑞尔</t>
  </si>
  <si>
    <t>www.lixinger.com/analytics/company/sz/300150/300150/detail</t>
  </si>
  <si>
    <t>昌红科技</t>
  </si>
  <si>
    <t>www.lixinger.com/analytics/company/sz/300151/300151/detail</t>
  </si>
  <si>
    <t>科融环境</t>
  </si>
  <si>
    <t>www.lixinger.com/analytics/company/sz/300152/300152/detail</t>
  </si>
  <si>
    <t>科泰电源</t>
  </si>
  <si>
    <t>www.lixinger.com/analytics/company/sz/300153/300153/detail</t>
  </si>
  <si>
    <t>瑞凌股份</t>
  </si>
  <si>
    <t>www.lixinger.com/analytics/company/sz/300154/300154/detail</t>
  </si>
  <si>
    <t>安居宝</t>
  </si>
  <si>
    <t>www.lixinger.com/analytics/company/sz/300155/300155/detail</t>
  </si>
  <si>
    <t>神雾退</t>
  </si>
  <si>
    <t>www.lixinger.com/analytics/company/sz/300156/300156/detail</t>
  </si>
  <si>
    <t>恒泰艾普</t>
  </si>
  <si>
    <t>www.lixinger.com/analytics/company/sz/300157/300157/detail</t>
  </si>
  <si>
    <t>振东制药</t>
  </si>
  <si>
    <t>www.lixinger.com/analytics/company/sz/300158/300158/detail</t>
  </si>
  <si>
    <t>ST新研</t>
  </si>
  <si>
    <t>www.lixinger.com/analytics/company/sz/300159/300159/detail</t>
  </si>
  <si>
    <t>秀强股份</t>
  </si>
  <si>
    <t>www.lixinger.com/analytics/company/sz/300160/300160/detail</t>
  </si>
  <si>
    <t>华中数控</t>
  </si>
  <si>
    <t>www.lixinger.com/analytics/company/sz/300161/300161/detail</t>
  </si>
  <si>
    <t>雷曼光电</t>
  </si>
  <si>
    <t>www.lixinger.com/analytics/company/sz/300162/300162/detail</t>
  </si>
  <si>
    <t>先锋新材</t>
  </si>
  <si>
    <t>www.lixinger.com/analytics/company/sz/300163/300163/detail</t>
  </si>
  <si>
    <t>通源石油</t>
  </si>
  <si>
    <t>www.lixinger.com/analytics/company/sz/300164/300164/detail</t>
  </si>
  <si>
    <t>天瑞仪器</t>
  </si>
  <si>
    <t>www.lixinger.com/analytics/company/sz/300165/300165/detail</t>
  </si>
  <si>
    <t>东方国信</t>
  </si>
  <si>
    <t>www.lixinger.com/analytics/company/sz/300166/300166/detail</t>
  </si>
  <si>
    <t>迪威迅</t>
  </si>
  <si>
    <t>www.lixinger.com/analytics/company/sz/300167/300167/detail</t>
  </si>
  <si>
    <t>万达信息</t>
  </si>
  <si>
    <t>www.lixinger.com/analytics/company/sz/300168/300168/detail</t>
  </si>
  <si>
    <t>天晟新材</t>
  </si>
  <si>
    <t>www.lixinger.com/analytics/company/sz/300169/300169/detail</t>
  </si>
  <si>
    <t>汉得信息</t>
  </si>
  <si>
    <t>www.lixinger.com/analytics/company/sz/300170/300170/detail</t>
  </si>
  <si>
    <t>东富龙</t>
  </si>
  <si>
    <t>www.lixinger.com/analytics/company/sz/300171/300171/detail</t>
  </si>
  <si>
    <t>中电环保</t>
  </si>
  <si>
    <t>www.lixinger.com/analytics/company/sz/300172/300172/detail</t>
  </si>
  <si>
    <t>福能东方</t>
  </si>
  <si>
    <t>www.lixinger.com/analytics/company/sz/300173/300173/detail</t>
  </si>
  <si>
    <t>元力股份</t>
  </si>
  <si>
    <t>www.lixinger.com/analytics/company/sz/300174/300174/detail</t>
  </si>
  <si>
    <t>朗源股份</t>
  </si>
  <si>
    <t>www.lixinger.com/analytics/company/sz/300175/300175/detail</t>
  </si>
  <si>
    <t>派生科技</t>
  </si>
  <si>
    <t>www.lixinger.com/analytics/company/sz/300176/300176/detail</t>
  </si>
  <si>
    <t>中海达</t>
  </si>
  <si>
    <t>www.lixinger.com/analytics/company/sz/300177/300177/detail</t>
  </si>
  <si>
    <t>*ST腾邦</t>
  </si>
  <si>
    <t>www.lixinger.com/analytics/company/sz/300178/300178/detail</t>
  </si>
  <si>
    <t>四方达</t>
  </si>
  <si>
    <t>www.lixinger.com/analytics/company/sz/300179/300179/detail</t>
  </si>
  <si>
    <t>华峰超纤</t>
  </si>
  <si>
    <t>www.lixinger.com/analytics/company/sz/300180/300180/detail</t>
  </si>
  <si>
    <t>佐力药业</t>
  </si>
  <si>
    <t>www.lixinger.com/analytics/company/sz/300181/300181/detail</t>
  </si>
  <si>
    <t>捷成股份</t>
  </si>
  <si>
    <t>www.lixinger.com/analytics/company/sz/300182/300182/detail</t>
  </si>
  <si>
    <t>东软载波</t>
  </si>
  <si>
    <t>www.lixinger.com/analytics/company/sz/300183/300183/detail</t>
  </si>
  <si>
    <t>力源信息</t>
  </si>
  <si>
    <t>www.lixinger.com/analytics/company/sz/300184/300184/detail</t>
  </si>
  <si>
    <t>通裕重工</t>
  </si>
  <si>
    <t>www.lixinger.com/analytics/company/sz/300185/300185/detail</t>
  </si>
  <si>
    <t>大华农</t>
  </si>
  <si>
    <t>www.lixinger.com/analytics/company/sz/300186/300186/detail</t>
  </si>
  <si>
    <t>永清环保</t>
  </si>
  <si>
    <t>www.lixinger.com/analytics/company/sz/300187/300187/detail</t>
  </si>
  <si>
    <t>美亚柏科</t>
  </si>
  <si>
    <t>www.lixinger.com/analytics/company/sz/300188/300188/detail</t>
  </si>
  <si>
    <t>神农科技</t>
  </si>
  <si>
    <t>www.lixinger.com/analytics/company/sz/300189/300189/detail</t>
  </si>
  <si>
    <t>维尔利</t>
  </si>
  <si>
    <t>www.lixinger.com/analytics/company/sz/300190/300190/detail</t>
  </si>
  <si>
    <t>潜能恒信</t>
  </si>
  <si>
    <t>www.lixinger.com/analytics/company/sz/300191/300191/detail</t>
  </si>
  <si>
    <t>科德教育</t>
  </si>
  <si>
    <t>www.lixinger.com/analytics/company/sz/300192/300192/detail</t>
  </si>
  <si>
    <t>佳士科技</t>
  </si>
  <si>
    <t>www.lixinger.com/analytics/company/sz/300193/300193/detail</t>
  </si>
  <si>
    <t>福安药业</t>
  </si>
  <si>
    <t>www.lixinger.com/analytics/company/sz/300194/300194/detail</t>
  </si>
  <si>
    <t>长荣股份</t>
  </si>
  <si>
    <t>www.lixinger.com/analytics/company/sz/300195/300195/detail</t>
  </si>
  <si>
    <t>长海股份</t>
  </si>
  <si>
    <t>www.lixinger.com/analytics/company/sz/300196/300196/detail</t>
  </si>
  <si>
    <t>节能铁汉</t>
  </si>
  <si>
    <t>www.lixinger.com/analytics/company/sz/300197/300197/detail</t>
  </si>
  <si>
    <t>纳川股份</t>
  </si>
  <si>
    <t>www.lixinger.com/analytics/company/sz/300198/300198/detail</t>
  </si>
  <si>
    <t>翰宇药业</t>
  </si>
  <si>
    <t>www.lixinger.com/analytics/company/sz/300199/300199/detail</t>
  </si>
  <si>
    <t>高盟新材</t>
  </si>
  <si>
    <t>www.lixinger.com/analytics/company/sz/300200/300200/detail</t>
  </si>
  <si>
    <t>*ST海伦</t>
  </si>
  <si>
    <t>www.lixinger.com/analytics/company/sz/300201/300201/detail</t>
  </si>
  <si>
    <t>*ST聚龙</t>
  </si>
  <si>
    <t>www.lixinger.com/analytics/company/sz/300202/300202/detail</t>
  </si>
  <si>
    <t>聚光科技</t>
  </si>
  <si>
    <t>www.lixinger.com/analytics/company/sz/300203/300203/detail</t>
  </si>
  <si>
    <t>舒泰神</t>
  </si>
  <si>
    <t>www.lixinger.com/analytics/company/sz/300204/300204/detail</t>
  </si>
  <si>
    <t>天喻信息</t>
  </si>
  <si>
    <t>www.lixinger.com/analytics/company/sz/300205/300205/detail</t>
  </si>
  <si>
    <t>理邦仪器</t>
  </si>
  <si>
    <t>www.lixinger.com/analytics/company/sz/300206/300206/detail</t>
  </si>
  <si>
    <t>欣旺达</t>
  </si>
  <si>
    <t>www.lixinger.com/analytics/company/sz/300207/300207/detail</t>
  </si>
  <si>
    <t>青岛中程</t>
  </si>
  <si>
    <t>www.lixinger.com/analytics/company/sz/300208/300208/detail</t>
  </si>
  <si>
    <t>天泽信息</t>
  </si>
  <si>
    <t>www.lixinger.com/analytics/company/sz/300209/300209/detail</t>
  </si>
  <si>
    <t>森远股份</t>
  </si>
  <si>
    <t>www.lixinger.com/analytics/company/sz/300210/300210/detail</t>
  </si>
  <si>
    <t>亿通科技</t>
  </si>
  <si>
    <t>www.lixinger.com/analytics/company/sz/300211/300211/detail</t>
  </si>
  <si>
    <t>易华录</t>
  </si>
  <si>
    <t>www.lixinger.com/analytics/company/sz/300212/300212/detail</t>
  </si>
  <si>
    <t>佳讯飞鸿</t>
  </si>
  <si>
    <t>www.lixinger.com/analytics/company/sz/300213/300213/detail</t>
  </si>
  <si>
    <t>日科化学</t>
  </si>
  <si>
    <t>www.lixinger.com/analytics/company/sz/300214/300214/detail</t>
  </si>
  <si>
    <t>电科院</t>
  </si>
  <si>
    <t>www.lixinger.com/analytics/company/sz/300215/300215/detail</t>
  </si>
  <si>
    <t>千山退</t>
  </si>
  <si>
    <t>www.lixinger.com/analytics/company/sz/300216/300216/detail</t>
  </si>
  <si>
    <t>东方电热</t>
  </si>
  <si>
    <t>www.lixinger.com/analytics/company/sz/300217/300217/detail</t>
  </si>
  <si>
    <t>安利股份</t>
  </si>
  <si>
    <t>www.lixinger.com/analytics/company/sz/300218/300218/detail</t>
  </si>
  <si>
    <t>鸿利智汇</t>
  </si>
  <si>
    <t>www.lixinger.com/analytics/company/sz/300219/300219/detail</t>
  </si>
  <si>
    <t>金运激光</t>
  </si>
  <si>
    <t>www.lixinger.com/analytics/company/sz/300220/300220/detail</t>
  </si>
  <si>
    <t>银禧科技</t>
  </si>
  <si>
    <t>www.lixinger.com/analytics/company/sz/300221/300221/detail</t>
  </si>
  <si>
    <t>科大智能</t>
  </si>
  <si>
    <t>www.lixinger.com/analytics/company/sz/300222/300222/detail</t>
  </si>
  <si>
    <t>北京君正</t>
  </si>
  <si>
    <t>www.lixinger.com/analytics/company/sz/300223/300223/detail</t>
  </si>
  <si>
    <t>正海磁材</t>
  </si>
  <si>
    <t>www.lixinger.com/analytics/company/sz/300224/300224/detail</t>
  </si>
  <si>
    <t>金力泰</t>
  </si>
  <si>
    <t>www.lixinger.com/analytics/company/sz/300225/300225/detail</t>
  </si>
  <si>
    <t>上海钢联</t>
  </si>
  <si>
    <t>www.lixinger.com/analytics/company/sz/300226/300226/detail</t>
  </si>
  <si>
    <t>光韵达</t>
  </si>
  <si>
    <t>www.lixinger.com/analytics/company/sz/300227/300227/detail</t>
  </si>
  <si>
    <t>富瑞特装</t>
  </si>
  <si>
    <t>www.lixinger.com/analytics/company/sz/300228/300228/detail</t>
  </si>
  <si>
    <t>拓尔思</t>
  </si>
  <si>
    <t>www.lixinger.com/analytics/company/sz/300229/300229/detail</t>
  </si>
  <si>
    <t>永利股份</t>
  </si>
  <si>
    <t>www.lixinger.com/analytics/company/sz/300230/300230/detail</t>
  </si>
  <si>
    <t>银信科技</t>
  </si>
  <si>
    <t>www.lixinger.com/analytics/company/sz/300231/300231/detail</t>
  </si>
  <si>
    <t>洲明科技</t>
  </si>
  <si>
    <t>www.lixinger.com/analytics/company/sz/300232/300232/detail</t>
  </si>
  <si>
    <t>金城医药</t>
  </si>
  <si>
    <t>www.lixinger.com/analytics/company/sz/300233/300233/detail</t>
  </si>
  <si>
    <t>开尔新材</t>
  </si>
  <si>
    <t>www.lixinger.com/analytics/company/sz/300234/300234/detail</t>
  </si>
  <si>
    <t>方直科技</t>
  </si>
  <si>
    <t>www.lixinger.com/analytics/company/sz/300235/300235/detail</t>
  </si>
  <si>
    <t>上海新阳</t>
  </si>
  <si>
    <t>www.lixinger.com/analytics/company/sz/300236/300236/detail</t>
  </si>
  <si>
    <t>美晨生态</t>
  </si>
  <si>
    <t>www.lixinger.com/analytics/company/sz/300237/300237/detail</t>
  </si>
  <si>
    <t>冠昊生物</t>
  </si>
  <si>
    <t>www.lixinger.com/analytics/company/sz/300238/300238/detail</t>
  </si>
  <si>
    <t>东宝生物</t>
  </si>
  <si>
    <t>www.lixinger.com/analytics/company/sz/300239/300239/detail</t>
  </si>
  <si>
    <t>飞力达</t>
  </si>
  <si>
    <t>www.lixinger.com/analytics/company/sz/300240/300240/detail</t>
  </si>
  <si>
    <t>瑞丰光电</t>
  </si>
  <si>
    <t>www.lixinger.com/analytics/company/sz/300241/300241/detail</t>
  </si>
  <si>
    <t>佳云科技</t>
  </si>
  <si>
    <t>www.lixinger.com/analytics/company/sz/300242/300242/detail</t>
  </si>
  <si>
    <t>瑞丰高材</t>
  </si>
  <si>
    <t>www.lixinger.com/analytics/company/sz/300243/300243/detail</t>
  </si>
  <si>
    <t>迪安诊断</t>
  </si>
  <si>
    <t>www.lixinger.com/analytics/company/sz/300244/300244/detail</t>
  </si>
  <si>
    <t>天玑科技</t>
  </si>
  <si>
    <t>www.lixinger.com/analytics/company/sz/300245/300245/detail</t>
  </si>
  <si>
    <t>宝莱特</t>
  </si>
  <si>
    <t>www.lixinger.com/analytics/company/sz/300246/300246/detail</t>
  </si>
  <si>
    <t>融捷健康</t>
  </si>
  <si>
    <t>www.lixinger.com/analytics/company/sz/300247/300247/detail</t>
  </si>
  <si>
    <t>新开普</t>
  </si>
  <si>
    <t>www.lixinger.com/analytics/company/sz/300248/300248/detail</t>
  </si>
  <si>
    <t>依米康</t>
  </si>
  <si>
    <t>www.lixinger.com/analytics/company/sz/300249/300249/detail</t>
  </si>
  <si>
    <t>初灵信息</t>
  </si>
  <si>
    <t>www.lixinger.com/analytics/company/sz/300250/300250/detail</t>
  </si>
  <si>
    <t>光线传媒</t>
  </si>
  <si>
    <t>www.lixinger.com/analytics/company/sz/300251/300251/detail</t>
  </si>
  <si>
    <t>金信诺</t>
  </si>
  <si>
    <t>www.lixinger.com/analytics/company/sz/300252/300252/detail</t>
  </si>
  <si>
    <t>卫宁健康</t>
  </si>
  <si>
    <t>www.lixinger.com/analytics/company/sz/300253/300253/detail</t>
  </si>
  <si>
    <t>仟源医药</t>
  </si>
  <si>
    <t>www.lixinger.com/analytics/company/sz/300254/300254/detail</t>
  </si>
  <si>
    <t>常山药业</t>
  </si>
  <si>
    <t>www.lixinger.com/analytics/company/sz/300255/300255/detail</t>
  </si>
  <si>
    <t>*ST星星</t>
  </si>
  <si>
    <t>www.lixinger.com/analytics/company/sz/300256/300256/detail</t>
  </si>
  <si>
    <t>开山股份</t>
  </si>
  <si>
    <t>www.lixinger.com/analytics/company/sz/300257/300257/detail</t>
  </si>
  <si>
    <t>精锻科技</t>
  </si>
  <si>
    <t>www.lixinger.com/analytics/company/sz/300258/300258/detail</t>
  </si>
  <si>
    <t>新天科技</t>
  </si>
  <si>
    <t>www.lixinger.com/analytics/company/sz/300259/300259/detail</t>
  </si>
  <si>
    <t>新莱应材</t>
  </si>
  <si>
    <t>www.lixinger.com/analytics/company/sz/300260/300260/detail</t>
  </si>
  <si>
    <t>雅本化学</t>
  </si>
  <si>
    <t>www.lixinger.com/analytics/company/sz/300261/300261/detail</t>
  </si>
  <si>
    <t>巴安水务</t>
  </si>
  <si>
    <t>www.lixinger.com/analytics/company/sz/300262/300262/detail</t>
  </si>
  <si>
    <t>隆华科技</t>
  </si>
  <si>
    <t>www.lixinger.com/analytics/company/sz/300263/300263/detail</t>
  </si>
  <si>
    <t>佳创视讯</t>
  </si>
  <si>
    <t>www.lixinger.com/analytics/company/sz/300264/300264/detail</t>
  </si>
  <si>
    <t>通光线缆</t>
  </si>
  <si>
    <t>www.lixinger.com/analytics/company/sz/300265/300265/detail</t>
  </si>
  <si>
    <t>兴源环境</t>
  </si>
  <si>
    <t>www.lixinger.com/analytics/company/sz/300266/300266/detail</t>
  </si>
  <si>
    <t>尔康制药</t>
  </si>
  <si>
    <t>www.lixinger.com/analytics/company/sz/300267/300267/detail</t>
  </si>
  <si>
    <t>佳沃食品</t>
  </si>
  <si>
    <t>www.lixinger.com/analytics/company/sz/300268/300268/detail</t>
  </si>
  <si>
    <t>ST联建</t>
  </si>
  <si>
    <t>www.lixinger.com/analytics/company/sz/300269/300269/detail</t>
  </si>
  <si>
    <t>中威电子</t>
  </si>
  <si>
    <t>www.lixinger.com/analytics/company/sz/300270/300270/detail</t>
  </si>
  <si>
    <t>华宇软件</t>
  </si>
  <si>
    <t>www.lixinger.com/analytics/company/sz/300271/300271/detail</t>
  </si>
  <si>
    <t>开能健康</t>
  </si>
  <si>
    <t>www.lixinger.com/analytics/company/sz/300272/300272/detail</t>
  </si>
  <si>
    <t>ST和佳</t>
  </si>
  <si>
    <t>www.lixinger.com/analytics/company/sz/300273/300273/detail</t>
  </si>
  <si>
    <t>阳光电源</t>
  </si>
  <si>
    <t>www.lixinger.com/analytics/company/sz/300274/300274/detail</t>
  </si>
  <si>
    <t>梅安森</t>
  </si>
  <si>
    <t>www.lixinger.com/analytics/company/sz/300275/300275/detail</t>
  </si>
  <si>
    <t>三丰智能</t>
  </si>
  <si>
    <t>www.lixinger.com/analytics/company/sz/300276/300276/detail</t>
  </si>
  <si>
    <t>海联讯</t>
  </si>
  <si>
    <t>www.lixinger.com/analytics/company/sz/300277/300277/detail</t>
  </si>
  <si>
    <t>*ST华昌</t>
  </si>
  <si>
    <t>www.lixinger.com/analytics/company/sz/300278/300278/detail</t>
  </si>
  <si>
    <t>和晶科技</t>
  </si>
  <si>
    <t>www.lixinger.com/analytics/company/sz/300279/300279/detail</t>
  </si>
  <si>
    <t>紫天科技</t>
  </si>
  <si>
    <t>www.lixinger.com/analytics/company/sz/300280/300280/detail</t>
  </si>
  <si>
    <t>金明精机</t>
  </si>
  <si>
    <t>www.lixinger.com/analytics/company/sz/300281/300281/detail</t>
  </si>
  <si>
    <t>三盛教育</t>
  </si>
  <si>
    <t>www.lixinger.com/analytics/company/sz/300282/300282/detail</t>
  </si>
  <si>
    <t>温州宏丰</t>
  </si>
  <si>
    <t>www.lixinger.com/analytics/company/sz/300283/300283/detail</t>
  </si>
  <si>
    <t>苏交科</t>
  </si>
  <si>
    <t>www.lixinger.com/analytics/company/sz/300284/300284/detail</t>
  </si>
  <si>
    <t>国瓷材料</t>
  </si>
  <si>
    <t>www.lixinger.com/analytics/company/sz/300285/300285/detail</t>
  </si>
  <si>
    <t>安科瑞</t>
  </si>
  <si>
    <t>www.lixinger.com/analytics/company/sz/300286/300286/detail</t>
  </si>
  <si>
    <t>飞利信</t>
  </si>
  <si>
    <t>www.lixinger.com/analytics/company/sz/300287/300287/detail</t>
  </si>
  <si>
    <t>朗玛信息</t>
  </si>
  <si>
    <t>www.lixinger.com/analytics/company/sz/300288/300288/detail</t>
  </si>
  <si>
    <t>利德曼</t>
  </si>
  <si>
    <t>www.lixinger.com/analytics/company/sz/300289/300289/detail</t>
  </si>
  <si>
    <t>荣科科技</t>
  </si>
  <si>
    <t>www.lixinger.com/analytics/company/sz/300290/300290/detail</t>
  </si>
  <si>
    <t>华录百纳</t>
  </si>
  <si>
    <t>www.lixinger.com/analytics/company/sz/300291/300291/detail</t>
  </si>
  <si>
    <t>吴通控股</t>
  </si>
  <si>
    <t>www.lixinger.com/analytics/company/sz/300292/300292/detail</t>
  </si>
  <si>
    <t>蓝英装备</t>
  </si>
  <si>
    <t>www.lixinger.com/analytics/company/sz/300293/300293/detail</t>
  </si>
  <si>
    <t>博雅生物</t>
  </si>
  <si>
    <t>www.lixinger.com/analytics/company/sz/300294/300294/detail</t>
  </si>
  <si>
    <t>三六五网</t>
  </si>
  <si>
    <t>www.lixinger.com/analytics/company/sz/300295/300295/detail</t>
  </si>
  <si>
    <t>利亚德</t>
  </si>
  <si>
    <t>www.lixinger.com/analytics/company/sz/300296/300296/detail</t>
  </si>
  <si>
    <t>*ST蓝盾</t>
  </si>
  <si>
    <t>www.lixinger.com/analytics/company/sz/300297/300297/detail</t>
  </si>
  <si>
    <t>三诺生物</t>
  </si>
  <si>
    <t>www.lixinger.com/analytics/company/sz/300298/300298/detail</t>
  </si>
  <si>
    <t>富春股份</t>
  </si>
  <si>
    <t>www.lixinger.com/analytics/company/sz/300299/300299/detail</t>
  </si>
  <si>
    <t>海峡创新</t>
  </si>
  <si>
    <t>www.lixinger.com/analytics/company/sz/300300/300300/detail</t>
  </si>
  <si>
    <t>长方集团</t>
  </si>
  <si>
    <t>www.lixinger.com/analytics/company/sz/300301/300301/detail</t>
  </si>
  <si>
    <t>同有科技</t>
  </si>
  <si>
    <t>www.lixinger.com/analytics/company/sz/300302/300302/detail</t>
  </si>
  <si>
    <t>聚飞光电</t>
  </si>
  <si>
    <t>www.lixinger.com/analytics/company/sz/300303/300303/detail</t>
  </si>
  <si>
    <t>云意电气</t>
  </si>
  <si>
    <t>www.lixinger.com/analytics/company/sz/300304/300304/detail</t>
  </si>
  <si>
    <t>裕兴股份</t>
  </si>
  <si>
    <t>www.lixinger.com/analytics/company/sz/300305/300305/detail</t>
  </si>
  <si>
    <t>远方信息</t>
  </si>
  <si>
    <t>www.lixinger.com/analytics/company/sz/300306/300306/detail</t>
  </si>
  <si>
    <t>慈星股份</t>
  </si>
  <si>
    <t>www.lixinger.com/analytics/company/sz/300307/300307/detail</t>
  </si>
  <si>
    <t>中际旭创</t>
  </si>
  <si>
    <t>www.lixinger.com/analytics/company/sz/300308/300308/detail</t>
  </si>
  <si>
    <t>*ST吉艾</t>
  </si>
  <si>
    <t>www.lixinger.com/analytics/company/sz/300309/300309/detail</t>
  </si>
  <si>
    <t>宜通世纪</t>
  </si>
  <si>
    <t>www.lixinger.com/analytics/company/sz/300310/300310/detail</t>
  </si>
  <si>
    <t>任子行</t>
  </si>
  <si>
    <t>www.lixinger.com/analytics/company/sz/300311/300311/detail</t>
  </si>
  <si>
    <t>*ST邦讯</t>
  </si>
  <si>
    <t>www.lixinger.com/analytics/company/sz/300312/300312/detail</t>
  </si>
  <si>
    <t>ST天山</t>
  </si>
  <si>
    <t>www.lixinger.com/analytics/company/sz/300313/300313/detail</t>
  </si>
  <si>
    <t>戴维医疗</t>
  </si>
  <si>
    <t>www.lixinger.com/analytics/company/sz/300314/300314/detail</t>
  </si>
  <si>
    <t>掌趣科技</t>
  </si>
  <si>
    <t>www.lixinger.com/analytics/company/sz/300315/300315/detail</t>
  </si>
  <si>
    <t>晶盛机电</t>
  </si>
  <si>
    <t>www.lixinger.com/analytics/company/sz/300316/300316/detail</t>
  </si>
  <si>
    <t>珈伟新能</t>
  </si>
  <si>
    <t>www.lixinger.com/analytics/company/sz/300317/300317/detail</t>
  </si>
  <si>
    <t>博晖创新</t>
  </si>
  <si>
    <t>www.lixinger.com/analytics/company/sz/300318/300318/detail</t>
  </si>
  <si>
    <t>麦捷科技</t>
  </si>
  <si>
    <t>www.lixinger.com/analytics/company/sz/300319/300319/detail</t>
  </si>
  <si>
    <t>海达股份</t>
  </si>
  <si>
    <t>www.lixinger.com/analytics/company/sz/300320/300320/detail</t>
  </si>
  <si>
    <t>同大股份</t>
  </si>
  <si>
    <t>www.lixinger.com/analytics/company/sz/300321/300321/detail</t>
  </si>
  <si>
    <t>硕贝德</t>
  </si>
  <si>
    <t>www.lixinger.com/analytics/company/sz/300322/300322/detail</t>
  </si>
  <si>
    <t>华灿光电</t>
  </si>
  <si>
    <t>www.lixinger.com/analytics/company/sz/300323/300323/detail</t>
  </si>
  <si>
    <t>旋极信息</t>
  </si>
  <si>
    <t>www.lixinger.com/analytics/company/sz/300324/300324/detail</t>
  </si>
  <si>
    <t>*ST德威</t>
  </si>
  <si>
    <t>www.lixinger.com/analytics/company/sz/300325/300325/detail</t>
  </si>
  <si>
    <t>凯利泰</t>
  </si>
  <si>
    <t>www.lixinger.com/analytics/company/sz/300326/300326/detail</t>
  </si>
  <si>
    <t>中颖电子</t>
  </si>
  <si>
    <t>www.lixinger.com/analytics/company/sz/300327/300327/detail</t>
  </si>
  <si>
    <t>宜安科技</t>
  </si>
  <si>
    <t>www.lixinger.com/analytics/company/sz/300328/300328/detail</t>
  </si>
  <si>
    <t>海伦钢琴</t>
  </si>
  <si>
    <t>www.lixinger.com/analytics/company/sz/300329/300329/detail</t>
  </si>
  <si>
    <t>华虹计通</t>
  </si>
  <si>
    <t>www.lixinger.com/analytics/company/sz/300330/300330/detail</t>
  </si>
  <si>
    <t>苏大维格</t>
  </si>
  <si>
    <t>www.lixinger.com/analytics/company/sz/300331/300331/detail</t>
  </si>
  <si>
    <t>天壕环境</t>
  </si>
  <si>
    <t>www.lixinger.com/analytics/company/sz/300332/300332/detail</t>
  </si>
  <si>
    <t>兆日科技</t>
  </si>
  <si>
    <t>www.lixinger.com/analytics/company/sz/300333/300333/detail</t>
  </si>
  <si>
    <t>津膜科技</t>
  </si>
  <si>
    <t>www.lixinger.com/analytics/company/sz/300334/300334/detail</t>
  </si>
  <si>
    <t>迪森股份</t>
  </si>
  <si>
    <t>www.lixinger.com/analytics/company/sz/300335/300335/detail</t>
  </si>
  <si>
    <t>*ST新文</t>
  </si>
  <si>
    <t>www.lixinger.com/analytics/company/sz/300336/300336/detail</t>
  </si>
  <si>
    <t>银邦股份</t>
  </si>
  <si>
    <t>www.lixinger.com/analytics/company/sz/300337/300337/detail</t>
  </si>
  <si>
    <t>开元教育</t>
  </si>
  <si>
    <t>www.lixinger.com/analytics/company/sz/300338/300338/detail</t>
  </si>
  <si>
    <t>润和软件</t>
  </si>
  <si>
    <t>www.lixinger.com/analytics/company/sz/300339/300339/detail</t>
  </si>
  <si>
    <t>科恒股份</t>
  </si>
  <si>
    <t>www.lixinger.com/analytics/company/sz/300340/300340/detail</t>
  </si>
  <si>
    <t>麦克奥迪</t>
  </si>
  <si>
    <t>www.lixinger.com/analytics/company/sz/300341/300341/detail</t>
  </si>
  <si>
    <t>天银机电</t>
  </si>
  <si>
    <t>www.lixinger.com/analytics/company/sz/300342/300342/detail</t>
  </si>
  <si>
    <t>联创股份</t>
  </si>
  <si>
    <t>www.lixinger.com/analytics/company/sz/300343/300343/detail</t>
  </si>
  <si>
    <t>立方数科</t>
  </si>
  <si>
    <t>www.lixinger.com/analytics/company/sz/300344/300344/detail</t>
  </si>
  <si>
    <t>华民股份</t>
  </si>
  <si>
    <t>www.lixinger.com/analytics/company/sz/300345/300345/detail</t>
  </si>
  <si>
    <t>南大光电</t>
  </si>
  <si>
    <t>www.lixinger.com/analytics/company/sz/300346/300346/detail</t>
  </si>
  <si>
    <t>泰格医药</t>
  </si>
  <si>
    <t>www.lixinger.com/analytics/company/sz/300347/300347/detail</t>
  </si>
  <si>
    <t>长亮科技</t>
  </si>
  <si>
    <t>www.lixinger.com/analytics/company/sz/300348/300348/detail</t>
  </si>
  <si>
    <t>金卡智能</t>
  </si>
  <si>
    <t>www.lixinger.com/analytics/company/sz/300349/300349/detail</t>
  </si>
  <si>
    <t>华鹏飞</t>
  </si>
  <si>
    <t>www.lixinger.com/analytics/company/sz/300350/300350/detail</t>
  </si>
  <si>
    <t>永贵电器</t>
  </si>
  <si>
    <t>www.lixinger.com/analytics/company/sz/300351/300351/detail</t>
  </si>
  <si>
    <t>北信源</t>
  </si>
  <si>
    <t>www.lixinger.com/analytics/company/sz/300352/300352/detail</t>
  </si>
  <si>
    <t>东土科技</t>
  </si>
  <si>
    <t>www.lixinger.com/analytics/company/sz/300353/300353/detail</t>
  </si>
  <si>
    <t>东华测试</t>
  </si>
  <si>
    <t>www.lixinger.com/analytics/company/sz/300354/300354/detail</t>
  </si>
  <si>
    <t>蒙草生态</t>
  </si>
  <si>
    <t>www.lixinger.com/analytics/company/sz/300355/300355/detail</t>
  </si>
  <si>
    <t>*ST光一</t>
  </si>
  <si>
    <t>www.lixinger.com/analytics/company/sz/300356/300356/detail</t>
  </si>
  <si>
    <t>我武生物</t>
  </si>
  <si>
    <t>www.lixinger.com/analytics/company/sz/300357/300357/detail</t>
  </si>
  <si>
    <t>楚天科技</t>
  </si>
  <si>
    <t>www.lixinger.com/analytics/company/sz/300358/300358/detail</t>
  </si>
  <si>
    <t>全通教育</t>
  </si>
  <si>
    <t>www.lixinger.com/analytics/company/sz/300359/300359/detail</t>
  </si>
  <si>
    <t>炬华科技</t>
  </si>
  <si>
    <t>www.lixinger.com/analytics/company/sz/300360/300360/detail</t>
  </si>
  <si>
    <t>www.lixinger.com/analytics/company/sz/300361/300361/detail</t>
  </si>
  <si>
    <t>天翔退</t>
  </si>
  <si>
    <t>www.lixinger.com/analytics/company/sz/300362/300362/detail</t>
  </si>
  <si>
    <t>博腾股份</t>
  </si>
  <si>
    <t>www.lixinger.com/analytics/company/sz/300363/300363/detail</t>
  </si>
  <si>
    <t>中文在线</t>
  </si>
  <si>
    <t>www.lixinger.com/analytics/company/sz/300364/300364/detail</t>
  </si>
  <si>
    <t>恒华科技</t>
  </si>
  <si>
    <t>www.lixinger.com/analytics/company/sz/300365/300365/detail</t>
  </si>
  <si>
    <t>创意信息</t>
  </si>
  <si>
    <t>www.lixinger.com/analytics/company/sz/300366/300366/detail</t>
  </si>
  <si>
    <t>*ST网力</t>
  </si>
  <si>
    <t>www.lixinger.com/analytics/company/sz/300367/300367/detail</t>
  </si>
  <si>
    <t>汇金股份</t>
  </si>
  <si>
    <t>www.lixinger.com/analytics/company/sz/300368/300368/detail</t>
  </si>
  <si>
    <t>绿盟科技</t>
  </si>
  <si>
    <t>www.lixinger.com/analytics/company/sz/300369/300369/detail</t>
  </si>
  <si>
    <t>*ST安控</t>
  </si>
  <si>
    <t>www.lixinger.com/analytics/company/sz/300370/300370/detail</t>
  </si>
  <si>
    <t>汇中股份</t>
  </si>
  <si>
    <t>www.lixinger.com/analytics/company/sz/300371/300371/detail</t>
  </si>
  <si>
    <t>欣泰退</t>
  </si>
  <si>
    <t>www.lixinger.com/analytics/company/sz/300372/300372/detail</t>
  </si>
  <si>
    <t>扬杰科技</t>
  </si>
  <si>
    <t>www.lixinger.com/analytics/company/sz/300373/300373/detail</t>
  </si>
  <si>
    <t>中铁装配</t>
  </si>
  <si>
    <t>www.lixinger.com/analytics/company/sz/300374/300374/detail</t>
  </si>
  <si>
    <t>鹏翎股份</t>
  </si>
  <si>
    <t>www.lixinger.com/analytics/company/sz/300375/300375/detail</t>
  </si>
  <si>
    <t>易事特</t>
  </si>
  <si>
    <t>www.lixinger.com/analytics/company/sz/300376/300376/detail</t>
  </si>
  <si>
    <t>赢时胜</t>
  </si>
  <si>
    <t>www.lixinger.com/analytics/company/sz/300377/300377/detail</t>
  </si>
  <si>
    <t>鼎捷软件</t>
  </si>
  <si>
    <t>www.lixinger.com/analytics/company/sz/300378/300378/detail</t>
  </si>
  <si>
    <t>东方通</t>
  </si>
  <si>
    <t>www.lixinger.com/analytics/company/sz/300379/300379/detail</t>
  </si>
  <si>
    <t>安硕信息</t>
  </si>
  <si>
    <t>www.lixinger.com/analytics/company/sz/300380/300380/detail</t>
  </si>
  <si>
    <t>溢多利</t>
  </si>
  <si>
    <t>www.lixinger.com/analytics/company/sz/300381/300381/detail</t>
  </si>
  <si>
    <t>斯莱克</t>
  </si>
  <si>
    <t>www.lixinger.com/analytics/company/sz/300382/300382/detail</t>
  </si>
  <si>
    <t>光环新网</t>
  </si>
  <si>
    <t>www.lixinger.com/analytics/company/sz/300383/300383/detail</t>
  </si>
  <si>
    <t>三联虹普</t>
  </si>
  <si>
    <t>www.lixinger.com/analytics/company/sz/300384/300384/detail</t>
  </si>
  <si>
    <t>雪浪环境</t>
  </si>
  <si>
    <t>www.lixinger.com/analytics/company/sz/300385/300385/detail</t>
  </si>
  <si>
    <t>飞天诚信</t>
  </si>
  <si>
    <t>www.lixinger.com/analytics/company/sz/300386/300386/detail</t>
  </si>
  <si>
    <t>富邦股份</t>
  </si>
  <si>
    <t>www.lixinger.com/analytics/company/sz/300387/300387/detail</t>
  </si>
  <si>
    <t>节能国祯</t>
  </si>
  <si>
    <t>www.lixinger.com/analytics/company/sz/300388/300388/detail</t>
  </si>
  <si>
    <t>艾比森</t>
  </si>
  <si>
    <t>www.lixinger.com/analytics/company/sz/300389/300389/detail</t>
  </si>
  <si>
    <t>天华超净</t>
  </si>
  <si>
    <t>www.lixinger.com/analytics/company/sz/300390/300390/detail</t>
  </si>
  <si>
    <t>康跃科技</t>
  </si>
  <si>
    <t>www.lixinger.com/analytics/company/sz/300391/300391/detail</t>
  </si>
  <si>
    <t>腾信股份</t>
  </si>
  <si>
    <t>www.lixinger.com/analytics/company/sz/300392/300392/detail</t>
  </si>
  <si>
    <t>中来股份</t>
  </si>
  <si>
    <t>www.lixinger.com/analytics/company/sz/300393/300393/detail</t>
  </si>
  <si>
    <t>天孚通信</t>
  </si>
  <si>
    <t>www.lixinger.com/analytics/company/sz/300394/300394/detail</t>
  </si>
  <si>
    <t>菲利华</t>
  </si>
  <si>
    <t>www.lixinger.com/analytics/company/sz/300395/300395/detail</t>
  </si>
  <si>
    <t>迪瑞医疗</t>
  </si>
  <si>
    <t>www.lixinger.com/analytics/company/sz/300396/300396/detail</t>
  </si>
  <si>
    <t>天和防务</t>
  </si>
  <si>
    <t>www.lixinger.com/analytics/company/sz/300397/300397/detail</t>
  </si>
  <si>
    <t>飞凯材料</t>
  </si>
  <si>
    <t>www.lixinger.com/analytics/company/sz/300398/300398/detail</t>
  </si>
  <si>
    <t>天利科技</t>
  </si>
  <si>
    <t>www.lixinger.com/analytics/company/sz/300399/300399/detail</t>
  </si>
  <si>
    <t>劲拓股份</t>
  </si>
  <si>
    <t>www.lixinger.com/analytics/company/sz/300400/300400/detail</t>
  </si>
  <si>
    <t>花园生物</t>
  </si>
  <si>
    <t>www.lixinger.com/analytics/company/sz/300401/300401/detail</t>
  </si>
  <si>
    <t>宝色股份</t>
  </si>
  <si>
    <t>www.lixinger.com/analytics/company/sz/300402/300402/detail</t>
  </si>
  <si>
    <t>汉宇集团</t>
  </si>
  <si>
    <t>www.lixinger.com/analytics/company/sz/300403/300403/detail</t>
  </si>
  <si>
    <t>博济医药</t>
  </si>
  <si>
    <t>www.lixinger.com/analytics/company/sz/300404/300404/detail</t>
  </si>
  <si>
    <t>科隆股份</t>
  </si>
  <si>
    <t>www.lixinger.com/analytics/company/sz/300405/300405/detail</t>
  </si>
  <si>
    <t>九强生物</t>
  </si>
  <si>
    <t>www.lixinger.com/analytics/company/sz/300406/300406/detail</t>
  </si>
  <si>
    <t>凯发电气</t>
  </si>
  <si>
    <t>www.lixinger.com/analytics/company/sz/300407/300407/detail</t>
  </si>
  <si>
    <t>三环集团</t>
  </si>
  <si>
    <t>www.lixinger.com/analytics/company/sz/300408/300408/detail</t>
  </si>
  <si>
    <t>道氏技术</t>
  </si>
  <si>
    <t>www.lixinger.com/analytics/company/sz/300409/300409/detail</t>
  </si>
  <si>
    <t>正业科技</t>
  </si>
  <si>
    <t>www.lixinger.com/analytics/company/sz/300410/300410/detail</t>
  </si>
  <si>
    <t>金盾股份</t>
  </si>
  <si>
    <t>www.lixinger.com/analytics/company/sz/300411/300411/detail</t>
  </si>
  <si>
    <t>迦南科技</t>
  </si>
  <si>
    <t>www.lixinger.com/analytics/company/sz/300412/300412/detail</t>
  </si>
  <si>
    <t>芒果超媒</t>
  </si>
  <si>
    <t>www.lixinger.com/analytics/company/sz/300413/300413/detail</t>
  </si>
  <si>
    <t>中光防雷</t>
  </si>
  <si>
    <t>www.lixinger.com/analytics/company/sz/300414/300414/detail</t>
  </si>
  <si>
    <t>伊之密</t>
  </si>
  <si>
    <t>www.lixinger.com/analytics/company/sz/300415/300415/detail</t>
  </si>
  <si>
    <t>苏试试验</t>
  </si>
  <si>
    <t>www.lixinger.com/analytics/company/sz/300416/300416/detail</t>
  </si>
  <si>
    <t>南华仪器</t>
  </si>
  <si>
    <t>www.lixinger.com/analytics/company/sz/300417/300417/detail</t>
  </si>
  <si>
    <t>昆仑万维</t>
  </si>
  <si>
    <t>www.lixinger.com/analytics/company/sz/300418/300418/detail</t>
  </si>
  <si>
    <t>浩丰科技</t>
  </si>
  <si>
    <t>www.lixinger.com/analytics/company/sz/300419/300419/detail</t>
  </si>
  <si>
    <t>五洋停车</t>
  </si>
  <si>
    <t>www.lixinger.com/analytics/company/sz/300420/300420/detail</t>
  </si>
  <si>
    <t>力星股份</t>
  </si>
  <si>
    <t>www.lixinger.com/analytics/company/sz/300421/300421/detail</t>
  </si>
  <si>
    <t>博世科</t>
  </si>
  <si>
    <t>www.lixinger.com/analytics/company/sz/300422/300422/detail</t>
  </si>
  <si>
    <t>昇辉科技</t>
  </si>
  <si>
    <t>www.lixinger.com/analytics/company/sz/300423/300423/detail</t>
  </si>
  <si>
    <t>航新科技</t>
  </si>
  <si>
    <t>www.lixinger.com/analytics/company/sz/300424/300424/detail</t>
  </si>
  <si>
    <t>中建环能</t>
  </si>
  <si>
    <t>www.lixinger.com/analytics/company/sz/300425/300425/detail</t>
  </si>
  <si>
    <t>唐德影视</t>
  </si>
  <si>
    <t>www.lixinger.com/analytics/company/sz/300426/300426/detail</t>
  </si>
  <si>
    <t>红相股份</t>
  </si>
  <si>
    <t>www.lixinger.com/analytics/company/sz/300427/300427/detail</t>
  </si>
  <si>
    <t>立中集团</t>
  </si>
  <si>
    <t>www.lixinger.com/analytics/company/sz/300428/300428/detail</t>
  </si>
  <si>
    <t>强力新材</t>
  </si>
  <si>
    <t>www.lixinger.com/analytics/company/sz/300429/300429/detail</t>
  </si>
  <si>
    <t>诚益通</t>
  </si>
  <si>
    <t>www.lixinger.com/analytics/company/sz/300430/300430/detail</t>
  </si>
  <si>
    <t>暴风退</t>
  </si>
  <si>
    <t>www.lixinger.com/analytics/company/sz/300431/300431/detail</t>
  </si>
  <si>
    <t>富临精工</t>
  </si>
  <si>
    <t>www.lixinger.com/analytics/company/sz/300432/300432/detail</t>
  </si>
  <si>
    <t>蓝思科技</t>
  </si>
  <si>
    <t>www.lixinger.com/analytics/company/sz/300433/300433/detail</t>
  </si>
  <si>
    <t>金石亚药</t>
  </si>
  <si>
    <t>www.lixinger.com/analytics/company/sz/300434/300434/detail</t>
  </si>
  <si>
    <t>中泰股份</t>
  </si>
  <si>
    <t>www.lixinger.com/analytics/company/sz/300435/300435/detail</t>
  </si>
  <si>
    <t>广生堂</t>
  </si>
  <si>
    <t>www.lixinger.com/analytics/company/sz/300436/300436/detail</t>
  </si>
  <si>
    <t>清水源</t>
  </si>
  <si>
    <t>www.lixinger.com/analytics/company/sz/300437/300437/detail</t>
  </si>
  <si>
    <t>鹏辉能源</t>
  </si>
  <si>
    <t>www.lixinger.com/analytics/company/sz/300438/300438/detail</t>
  </si>
  <si>
    <t>美康生物</t>
  </si>
  <si>
    <t>www.lixinger.com/analytics/company/sz/300439/300439/detail</t>
  </si>
  <si>
    <t>运达科技</t>
  </si>
  <si>
    <t>www.lixinger.com/analytics/company/sz/300440/300440/detail</t>
  </si>
  <si>
    <t>鲍斯股份</t>
  </si>
  <si>
    <t>www.lixinger.com/analytics/company/sz/300441/300441/detail</t>
  </si>
  <si>
    <t>普丽盛</t>
  </si>
  <si>
    <t>www.lixinger.com/analytics/company/sz/300442/300442/detail</t>
  </si>
  <si>
    <t>金雷股份</t>
  </si>
  <si>
    <t>www.lixinger.com/analytics/company/sz/300443/300443/detail</t>
  </si>
  <si>
    <t>双杰电气</t>
  </si>
  <si>
    <t>www.lixinger.com/analytics/company/sz/300444/300444/detail</t>
  </si>
  <si>
    <t>康斯特</t>
  </si>
  <si>
    <t>www.lixinger.com/analytics/company/sz/300445/300445/detail</t>
  </si>
  <si>
    <t>*ST乐材</t>
  </si>
  <si>
    <t>www.lixinger.com/analytics/company/sz/300446/300446/detail</t>
  </si>
  <si>
    <t>全信股份</t>
  </si>
  <si>
    <t>www.lixinger.com/analytics/company/sz/300447/300447/detail</t>
  </si>
  <si>
    <t>浩云科技</t>
  </si>
  <si>
    <t>www.lixinger.com/analytics/company/sz/300448/300448/detail</t>
  </si>
  <si>
    <t>汉邦高科</t>
  </si>
  <si>
    <t>www.lixinger.com/analytics/company/sz/300449/300449/detail</t>
  </si>
  <si>
    <t>先导智能</t>
  </si>
  <si>
    <t>www.lixinger.com/analytics/company/sz/300450/300450/detail</t>
  </si>
  <si>
    <t>创业慧康</t>
  </si>
  <si>
    <t>www.lixinger.com/analytics/company/sz/300451/300451/detail</t>
  </si>
  <si>
    <t>山河药辅</t>
  </si>
  <si>
    <t>www.lixinger.com/analytics/company/sz/300452/300452/detail</t>
  </si>
  <si>
    <t>三鑫医疗</t>
  </si>
  <si>
    <t>www.lixinger.com/analytics/company/sz/300453/300453/detail</t>
  </si>
  <si>
    <t>深信服</t>
  </si>
  <si>
    <t>www.lixinger.com/analytics/company/sz/300454/300454/detail</t>
  </si>
  <si>
    <t>康拓红外</t>
  </si>
  <si>
    <t>www.lixinger.com/analytics/company/sz/300455/300455/detail</t>
  </si>
  <si>
    <t>赛微电子</t>
  </si>
  <si>
    <t>www.lixinger.com/analytics/company/sz/300456/300456/detail</t>
  </si>
  <si>
    <t>赢合科技</t>
  </si>
  <si>
    <t>www.lixinger.com/analytics/company/sz/300457/300457/detail</t>
  </si>
  <si>
    <t>全志科技</t>
  </si>
  <si>
    <t>www.lixinger.com/analytics/company/sz/300458/300458/detail</t>
  </si>
  <si>
    <t>汤姆猫</t>
  </si>
  <si>
    <t>www.lixinger.com/analytics/company/sz/300459/300459/detail</t>
  </si>
  <si>
    <t>惠伦晶体</t>
  </si>
  <si>
    <t>www.lixinger.com/analytics/company/sz/300460/300460/detail</t>
  </si>
  <si>
    <t>田中精机</t>
  </si>
  <si>
    <t>www.lixinger.com/analytics/company/sz/300461/300461/detail</t>
  </si>
  <si>
    <t>华铭智能</t>
  </si>
  <si>
    <t>www.lixinger.com/analytics/company/sz/300462/300462/detail</t>
  </si>
  <si>
    <t>迈克生物</t>
  </si>
  <si>
    <t>www.lixinger.com/analytics/company/sz/300463/300463/detail</t>
  </si>
  <si>
    <t>星徽股份</t>
  </si>
  <si>
    <t>www.lixinger.com/analytics/company/sz/300464/300464/detail</t>
  </si>
  <si>
    <t>高伟达</t>
  </si>
  <si>
    <t>www.lixinger.com/analytics/company/sz/300465/300465/detail</t>
  </si>
  <si>
    <t>赛摩智能</t>
  </si>
  <si>
    <t>www.lixinger.com/analytics/company/sz/300466/300466/detail</t>
  </si>
  <si>
    <t>迅游科技</t>
  </si>
  <si>
    <t>www.lixinger.com/analytics/company/sz/300467/300467/detail</t>
  </si>
  <si>
    <t>四方精创</t>
  </si>
  <si>
    <t>www.lixinger.com/analytics/company/sz/300468/300468/detail</t>
  </si>
  <si>
    <t>信息发展</t>
  </si>
  <si>
    <t>www.lixinger.com/analytics/company/sz/300469/300469/detail</t>
  </si>
  <si>
    <t>中密控股</t>
  </si>
  <si>
    <t>www.lixinger.com/analytics/company/sz/300470/300470/detail</t>
  </si>
  <si>
    <t>厚普股份</t>
  </si>
  <si>
    <t>www.lixinger.com/analytics/company/sz/300471/300471/detail</t>
  </si>
  <si>
    <t>新元科技</t>
  </si>
  <si>
    <t>www.lixinger.com/analytics/company/sz/300472/300472/detail</t>
  </si>
  <si>
    <t>德尔股份</t>
  </si>
  <si>
    <t>www.lixinger.com/analytics/company/sz/300473/300473/detail</t>
  </si>
  <si>
    <t>景嘉微</t>
  </si>
  <si>
    <t>www.lixinger.com/analytics/company/sz/300474/300474/detail</t>
  </si>
  <si>
    <t>香农芯创</t>
  </si>
  <si>
    <t>www.lixinger.com/analytics/company/sz/300475/300475/detail</t>
  </si>
  <si>
    <t>胜宏科技</t>
  </si>
  <si>
    <t>www.lixinger.com/analytics/company/sz/300476/300476/detail</t>
  </si>
  <si>
    <t>合纵科技</t>
  </si>
  <si>
    <t>www.lixinger.com/analytics/company/sz/300477/300477/detail</t>
  </si>
  <si>
    <t>杭州高新</t>
  </si>
  <si>
    <t>www.lixinger.com/analytics/company/sz/300478/300478/detail</t>
  </si>
  <si>
    <t>神思电子</t>
  </si>
  <si>
    <t>www.lixinger.com/analytics/company/sz/300479/300479/detail</t>
  </si>
  <si>
    <t>光力科技</t>
  </si>
  <si>
    <t>www.lixinger.com/analytics/company/sz/300480/300480/detail</t>
  </si>
  <si>
    <t>濮阳惠成</t>
  </si>
  <si>
    <t>www.lixinger.com/analytics/company/sz/300481/300481/detail</t>
  </si>
  <si>
    <t>万孚生物</t>
  </si>
  <si>
    <t>www.lixinger.com/analytics/company/sz/300482/300482/detail</t>
  </si>
  <si>
    <t>首华燃气</t>
  </si>
  <si>
    <t>www.lixinger.com/analytics/company/sz/300483/300483/detail</t>
  </si>
  <si>
    <t>蓝海华腾</t>
  </si>
  <si>
    <t>www.lixinger.com/analytics/company/sz/300484/300484/detail</t>
  </si>
  <si>
    <t>赛升药业</t>
  </si>
  <si>
    <t>www.lixinger.com/analytics/company/sz/300485/300485/detail</t>
  </si>
  <si>
    <t>东杰智能</t>
  </si>
  <si>
    <t>www.lixinger.com/analytics/company/sz/300486/300486/detail</t>
  </si>
  <si>
    <t>蓝晓科技</t>
  </si>
  <si>
    <t>www.lixinger.com/analytics/company/sz/300487/300487/detail</t>
  </si>
  <si>
    <t>恒锋工具</t>
  </si>
  <si>
    <t>www.lixinger.com/analytics/company/sz/300488/300488/detail</t>
  </si>
  <si>
    <t>光智科技</t>
  </si>
  <si>
    <t>www.lixinger.com/analytics/company/sz/300489/300489/detail</t>
  </si>
  <si>
    <t>华自科技</t>
  </si>
  <si>
    <t>www.lixinger.com/analytics/company/sz/300490/300490/detail</t>
  </si>
  <si>
    <t>通合科技</t>
  </si>
  <si>
    <t>www.lixinger.com/analytics/company/sz/300491/300491/detail</t>
  </si>
  <si>
    <t>华图山鼎</t>
  </si>
  <si>
    <t>www.lixinger.com/analytics/company/sz/300492/300492/detail</t>
  </si>
  <si>
    <t>润欣科技</t>
  </si>
  <si>
    <t>www.lixinger.com/analytics/company/sz/300493/300493/detail</t>
  </si>
  <si>
    <t>盛天网络</t>
  </si>
  <si>
    <t>www.lixinger.com/analytics/company/sz/300494/300494/detail</t>
  </si>
  <si>
    <t>*ST美尚</t>
  </si>
  <si>
    <t>www.lixinger.com/analytics/company/sz/300495/300495/detail</t>
  </si>
  <si>
    <t>中科创达</t>
  </si>
  <si>
    <t>www.lixinger.com/analytics/company/sz/300496/300496/detail</t>
  </si>
  <si>
    <t>富祥药业</t>
  </si>
  <si>
    <t>www.lixinger.com/analytics/company/sz/300497/300497/detail</t>
  </si>
  <si>
    <t>温氏股份</t>
  </si>
  <si>
    <t>www.lixinger.com/analytics/company/sz/300498/300498/detail</t>
  </si>
  <si>
    <t>高澜股份</t>
  </si>
  <si>
    <t>www.lixinger.com/analytics/company/sz/300499/300499/detail</t>
  </si>
  <si>
    <t>启迪设计</t>
  </si>
  <si>
    <t>www.lixinger.com/analytics/company/sz/300500/300500/detail</t>
  </si>
  <si>
    <t>海顺新材</t>
  </si>
  <si>
    <t>www.lixinger.com/analytics/company/sz/300501/300501/detail</t>
  </si>
  <si>
    <t>新易盛</t>
  </si>
  <si>
    <t>www.lixinger.com/analytics/company/sz/300502/300502/detail</t>
  </si>
  <si>
    <t>昊志机电</t>
  </si>
  <si>
    <t>www.lixinger.com/analytics/company/sz/300503/300503/detail</t>
  </si>
  <si>
    <t>天邑股份</t>
  </si>
  <si>
    <t>www.lixinger.com/analytics/company/sz/300504/300504/detail</t>
  </si>
  <si>
    <t>川金诺</t>
  </si>
  <si>
    <t>www.lixinger.com/analytics/company/sz/300505/300505/detail</t>
  </si>
  <si>
    <t>名家汇</t>
  </si>
  <si>
    <t>www.lixinger.com/analytics/company/sz/300506/300506/detail</t>
  </si>
  <si>
    <t>苏奥传感</t>
  </si>
  <si>
    <t>www.lixinger.com/analytics/company/sz/300507/300507/detail</t>
  </si>
  <si>
    <t>维宏股份</t>
  </si>
  <si>
    <t>www.lixinger.com/analytics/company/sz/300508/300508/detail</t>
  </si>
  <si>
    <t>新美星</t>
  </si>
  <si>
    <t>www.lixinger.com/analytics/company/sz/300509/300509/detail</t>
  </si>
  <si>
    <t>金冠股份</t>
  </si>
  <si>
    <t>www.lixinger.com/analytics/company/sz/300510/300510/detail</t>
  </si>
  <si>
    <t>雪榕生物</t>
  </si>
  <si>
    <t>www.lixinger.com/analytics/company/sz/300511/300511/detail</t>
  </si>
  <si>
    <t>中亚股份</t>
  </si>
  <si>
    <t>www.lixinger.com/analytics/company/sz/300512/300512/detail</t>
  </si>
  <si>
    <t>恒实科技</t>
  </si>
  <si>
    <t>www.lixinger.com/analytics/company/sz/300513/300513/detail</t>
  </si>
  <si>
    <t>友讯达</t>
  </si>
  <si>
    <t>www.lixinger.com/analytics/company/sz/300514/300514/detail</t>
  </si>
  <si>
    <t>三德科技</t>
  </si>
  <si>
    <t>www.lixinger.com/analytics/company/sz/300515/300515/detail</t>
  </si>
  <si>
    <t>久之洋</t>
  </si>
  <si>
    <t>www.lixinger.com/analytics/company/sz/300516/300516/detail</t>
  </si>
  <si>
    <t>海波重科</t>
  </si>
  <si>
    <t>www.lixinger.com/analytics/company/sz/300517/300517/detail</t>
  </si>
  <si>
    <t>盛讯达</t>
  </si>
  <si>
    <t>www.lixinger.com/analytics/company/sz/300518/300518/detail</t>
  </si>
  <si>
    <t>新光药业</t>
  </si>
  <si>
    <t>www.lixinger.com/analytics/company/sz/300519/300519/detail</t>
  </si>
  <si>
    <t>科大国创</t>
  </si>
  <si>
    <t>www.lixinger.com/analytics/company/sz/300520/300520/detail</t>
  </si>
  <si>
    <t>爱司凯</t>
  </si>
  <si>
    <t>www.lixinger.com/analytics/company/sz/300521/300521/detail</t>
  </si>
  <si>
    <t>世名科技</t>
  </si>
  <si>
    <t>www.lixinger.com/analytics/company/sz/300522/300522/detail</t>
  </si>
  <si>
    <t>辰安科技</t>
  </si>
  <si>
    <t>www.lixinger.com/analytics/company/sz/300523/300523/detail</t>
  </si>
  <si>
    <t>博思软件</t>
  </si>
  <si>
    <t>www.lixinger.com/analytics/company/sz/300525/300525/detail</t>
  </si>
  <si>
    <t>*ST中潜</t>
  </si>
  <si>
    <t>www.lixinger.com/analytics/company/sz/300526/300526/detail</t>
  </si>
  <si>
    <t>中船应急</t>
  </si>
  <si>
    <t>www.lixinger.com/analytics/company/sz/300527/300527/detail</t>
  </si>
  <si>
    <t>幸福蓝海</t>
  </si>
  <si>
    <t>www.lixinger.com/analytics/company/sz/300528/300528/detail</t>
  </si>
  <si>
    <t>健帆生物</t>
  </si>
  <si>
    <t>www.lixinger.com/analytics/company/sz/300529/300529/detail</t>
  </si>
  <si>
    <t>*ST达志</t>
  </si>
  <si>
    <t>www.lixinger.com/analytics/company/sz/300530/300530/detail</t>
  </si>
  <si>
    <t>优博讯</t>
  </si>
  <si>
    <t>www.lixinger.com/analytics/company/sz/300531/300531/detail</t>
  </si>
  <si>
    <t>今天国际</t>
  </si>
  <si>
    <t>www.lixinger.com/analytics/company/sz/300532/300532/detail</t>
  </si>
  <si>
    <t>冰川网络</t>
  </si>
  <si>
    <t>www.lixinger.com/analytics/company/sz/300533/300533/detail</t>
  </si>
  <si>
    <t>陇神戎发</t>
  </si>
  <si>
    <t>www.lixinger.com/analytics/company/sz/300534/300534/detail</t>
  </si>
  <si>
    <t>达威股份</t>
  </si>
  <si>
    <t>www.lixinger.com/analytics/company/sz/300535/300535/detail</t>
  </si>
  <si>
    <t>农尚环境</t>
  </si>
  <si>
    <t>www.lixinger.com/analytics/company/sz/300536/300536/detail</t>
  </si>
  <si>
    <t>广信材料</t>
  </si>
  <si>
    <t>www.lixinger.com/analytics/company/sz/300537/300537/detail</t>
  </si>
  <si>
    <t>同益股份</t>
  </si>
  <si>
    <t>www.lixinger.com/analytics/company/sz/300538/300538/detail</t>
  </si>
  <si>
    <t>横河精密</t>
  </si>
  <si>
    <t>www.lixinger.com/analytics/company/sz/300539/300539/detail</t>
  </si>
  <si>
    <t>蜀道装备</t>
  </si>
  <si>
    <t>www.lixinger.com/analytics/company/sz/300540/300540/detail</t>
  </si>
  <si>
    <t>先进数通</t>
  </si>
  <si>
    <t>www.lixinger.com/analytics/company/sz/300541/300541/detail</t>
  </si>
  <si>
    <t>新晨科技</t>
  </si>
  <si>
    <t>www.lixinger.com/analytics/company/sz/300542/300542/detail</t>
  </si>
  <si>
    <t>朗科智能</t>
  </si>
  <si>
    <t>www.lixinger.com/analytics/company/sz/300543/300543/detail</t>
  </si>
  <si>
    <t>联得装备</t>
  </si>
  <si>
    <t>www.lixinger.com/analytics/company/sz/300545/300545/detail</t>
  </si>
  <si>
    <t>雄帝科技</t>
  </si>
  <si>
    <t>www.lixinger.com/analytics/company/sz/300546/300546/detail</t>
  </si>
  <si>
    <t>川环科技</t>
  </si>
  <si>
    <t>www.lixinger.com/analytics/company/sz/300547/300547/detail</t>
  </si>
  <si>
    <t>博创科技</t>
  </si>
  <si>
    <t>www.lixinger.com/analytics/company/sz/300548/300548/detail</t>
  </si>
  <si>
    <t>优德精密</t>
  </si>
  <si>
    <t>www.lixinger.com/analytics/company/sz/300549/300549/detail</t>
  </si>
  <si>
    <t>和仁科技</t>
  </si>
  <si>
    <t>www.lixinger.com/analytics/company/sz/300550/300550/detail</t>
  </si>
  <si>
    <t>古鳌科技</t>
  </si>
  <si>
    <t>www.lixinger.com/analytics/company/sz/300551/300551/detail</t>
  </si>
  <si>
    <t>万集科技</t>
  </si>
  <si>
    <t>www.lixinger.com/analytics/company/sz/300552/300552/detail</t>
  </si>
  <si>
    <t>集智股份</t>
  </si>
  <si>
    <t>www.lixinger.com/analytics/company/sz/300553/300553/detail</t>
  </si>
  <si>
    <t>三超新材</t>
  </si>
  <si>
    <t>www.lixinger.com/analytics/company/sz/300554/300554/detail</t>
  </si>
  <si>
    <t>路通视信</t>
  </si>
  <si>
    <t>www.lixinger.com/analytics/company/sz/300555/300555/detail</t>
  </si>
  <si>
    <t>丝路视觉</t>
  </si>
  <si>
    <t>www.lixinger.com/analytics/company/sz/300556/300556/detail</t>
  </si>
  <si>
    <t>理工光科</t>
  </si>
  <si>
    <t>www.lixinger.com/analytics/company/sz/300557/300557/detail</t>
  </si>
  <si>
    <t>贝达药业</t>
  </si>
  <si>
    <t>www.lixinger.com/analytics/company/sz/300558/300558/detail</t>
  </si>
  <si>
    <t>佳发教育</t>
  </si>
  <si>
    <t>www.lixinger.com/analytics/company/sz/300559/300559/detail</t>
  </si>
  <si>
    <t>中富通</t>
  </si>
  <si>
    <t>www.lixinger.com/analytics/company/sz/300560/300560/detail</t>
  </si>
  <si>
    <t>汇金科技</t>
  </si>
  <si>
    <t>www.lixinger.com/analytics/company/sz/300561/300561/detail</t>
  </si>
  <si>
    <t>乐心医疗</t>
  </si>
  <si>
    <t>www.lixinger.com/analytics/company/sz/300562/300562/detail</t>
  </si>
  <si>
    <t>神宇股份</t>
  </si>
  <si>
    <t>www.lixinger.com/analytics/company/sz/300563/300563/detail</t>
  </si>
  <si>
    <t>筑博设计</t>
  </si>
  <si>
    <t>www.lixinger.com/analytics/company/sz/300564/300564/detail</t>
  </si>
  <si>
    <t>科信技术</t>
  </si>
  <si>
    <t>www.lixinger.com/analytics/company/sz/300565/300565/detail</t>
  </si>
  <si>
    <t>激智科技</t>
  </si>
  <si>
    <t>www.lixinger.com/analytics/company/sz/300566/300566/detail</t>
  </si>
  <si>
    <t>精测电子</t>
  </si>
  <si>
    <t>www.lixinger.com/analytics/company/sz/300567/300567/detail</t>
  </si>
  <si>
    <t>星源材质</t>
  </si>
  <si>
    <t>www.lixinger.com/analytics/company/sz/300568/300568/detail</t>
  </si>
  <si>
    <t>天能重工</t>
  </si>
  <si>
    <t>www.lixinger.com/analytics/company/sz/300569/300569/detail</t>
  </si>
  <si>
    <t>太辰光</t>
  </si>
  <si>
    <t>www.lixinger.com/analytics/company/sz/300570/300570/detail</t>
  </si>
  <si>
    <t>平治信息</t>
  </si>
  <si>
    <t>www.lixinger.com/analytics/company/sz/300571/300571/detail</t>
  </si>
  <si>
    <t>安车检测</t>
  </si>
  <si>
    <t>www.lixinger.com/analytics/company/sz/300572/300572/detail</t>
  </si>
  <si>
    <t>兴齐眼药</t>
  </si>
  <si>
    <t>www.lixinger.com/analytics/company/sz/300573/300573/detail</t>
  </si>
  <si>
    <t>中旗股份</t>
  </si>
  <si>
    <t>www.lixinger.com/analytics/company/sz/300575/300575/detail</t>
  </si>
  <si>
    <t>容大感光</t>
  </si>
  <si>
    <t>www.lixinger.com/analytics/company/sz/300576/300576/detail</t>
  </si>
  <si>
    <t>开润股份</t>
  </si>
  <si>
    <t>www.lixinger.com/analytics/company/sz/300577/300577/detail</t>
  </si>
  <si>
    <t>会畅通讯</t>
  </si>
  <si>
    <t>www.lixinger.com/analytics/company/sz/300578/300578/detail</t>
  </si>
  <si>
    <t>数字认证</t>
  </si>
  <si>
    <t>www.lixinger.com/analytics/company/sz/300579/300579/detail</t>
  </si>
  <si>
    <t>贝斯特</t>
  </si>
  <si>
    <t>www.lixinger.com/analytics/company/sz/300580/300580/detail</t>
  </si>
  <si>
    <t>晨曦航空</t>
  </si>
  <si>
    <t>www.lixinger.com/analytics/company/sz/300581/300581/detail</t>
  </si>
  <si>
    <t>英飞特</t>
  </si>
  <si>
    <t>www.lixinger.com/analytics/company/sz/300582/300582/detail</t>
  </si>
  <si>
    <t>赛托生物</t>
  </si>
  <si>
    <t>www.lixinger.com/analytics/company/sz/300583/300583/detail</t>
  </si>
  <si>
    <t>海辰药业</t>
  </si>
  <si>
    <t>www.lixinger.com/analytics/company/sz/300584/300584/detail</t>
  </si>
  <si>
    <t>奥联电子</t>
  </si>
  <si>
    <t>www.lixinger.com/analytics/company/sz/300585/300585/detail</t>
  </si>
  <si>
    <t>美联新材</t>
  </si>
  <si>
    <t>www.lixinger.com/analytics/company/sz/300586/300586/detail</t>
  </si>
  <si>
    <t>天铁股份</t>
  </si>
  <si>
    <t>www.lixinger.com/analytics/company/sz/300587/300587/detail</t>
  </si>
  <si>
    <t>熙菱信息</t>
  </si>
  <si>
    <t>www.lixinger.com/analytics/company/sz/300588/300588/detail</t>
  </si>
  <si>
    <t>江龙船艇</t>
  </si>
  <si>
    <t>www.lixinger.com/analytics/company/sz/300589/300589/detail</t>
  </si>
  <si>
    <t>移为通信</t>
  </si>
  <si>
    <t>www.lixinger.com/analytics/company/sz/300590/300590/detail</t>
  </si>
  <si>
    <t>万里马</t>
  </si>
  <si>
    <t>www.lixinger.com/analytics/company/sz/300591/300591/detail</t>
  </si>
  <si>
    <t>华凯创意</t>
  </si>
  <si>
    <t>www.lixinger.com/analytics/company/sz/300592/300592/detail</t>
  </si>
  <si>
    <t>新雷能</t>
  </si>
  <si>
    <t>www.lixinger.com/analytics/company/sz/300593/300593/detail</t>
  </si>
  <si>
    <t>朗进科技</t>
  </si>
  <si>
    <t>www.lixinger.com/analytics/company/sz/300594/300594/detail</t>
  </si>
  <si>
    <t>欧普康视</t>
  </si>
  <si>
    <t>www.lixinger.com/analytics/company/sz/300595/300595/detail</t>
  </si>
  <si>
    <t>利安隆</t>
  </si>
  <si>
    <t>www.lixinger.com/analytics/company/sz/300596/300596/detail</t>
  </si>
  <si>
    <t>吉大通信</t>
  </si>
  <si>
    <t>www.lixinger.com/analytics/company/sz/300597/300597/detail</t>
  </si>
  <si>
    <t>诚迈科技</t>
  </si>
  <si>
    <t>www.lixinger.com/analytics/company/sz/300598/300598/detail</t>
  </si>
  <si>
    <t>雄塑科技</t>
  </si>
  <si>
    <t>www.lixinger.com/analytics/company/sz/300599/300599/detail</t>
  </si>
  <si>
    <t>国瑞科技</t>
  </si>
  <si>
    <t>www.lixinger.com/analytics/company/sz/300600/300600/detail</t>
  </si>
  <si>
    <t>康泰生物</t>
  </si>
  <si>
    <t>www.lixinger.com/analytics/company/sz/300601/300601/detail</t>
  </si>
  <si>
    <t>飞荣达</t>
  </si>
  <si>
    <t>www.lixinger.com/analytics/company/sz/300602/300602/detail</t>
  </si>
  <si>
    <t>立昂技术</t>
  </si>
  <si>
    <t>www.lixinger.com/analytics/company/sz/300603/300603/detail</t>
  </si>
  <si>
    <t>长川科技</t>
  </si>
  <si>
    <t>www.lixinger.com/analytics/company/sz/300604/300604/detail</t>
  </si>
  <si>
    <t>恒锋信息</t>
  </si>
  <si>
    <t>www.lixinger.com/analytics/company/sz/300605/300605/detail</t>
  </si>
  <si>
    <t>金太阳</t>
  </si>
  <si>
    <t>www.lixinger.com/analytics/company/sz/300606/300606/detail</t>
  </si>
  <si>
    <t>拓斯达</t>
  </si>
  <si>
    <t>www.lixinger.com/analytics/company/sz/300607/300607/detail</t>
  </si>
  <si>
    <t>思特奇</t>
  </si>
  <si>
    <t>www.lixinger.com/analytics/company/sz/300608/300608/detail</t>
  </si>
  <si>
    <t>汇纳科技</t>
  </si>
  <si>
    <t>www.lixinger.com/analytics/company/sz/300609/300609/detail</t>
  </si>
  <si>
    <t>晨化股份</t>
  </si>
  <si>
    <t>www.lixinger.com/analytics/company/sz/300610/300610/detail</t>
  </si>
  <si>
    <t>美力科技</t>
  </si>
  <si>
    <t>www.lixinger.com/analytics/company/sz/300611/300611/detail</t>
  </si>
  <si>
    <t>宣亚国际</t>
  </si>
  <si>
    <t>www.lixinger.com/analytics/company/sz/300612/300612/detail</t>
  </si>
  <si>
    <t>富瀚微</t>
  </si>
  <si>
    <t>www.lixinger.com/analytics/company/sz/300613/300613/detail</t>
  </si>
  <si>
    <t>百川畅银</t>
  </si>
  <si>
    <t>www.lixinger.com/analytics/company/sz/300614/300614/detail</t>
  </si>
  <si>
    <t>欣天科技</t>
  </si>
  <si>
    <t>www.lixinger.com/analytics/company/sz/300615/300615/detail</t>
  </si>
  <si>
    <t>尚品宅配</t>
  </si>
  <si>
    <t>www.lixinger.com/analytics/company/sz/300616/300616/detail</t>
  </si>
  <si>
    <t>安靠智电</t>
  </si>
  <si>
    <t>www.lixinger.com/analytics/company/sz/300617/300617/detail</t>
  </si>
  <si>
    <t>寒锐钴业</t>
  </si>
  <si>
    <t>www.lixinger.com/analytics/company/sz/300618/300618/detail</t>
  </si>
  <si>
    <t>金银河</t>
  </si>
  <si>
    <t>www.lixinger.com/analytics/company/sz/300619/300619/detail</t>
  </si>
  <si>
    <t>光库科技</t>
  </si>
  <si>
    <t>www.lixinger.com/analytics/company/sz/300620/300620/detail</t>
  </si>
  <si>
    <t>维业股份</t>
  </si>
  <si>
    <t>www.lixinger.com/analytics/company/sz/300621/300621/detail</t>
  </si>
  <si>
    <t>博士眼镜</t>
  </si>
  <si>
    <t>www.lixinger.com/analytics/company/sz/300622/300622/detail</t>
  </si>
  <si>
    <t>捷捷微电</t>
  </si>
  <si>
    <t>www.lixinger.com/analytics/company/sz/300623/300623/detail</t>
  </si>
  <si>
    <t>万兴科技</t>
  </si>
  <si>
    <t>www.lixinger.com/analytics/company/sz/300624/300624/detail</t>
  </si>
  <si>
    <t>三雄极光</t>
  </si>
  <si>
    <t>www.lixinger.com/analytics/company/sz/300625/300625/detail</t>
  </si>
  <si>
    <t>华瑞股份</t>
  </si>
  <si>
    <t>www.lixinger.com/analytics/company/sz/300626/300626/detail</t>
  </si>
  <si>
    <t>华测导航</t>
  </si>
  <si>
    <t>www.lixinger.com/analytics/company/sz/300627/300627/detail</t>
  </si>
  <si>
    <t>亿联网络</t>
  </si>
  <si>
    <t>www.lixinger.com/analytics/company/sz/300628/300628/detail</t>
  </si>
  <si>
    <t>新劲刚</t>
  </si>
  <si>
    <t>www.lixinger.com/analytics/company/sz/300629/300629/detail</t>
  </si>
  <si>
    <t>普利制药</t>
  </si>
  <si>
    <t>www.lixinger.com/analytics/company/sz/300630/300630/detail</t>
  </si>
  <si>
    <t>久吾高科</t>
  </si>
  <si>
    <t>www.lixinger.com/analytics/company/sz/300631/300631/detail</t>
  </si>
  <si>
    <t>光莆股份</t>
  </si>
  <si>
    <t>www.lixinger.com/analytics/company/sz/300632/300632/detail</t>
  </si>
  <si>
    <t>开立医疗</t>
  </si>
  <si>
    <t>www.lixinger.com/analytics/company/sz/300633/300633/detail</t>
  </si>
  <si>
    <t>彩讯股份</t>
  </si>
  <si>
    <t>www.lixinger.com/analytics/company/sz/300634/300634/detail</t>
  </si>
  <si>
    <t>中达安</t>
  </si>
  <si>
    <t>www.lixinger.com/analytics/company/sz/300635/300635/detail</t>
  </si>
  <si>
    <t>同和药业</t>
  </si>
  <si>
    <t>www.lixinger.com/analytics/company/sz/300636/300636/detail</t>
  </si>
  <si>
    <t>扬帆新材</t>
  </si>
  <si>
    <t>www.lixinger.com/analytics/company/sz/300637/300637/detail</t>
  </si>
  <si>
    <t>广和通</t>
  </si>
  <si>
    <t>www.lixinger.com/analytics/company/sz/300638/300638/detail</t>
  </si>
  <si>
    <t>凯普生物</t>
  </si>
  <si>
    <t>www.lixinger.com/analytics/company/sz/300639/300639/detail</t>
  </si>
  <si>
    <t>德艺文创</t>
  </si>
  <si>
    <t>www.lixinger.com/analytics/company/sz/300640/300640/detail</t>
  </si>
  <si>
    <t>正丹股份</t>
  </si>
  <si>
    <t>www.lixinger.com/analytics/company/sz/300641/300641/detail</t>
  </si>
  <si>
    <t>透景生命</t>
  </si>
  <si>
    <t>www.lixinger.com/analytics/company/sz/300642/300642/detail</t>
  </si>
  <si>
    <t>万通智控</t>
  </si>
  <si>
    <t>www.lixinger.com/analytics/company/sz/300643/300643/detail</t>
  </si>
  <si>
    <t>南京聚隆</t>
  </si>
  <si>
    <t>www.lixinger.com/analytics/company/sz/300644/300644/detail</t>
  </si>
  <si>
    <t>正元智慧</t>
  </si>
  <si>
    <t>www.lixinger.com/analytics/company/sz/300645/300645/detail</t>
  </si>
  <si>
    <t>侨源气体</t>
  </si>
  <si>
    <t>www.lixinger.com/analytics/company/sz/300646/300646/detail</t>
  </si>
  <si>
    <t>超频三</t>
  </si>
  <si>
    <t>www.lixinger.com/analytics/company/sz/300647/300647/detail</t>
  </si>
  <si>
    <t>星云股份</t>
  </si>
  <si>
    <t>www.lixinger.com/analytics/company/sz/300648/300648/detail</t>
  </si>
  <si>
    <t>杭州园林</t>
  </si>
  <si>
    <t>www.lixinger.com/analytics/company/sz/300649/300649/detail</t>
  </si>
  <si>
    <t>太龙股份</t>
  </si>
  <si>
    <t>www.lixinger.com/analytics/company/sz/300650/300650/detail</t>
  </si>
  <si>
    <t>金陵体育</t>
  </si>
  <si>
    <t>www.lixinger.com/analytics/company/sz/300651/300651/detail</t>
  </si>
  <si>
    <t>雷迪克</t>
  </si>
  <si>
    <t>www.lixinger.com/analytics/company/sz/300652/300652/detail</t>
  </si>
  <si>
    <t>正海生物</t>
  </si>
  <si>
    <t>www.lixinger.com/analytics/company/sz/300653/300653/detail</t>
  </si>
  <si>
    <t>世纪天鸿</t>
  </si>
  <si>
    <t>www.lixinger.com/analytics/company/sz/300654/300654/detail</t>
  </si>
  <si>
    <t>晶瑞电材</t>
  </si>
  <si>
    <t>www.lixinger.com/analytics/company/sz/300655/300655/detail</t>
  </si>
  <si>
    <t>民德电子</t>
  </si>
  <si>
    <t>www.lixinger.com/analytics/company/sz/300656/300656/detail</t>
  </si>
  <si>
    <t>弘信电子</t>
  </si>
  <si>
    <t>www.lixinger.com/analytics/company/sz/300657/300657/detail</t>
  </si>
  <si>
    <t>延江股份</t>
  </si>
  <si>
    <t>www.lixinger.com/analytics/company/sz/300658/300658/detail</t>
  </si>
  <si>
    <t>中孚信息</t>
  </si>
  <si>
    <t>www.lixinger.com/analytics/company/sz/300659/300659/detail</t>
  </si>
  <si>
    <t>江苏雷利</t>
  </si>
  <si>
    <t>www.lixinger.com/analytics/company/sz/300660/300660/detail</t>
  </si>
  <si>
    <t>圣邦股份</t>
  </si>
  <si>
    <t>www.lixinger.com/analytics/company/sz/300661/300661/detail</t>
  </si>
  <si>
    <t>科锐国际</t>
  </si>
  <si>
    <t>人力资源服务</t>
  </si>
  <si>
    <t>www.lixinger.com/analytics/company/sz/300662/300662/detail</t>
  </si>
  <si>
    <t>科蓝软件</t>
  </si>
  <si>
    <t>www.lixinger.com/analytics/company/sz/300663/300663/detail</t>
  </si>
  <si>
    <t>鹏鹞环保</t>
  </si>
  <si>
    <t>www.lixinger.com/analytics/company/sz/300664/300664/detail</t>
  </si>
  <si>
    <t>飞鹿股份</t>
  </si>
  <si>
    <t>www.lixinger.com/analytics/company/sz/300665/300665/detail</t>
  </si>
  <si>
    <t>江丰电子</t>
  </si>
  <si>
    <t>www.lixinger.com/analytics/company/sz/300666/300666/detail</t>
  </si>
  <si>
    <t>必创科技</t>
  </si>
  <si>
    <t>www.lixinger.com/analytics/company/sz/300667/300667/detail</t>
  </si>
  <si>
    <t>杰恩设计</t>
  </si>
  <si>
    <t>www.lixinger.com/analytics/company/sz/300668/300668/detail</t>
  </si>
  <si>
    <t>沪宁股份</t>
  </si>
  <si>
    <t>www.lixinger.com/analytics/company/sz/300669/300669/detail</t>
  </si>
  <si>
    <t>大烨智能</t>
  </si>
  <si>
    <t>www.lixinger.com/analytics/company/sz/300670/300670/detail</t>
  </si>
  <si>
    <t>富满微</t>
  </si>
  <si>
    <t>www.lixinger.com/analytics/company/sz/300671/300671/detail</t>
  </si>
  <si>
    <t>国科微</t>
  </si>
  <si>
    <t>www.lixinger.com/analytics/company/sz/300672/300672/detail</t>
  </si>
  <si>
    <t>佩蒂股份</t>
  </si>
  <si>
    <t>www.lixinger.com/analytics/company/sz/300673/300673/detail</t>
  </si>
  <si>
    <t>宇信科技</t>
  </si>
  <si>
    <t>www.lixinger.com/analytics/company/sz/300674/300674/detail</t>
  </si>
  <si>
    <t>建科院</t>
  </si>
  <si>
    <t>www.lixinger.com/analytics/company/sz/300675/300675/detail</t>
  </si>
  <si>
    <t>华大基因</t>
  </si>
  <si>
    <t>www.lixinger.com/analytics/company/sz/300676/300676/detail</t>
  </si>
  <si>
    <t>英科医疗</t>
  </si>
  <si>
    <t>www.lixinger.com/analytics/company/sz/300677/300677/detail</t>
  </si>
  <si>
    <t>中科信息</t>
  </si>
  <si>
    <t>www.lixinger.com/analytics/company/sz/300678/300678/detail</t>
  </si>
  <si>
    <t>电连技术</t>
  </si>
  <si>
    <t>www.lixinger.com/analytics/company/sz/300679/300679/detail</t>
  </si>
  <si>
    <t>隆盛科技</t>
  </si>
  <si>
    <t>www.lixinger.com/analytics/company/sz/300680/300680/detail</t>
  </si>
  <si>
    <t>英搏尔</t>
  </si>
  <si>
    <t>www.lixinger.com/analytics/company/sz/300681/300681/detail</t>
  </si>
  <si>
    <t>朗新科技</t>
  </si>
  <si>
    <t>www.lixinger.com/analytics/company/sz/300682/300682/detail</t>
  </si>
  <si>
    <t>海特生物</t>
  </si>
  <si>
    <t>www.lixinger.com/analytics/company/sz/300683/300683/detail</t>
  </si>
  <si>
    <t>中石科技</t>
  </si>
  <si>
    <t>www.lixinger.com/analytics/company/sz/300684/300684/detail</t>
  </si>
  <si>
    <t>艾德生物</t>
  </si>
  <si>
    <t>www.lixinger.com/analytics/company/sz/300685/300685/detail</t>
  </si>
  <si>
    <t>智动力</t>
  </si>
  <si>
    <t>www.lixinger.com/analytics/company/sz/300686/300686/detail</t>
  </si>
  <si>
    <t>赛意信息</t>
  </si>
  <si>
    <t>www.lixinger.com/analytics/company/sz/300687/300687/detail</t>
  </si>
  <si>
    <t>创业黑马</t>
  </si>
  <si>
    <t>www.lixinger.com/analytics/company/sz/300688/300688/detail</t>
  </si>
  <si>
    <t>澄天伟业</t>
  </si>
  <si>
    <t>www.lixinger.com/analytics/company/sz/300689/300689/detail</t>
  </si>
  <si>
    <t>双一科技</t>
  </si>
  <si>
    <t>www.lixinger.com/analytics/company/sz/300690/300690/detail</t>
  </si>
  <si>
    <t>联合光电</t>
  </si>
  <si>
    <t>www.lixinger.com/analytics/company/sz/300691/300691/detail</t>
  </si>
  <si>
    <t>中环环保</t>
  </si>
  <si>
    <t>www.lixinger.com/analytics/company/sz/300692/300692/detail</t>
  </si>
  <si>
    <t>盛弘股份</t>
  </si>
  <si>
    <t>www.lixinger.com/analytics/company/sz/300693/300693/detail</t>
  </si>
  <si>
    <t>蠡湖股份</t>
  </si>
  <si>
    <t>www.lixinger.com/analytics/company/sz/300694/300694/detail</t>
  </si>
  <si>
    <t>兆丰股份</t>
  </si>
  <si>
    <t>www.lixinger.com/analytics/company/sz/300695/300695/detail</t>
  </si>
  <si>
    <t>爱乐达</t>
  </si>
  <si>
    <t>www.lixinger.com/analytics/company/sz/300696/300696/detail</t>
  </si>
  <si>
    <t>电工合金</t>
  </si>
  <si>
    <t>www.lixinger.com/analytics/company/sz/300697/300697/detail</t>
  </si>
  <si>
    <t>万马科技</t>
  </si>
  <si>
    <t>www.lixinger.com/analytics/company/sz/300698/300698/detail</t>
  </si>
  <si>
    <t>光威复材</t>
  </si>
  <si>
    <t>www.lixinger.com/analytics/company/sz/300699/300699/detail</t>
  </si>
  <si>
    <t>岱勒新材</t>
  </si>
  <si>
    <t>www.lixinger.com/analytics/company/sz/300700/300700/detail</t>
  </si>
  <si>
    <t>森霸传感</t>
  </si>
  <si>
    <t>www.lixinger.com/analytics/company/sz/300701/300701/detail</t>
  </si>
  <si>
    <t>天宇股份</t>
  </si>
  <si>
    <t>www.lixinger.com/analytics/company/sz/300702/300702/detail</t>
  </si>
  <si>
    <t>创源股份</t>
  </si>
  <si>
    <t>www.lixinger.com/analytics/company/sz/300703/300703/detail</t>
  </si>
  <si>
    <t>九典制药</t>
  </si>
  <si>
    <t>www.lixinger.com/analytics/company/sz/300705/300705/detail</t>
  </si>
  <si>
    <t>阿石创</t>
  </si>
  <si>
    <t>www.lixinger.com/analytics/company/sz/300706/300706/detail</t>
  </si>
  <si>
    <t>威唐工业</t>
  </si>
  <si>
    <t>www.lixinger.com/analytics/company/sz/300707/300707/detail</t>
  </si>
  <si>
    <t>聚灿光电</t>
  </si>
  <si>
    <t>www.lixinger.com/analytics/company/sz/300708/300708/detail</t>
  </si>
  <si>
    <t>精研科技</t>
  </si>
  <si>
    <t>www.lixinger.com/analytics/company/sz/300709/300709/detail</t>
  </si>
  <si>
    <t>万隆光电</t>
  </si>
  <si>
    <t>www.lixinger.com/analytics/company/sz/300710/300710/detail</t>
  </si>
  <si>
    <t>广哈通信</t>
  </si>
  <si>
    <t>www.lixinger.com/analytics/company/sz/300711/300711/detail</t>
  </si>
  <si>
    <t>永福股份</t>
  </si>
  <si>
    <t>www.lixinger.com/analytics/company/sz/300712/300712/detail</t>
  </si>
  <si>
    <t>英可瑞</t>
  </si>
  <si>
    <t>www.lixinger.com/analytics/company/sz/300713/300713/detail</t>
  </si>
  <si>
    <t>凯伦股份</t>
  </si>
  <si>
    <t>www.lixinger.com/analytics/company/sz/300715/300715/detail</t>
  </si>
  <si>
    <t>国立科技</t>
  </si>
  <si>
    <t>www.lixinger.com/analytics/company/sz/300716/300716/detail</t>
  </si>
  <si>
    <t>华信新材</t>
  </si>
  <si>
    <t>www.lixinger.com/analytics/company/sz/300717/300717/detail</t>
  </si>
  <si>
    <t>长盛轴承</t>
  </si>
  <si>
    <t>www.lixinger.com/analytics/company/sz/300718/300718/detail</t>
  </si>
  <si>
    <t>安达维尔</t>
  </si>
  <si>
    <t>www.lixinger.com/analytics/company/sz/300719/300719/detail</t>
  </si>
  <si>
    <t>海川智能</t>
  </si>
  <si>
    <t>www.lixinger.com/analytics/company/sz/300720/300720/detail</t>
  </si>
  <si>
    <t>怡达股份</t>
  </si>
  <si>
    <t>www.lixinger.com/analytics/company/sz/300721/300721/detail</t>
  </si>
  <si>
    <t>新余国科</t>
  </si>
  <si>
    <t>www.lixinger.com/analytics/company/sz/300722/300722/detail</t>
  </si>
  <si>
    <t>一品红</t>
  </si>
  <si>
    <t>www.lixinger.com/analytics/company/sz/300723/300723/detail</t>
  </si>
  <si>
    <t>捷佳伟创</t>
  </si>
  <si>
    <t>www.lixinger.com/analytics/company/sz/300724/300724/detail</t>
  </si>
  <si>
    <t>药石科技</t>
  </si>
  <si>
    <t>www.lixinger.com/analytics/company/sz/300725/300725/detail</t>
  </si>
  <si>
    <t>宏达电子</t>
  </si>
  <si>
    <t>www.lixinger.com/analytics/company/sz/300726/300726/detail</t>
  </si>
  <si>
    <t>润禾材料</t>
  </si>
  <si>
    <t>www.lixinger.com/analytics/company/sz/300727/300727/detail</t>
  </si>
  <si>
    <t>天常股份</t>
  </si>
  <si>
    <t>www.lixinger.com/analytics/company/sz/300728/300728/detail</t>
  </si>
  <si>
    <t>乐歌股份</t>
  </si>
  <si>
    <t>www.lixinger.com/analytics/company/sz/300729/300729/detail</t>
  </si>
  <si>
    <t>科创信息</t>
  </si>
  <si>
    <t>www.lixinger.com/analytics/company/sz/300730/300730/detail</t>
  </si>
  <si>
    <t>科创新源</t>
  </si>
  <si>
    <t>www.lixinger.com/analytics/company/sz/300731/300731/detail</t>
  </si>
  <si>
    <t>设研院</t>
  </si>
  <si>
    <t>www.lixinger.com/analytics/company/sz/300732/300732/detail</t>
  </si>
  <si>
    <t>西菱动力</t>
  </si>
  <si>
    <t>www.lixinger.com/analytics/company/sz/300733/300733/detail</t>
  </si>
  <si>
    <t>光弘科技</t>
  </si>
  <si>
    <t>www.lixinger.com/analytics/company/sz/300735/300735/detail</t>
  </si>
  <si>
    <t>百邦科技</t>
  </si>
  <si>
    <t>www.lixinger.com/analytics/company/sz/300736/300736/detail</t>
  </si>
  <si>
    <t>科顺股份</t>
  </si>
  <si>
    <t>www.lixinger.com/analytics/company/sz/300737/300737/detail</t>
  </si>
  <si>
    <t>奥飞数据</t>
  </si>
  <si>
    <t>www.lixinger.com/analytics/company/sz/300738/300738/detail</t>
  </si>
  <si>
    <t>明阳电路</t>
  </si>
  <si>
    <t>www.lixinger.com/analytics/company/sz/300739/300739/detail</t>
  </si>
  <si>
    <t>水羊股份</t>
  </si>
  <si>
    <t>www.lixinger.com/analytics/company/sz/300740/300740/detail</t>
  </si>
  <si>
    <t>华宝股份</t>
  </si>
  <si>
    <t>www.lixinger.com/analytics/company/sz/300741/300741/detail</t>
  </si>
  <si>
    <t>越博动力</t>
  </si>
  <si>
    <t>www.lixinger.com/analytics/company/sz/300742/300742/detail</t>
  </si>
  <si>
    <t>天地数码</t>
  </si>
  <si>
    <t>www.lixinger.com/analytics/company/sz/300743/300743/detail</t>
  </si>
  <si>
    <t>欣锐科技</t>
  </si>
  <si>
    <t>www.lixinger.com/analytics/company/sz/300745/300745/detail</t>
  </si>
  <si>
    <t>汉嘉设计</t>
  </si>
  <si>
    <t>www.lixinger.com/analytics/company/sz/300746/300746/detail</t>
  </si>
  <si>
    <t>锐科激光</t>
  </si>
  <si>
    <t>www.lixinger.com/analytics/company/sz/300747/300747/detail</t>
  </si>
  <si>
    <t>金力永磁</t>
  </si>
  <si>
    <t>www.lixinger.com/analytics/company/sz/300748/300748/detail</t>
  </si>
  <si>
    <t>顶固集创</t>
  </si>
  <si>
    <t>www.lixinger.com/analytics/company/sz/300749/300749/detail</t>
  </si>
  <si>
    <t>宁德时代</t>
  </si>
  <si>
    <t>www.lixinger.com/analytics/company/sz/300750/300750/detail</t>
  </si>
  <si>
    <t>迈为股份</t>
  </si>
  <si>
    <t>www.lixinger.com/analytics/company/sz/300751/300751/detail</t>
  </si>
  <si>
    <t>隆利科技</t>
  </si>
  <si>
    <t>www.lixinger.com/analytics/company/sz/300752/300752/detail</t>
  </si>
  <si>
    <t>爱朋医疗</t>
  </si>
  <si>
    <t>www.lixinger.com/analytics/company/sz/300753/300753/detail</t>
  </si>
  <si>
    <t>华致酒行</t>
  </si>
  <si>
    <t>www.lixinger.com/analytics/company/sz/300755/300755/detail</t>
  </si>
  <si>
    <t>金马游乐</t>
  </si>
  <si>
    <t>www.lixinger.com/analytics/company/sz/300756/300756/detail</t>
  </si>
  <si>
    <t>罗博特科</t>
  </si>
  <si>
    <t>www.lixinger.com/analytics/company/sz/300757/300757/detail</t>
  </si>
  <si>
    <t>七彩化学</t>
  </si>
  <si>
    <t>www.lixinger.com/analytics/company/sz/300758/300758/detail</t>
  </si>
  <si>
    <t>康龙化成</t>
  </si>
  <si>
    <t>www.lixinger.com/analytics/company/sz/300759/300759/detail</t>
  </si>
  <si>
    <t>迈瑞医疗</t>
  </si>
  <si>
    <t>www.lixinger.com/analytics/company/sz/300760/300760/detail</t>
  </si>
  <si>
    <t>立华股份</t>
  </si>
  <si>
    <t>www.lixinger.com/analytics/company/sz/300761/300761/detail</t>
  </si>
  <si>
    <t>上海瀚讯</t>
  </si>
  <si>
    <t>www.lixinger.com/analytics/company/sz/300762/300762/detail</t>
  </si>
  <si>
    <t>锦浪科技</t>
  </si>
  <si>
    <t>www.lixinger.com/analytics/company/sz/300763/300763/detail</t>
  </si>
  <si>
    <t>新诺威</t>
  </si>
  <si>
    <t>www.lixinger.com/analytics/company/sz/300765/300765/detail</t>
  </si>
  <si>
    <t>每日互动</t>
  </si>
  <si>
    <t>www.lixinger.com/analytics/company/sz/300766/300766/detail</t>
  </si>
  <si>
    <t>震安科技</t>
  </si>
  <si>
    <t>www.lixinger.com/analytics/company/sz/300767/300767/detail</t>
  </si>
  <si>
    <t>迪普科技</t>
  </si>
  <si>
    <t>www.lixinger.com/analytics/company/sz/300768/300768/detail</t>
  </si>
  <si>
    <t>德方纳米</t>
  </si>
  <si>
    <t>www.lixinger.com/analytics/company/sz/300769/300769/detail</t>
  </si>
  <si>
    <t>新媒股份</t>
  </si>
  <si>
    <t>www.lixinger.com/analytics/company/sz/300770/300770/detail</t>
  </si>
  <si>
    <t>智莱科技</t>
  </si>
  <si>
    <t>www.lixinger.com/analytics/company/sz/300771/300771/detail</t>
  </si>
  <si>
    <t>运达股份</t>
  </si>
  <si>
    <t>www.lixinger.com/analytics/company/sz/300772/300772/detail</t>
  </si>
  <si>
    <t>拉卡拉</t>
  </si>
  <si>
    <t>www.lixinger.com/analytics/company/sz/300773/300773/detail</t>
  </si>
  <si>
    <t>倍杰特</t>
  </si>
  <si>
    <t>www.lixinger.com/analytics/company/sz/300774/300774/detail</t>
  </si>
  <si>
    <t>三角防务</t>
  </si>
  <si>
    <t>www.lixinger.com/analytics/company/sz/300775/300775/detail</t>
  </si>
  <si>
    <t>帝尔激光</t>
  </si>
  <si>
    <t>www.lixinger.com/analytics/company/sz/300776/300776/detail</t>
  </si>
  <si>
    <t>中简科技</t>
  </si>
  <si>
    <t>www.lixinger.com/analytics/company/sz/300777/300777/detail</t>
  </si>
  <si>
    <t>新城市</t>
  </si>
  <si>
    <t>www.lixinger.com/analytics/company/sz/300778/300778/detail</t>
  </si>
  <si>
    <t>惠城环保</t>
  </si>
  <si>
    <t>www.lixinger.com/analytics/company/sz/300779/300779/detail</t>
  </si>
  <si>
    <t>德恩精工</t>
  </si>
  <si>
    <t>www.lixinger.com/analytics/company/sz/300780/300780/detail</t>
  </si>
  <si>
    <t>因赛集团</t>
  </si>
  <si>
    <t>www.lixinger.com/analytics/company/sz/300781/300781/detail</t>
  </si>
  <si>
    <t>卓胜微</t>
  </si>
  <si>
    <t>www.lixinger.com/analytics/company/sz/300782/300782/detail</t>
  </si>
  <si>
    <t>三只松鼠</t>
  </si>
  <si>
    <t>www.lixinger.com/analytics/company/sz/300783/300783/detail</t>
  </si>
  <si>
    <t>值得买</t>
  </si>
  <si>
    <t>www.lixinger.com/analytics/company/sz/300785/300785/detail</t>
  </si>
  <si>
    <t>国林科技</t>
  </si>
  <si>
    <t>www.lixinger.com/analytics/company/sz/300786/300786/detail</t>
  </si>
  <si>
    <t>海能实业</t>
  </si>
  <si>
    <t>www.lixinger.com/analytics/company/sz/300787/300787/detail</t>
  </si>
  <si>
    <t>中信出版</t>
  </si>
  <si>
    <t>www.lixinger.com/analytics/company/sz/300788/300788/detail</t>
  </si>
  <si>
    <t>唐源电气</t>
  </si>
  <si>
    <t>www.lixinger.com/analytics/company/sz/300789/300789/detail</t>
  </si>
  <si>
    <t>宇瞳光学</t>
  </si>
  <si>
    <t>www.lixinger.com/analytics/company/sz/300790/300790/detail</t>
  </si>
  <si>
    <t>仙乐健康</t>
  </si>
  <si>
    <t>www.lixinger.com/analytics/company/sz/300791/300791/detail</t>
  </si>
  <si>
    <t>壹网壹创</t>
  </si>
  <si>
    <t>www.lixinger.com/analytics/company/sz/300792/300792/detail</t>
  </si>
  <si>
    <t>佳禾智能</t>
  </si>
  <si>
    <t>www.lixinger.com/analytics/company/sz/300793/300793/detail</t>
  </si>
  <si>
    <t>米奥会展</t>
  </si>
  <si>
    <t>www.lixinger.com/analytics/company/sz/300795/300795/detail</t>
  </si>
  <si>
    <t>贝斯美</t>
  </si>
  <si>
    <t>www.lixinger.com/analytics/company/sz/300796/300796/detail</t>
  </si>
  <si>
    <t>钢研纳克</t>
  </si>
  <si>
    <t>www.lixinger.com/analytics/company/sz/300797/300797/detail</t>
  </si>
  <si>
    <t>锦鸡股份</t>
  </si>
  <si>
    <t>www.lixinger.com/analytics/company/sz/300798/300798/detail</t>
  </si>
  <si>
    <t>左江科技</t>
  </si>
  <si>
    <t>www.lixinger.com/analytics/company/sz/300799/300799/detail</t>
  </si>
  <si>
    <t>力合科技</t>
  </si>
  <si>
    <t>www.lixinger.com/analytics/company/sz/300800/300800/detail</t>
  </si>
  <si>
    <t>泰和科技</t>
  </si>
  <si>
    <t>www.lixinger.com/analytics/company/sz/300801/300801/detail</t>
  </si>
  <si>
    <t>矩子科技</t>
  </si>
  <si>
    <t>www.lixinger.com/analytics/company/sz/300802/300802/detail</t>
  </si>
  <si>
    <t>指南针</t>
  </si>
  <si>
    <t>www.lixinger.com/analytics/company/sz/300803/300803/detail</t>
  </si>
  <si>
    <t>电声股份</t>
  </si>
  <si>
    <t>www.lixinger.com/analytics/company/sz/300805/300805/detail</t>
  </si>
  <si>
    <t>斯迪克</t>
  </si>
  <si>
    <t>www.lixinger.com/analytics/company/sz/300806/300806/detail</t>
  </si>
  <si>
    <t>天迈科技</t>
  </si>
  <si>
    <t>www.lixinger.com/analytics/company/sz/300807/300807/detail</t>
  </si>
  <si>
    <t>久量股份</t>
  </si>
  <si>
    <t>www.lixinger.com/analytics/company/sz/300808/300808/detail</t>
  </si>
  <si>
    <t>华辰装备</t>
  </si>
  <si>
    <t>www.lixinger.com/analytics/company/sz/300809/300809/detail</t>
  </si>
  <si>
    <t>中科海讯</t>
  </si>
  <si>
    <t>www.lixinger.com/analytics/company/sz/300810/300810/detail</t>
  </si>
  <si>
    <t>铂科新材</t>
  </si>
  <si>
    <t>www.lixinger.com/analytics/company/sz/300811/300811/detail</t>
  </si>
  <si>
    <t>易天股份</t>
  </si>
  <si>
    <t>www.lixinger.com/analytics/company/sz/300812/300812/detail</t>
  </si>
  <si>
    <t>泰林生物</t>
  </si>
  <si>
    <t>www.lixinger.com/analytics/company/sz/300813/300813/detail</t>
  </si>
  <si>
    <t>中富电路</t>
  </si>
  <si>
    <t>www.lixinger.com/analytics/company/sz/300814/300814/detail</t>
  </si>
  <si>
    <t>玉禾田</t>
  </si>
  <si>
    <t>www.lixinger.com/analytics/company/sz/300815/300815/detail</t>
  </si>
  <si>
    <t>艾可蓝</t>
  </si>
  <si>
    <t>www.lixinger.com/analytics/company/sz/300816/300816/detail</t>
  </si>
  <si>
    <t>双飞股份</t>
  </si>
  <si>
    <t>www.lixinger.com/analytics/company/sz/300817/300817/detail</t>
  </si>
  <si>
    <t>耐普矿机</t>
  </si>
  <si>
    <t>www.lixinger.com/analytics/company/sz/300818/300818/detail</t>
  </si>
  <si>
    <t>聚杰微纤</t>
  </si>
  <si>
    <t>www.lixinger.com/analytics/company/sz/300819/300819/detail</t>
  </si>
  <si>
    <t>英杰电气</t>
  </si>
  <si>
    <t>www.lixinger.com/analytics/company/sz/300820/300820/detail</t>
  </si>
  <si>
    <t>东岳硅材</t>
  </si>
  <si>
    <t>www.lixinger.com/analytics/company/sz/300821/300821/detail</t>
  </si>
  <si>
    <t>贝仕达克</t>
  </si>
  <si>
    <t>www.lixinger.com/analytics/company/sz/300822/300822/detail</t>
  </si>
  <si>
    <t>建科机械</t>
  </si>
  <si>
    <t>www.lixinger.com/analytics/company/sz/300823/300823/detail</t>
  </si>
  <si>
    <t>北鼎股份</t>
  </si>
  <si>
    <t>www.lixinger.com/analytics/company/sz/300824/300824/detail</t>
  </si>
  <si>
    <t>阿尔特</t>
  </si>
  <si>
    <t>www.lixinger.com/analytics/company/sz/300825/300825/detail</t>
  </si>
  <si>
    <t>测绘股份</t>
  </si>
  <si>
    <t>www.lixinger.com/analytics/company/sz/300826/300826/detail</t>
  </si>
  <si>
    <t>上能电气</t>
  </si>
  <si>
    <t>www.lixinger.com/analytics/company/sz/300827/300827/detail</t>
  </si>
  <si>
    <t>锐新科技</t>
  </si>
  <si>
    <t>www.lixinger.com/analytics/company/sz/300828/300828/detail</t>
  </si>
  <si>
    <t>金丹科技</t>
  </si>
  <si>
    <t>www.lixinger.com/analytics/company/sz/300829/300829/detail</t>
  </si>
  <si>
    <t>金现代</t>
  </si>
  <si>
    <t>www.lixinger.com/analytics/company/sz/300830/300830/detail</t>
  </si>
  <si>
    <t>派瑞股份</t>
  </si>
  <si>
    <t>www.lixinger.com/analytics/company/sz/300831/300831/detail</t>
  </si>
  <si>
    <t>新产业</t>
  </si>
  <si>
    <t>www.lixinger.com/analytics/company/sz/300832/300832/detail</t>
  </si>
  <si>
    <t>浩洋股份</t>
  </si>
  <si>
    <t>www.lixinger.com/analytics/company/sz/300833/300833/detail</t>
  </si>
  <si>
    <t>星辉环材</t>
  </si>
  <si>
    <t>www.lixinger.com/analytics/company/sz/300834/300834/detail</t>
  </si>
  <si>
    <t>龙磁科技</t>
  </si>
  <si>
    <t>www.lixinger.com/analytics/company/sz/300835/300835/detail</t>
  </si>
  <si>
    <t>佰奥智能</t>
  </si>
  <si>
    <t>www.lixinger.com/analytics/company/sz/300836/300836/detail</t>
  </si>
  <si>
    <t>浙矿股份</t>
  </si>
  <si>
    <t>www.lixinger.com/analytics/company/sz/300837/300837/detail</t>
  </si>
  <si>
    <t>浙江力诺</t>
  </si>
  <si>
    <t>www.lixinger.com/analytics/company/sz/300838/300838/detail</t>
  </si>
  <si>
    <t>博汇股份</t>
  </si>
  <si>
    <t>www.lixinger.com/analytics/company/sz/300839/300839/detail</t>
  </si>
  <si>
    <t>酷特智能</t>
  </si>
  <si>
    <t>www.lixinger.com/analytics/company/sz/300840/300840/detail</t>
  </si>
  <si>
    <t>康华生物</t>
  </si>
  <si>
    <t>www.lixinger.com/analytics/company/sz/300841/300841/detail</t>
  </si>
  <si>
    <t>帝科股份</t>
  </si>
  <si>
    <t>www.lixinger.com/analytics/company/sz/300842/300842/detail</t>
  </si>
  <si>
    <t>胜蓝股份</t>
  </si>
  <si>
    <t>www.lixinger.com/analytics/company/sz/300843/300843/detail</t>
  </si>
  <si>
    <t>山水比德</t>
  </si>
  <si>
    <t>www.lixinger.com/analytics/company/sz/300844/300844/detail</t>
  </si>
  <si>
    <t>捷安高科</t>
  </si>
  <si>
    <t>www.lixinger.com/analytics/company/sz/300845/300845/detail</t>
  </si>
  <si>
    <t>首都在线</t>
  </si>
  <si>
    <t>www.lixinger.com/analytics/company/sz/300846/300846/detail</t>
  </si>
  <si>
    <t>中船汉光</t>
  </si>
  <si>
    <t>www.lixinger.com/analytics/company/sz/300847/300847/detail</t>
  </si>
  <si>
    <t>美瑞新材</t>
  </si>
  <si>
    <t>www.lixinger.com/analytics/company/sz/300848/300848/detail</t>
  </si>
  <si>
    <t>锦盛新材</t>
  </si>
  <si>
    <t>www.lixinger.com/analytics/company/sz/300849/300849/detail</t>
  </si>
  <si>
    <t>新强联</t>
  </si>
  <si>
    <t>www.lixinger.com/analytics/company/sz/300850/300850/detail</t>
  </si>
  <si>
    <t>交大思诺</t>
  </si>
  <si>
    <t>www.lixinger.com/analytics/company/sz/300851/300851/detail</t>
  </si>
  <si>
    <t>四会富仕</t>
  </si>
  <si>
    <t>www.lixinger.com/analytics/company/sz/300852/300852/detail</t>
  </si>
  <si>
    <t>申昊科技</t>
  </si>
  <si>
    <t>www.lixinger.com/analytics/company/sz/300853/300853/detail</t>
  </si>
  <si>
    <t>中兰环保</t>
  </si>
  <si>
    <t>www.lixinger.com/analytics/company/sz/300854/300854/detail</t>
  </si>
  <si>
    <t>图南股份</t>
  </si>
  <si>
    <t>www.lixinger.com/analytics/company/sz/300855/300855/detail</t>
  </si>
  <si>
    <t>科思股份</t>
  </si>
  <si>
    <t>www.lixinger.com/analytics/company/sz/300856/300856/detail</t>
  </si>
  <si>
    <t>协创数据</t>
  </si>
  <si>
    <t>www.lixinger.com/analytics/company/sz/300857/300857/detail</t>
  </si>
  <si>
    <t>科拓生物</t>
  </si>
  <si>
    <t>www.lixinger.com/analytics/company/sz/300858/300858/detail</t>
  </si>
  <si>
    <t>*ST西域</t>
  </si>
  <si>
    <t>www.lixinger.com/analytics/company/sz/300859/300859/detail</t>
  </si>
  <si>
    <t>锋尚文化</t>
  </si>
  <si>
    <t>www.lixinger.com/analytics/company/sz/300860/300860/detail</t>
  </si>
  <si>
    <t>美畅股份</t>
  </si>
  <si>
    <t>www.lixinger.com/analytics/company/sz/300861/300861/detail</t>
  </si>
  <si>
    <t>蓝盾光电</t>
  </si>
  <si>
    <t>www.lixinger.com/analytics/company/sz/300862/300862/detail</t>
  </si>
  <si>
    <t>卡倍亿</t>
  </si>
  <si>
    <t>www.lixinger.com/analytics/company/sz/300863/300863/detail</t>
  </si>
  <si>
    <t>南大环境</t>
  </si>
  <si>
    <t>www.lixinger.com/analytics/company/sz/300864/300864/detail</t>
  </si>
  <si>
    <t>大宏立</t>
  </si>
  <si>
    <t>www.lixinger.com/analytics/company/sz/300865/300865/detail</t>
  </si>
  <si>
    <t>安克创新</t>
  </si>
  <si>
    <t>www.lixinger.com/analytics/company/sz/300866/300866/detail</t>
  </si>
  <si>
    <t>圣元环保</t>
  </si>
  <si>
    <t>www.lixinger.com/analytics/company/sz/300867/300867/detail</t>
  </si>
  <si>
    <t>杰美特</t>
  </si>
  <si>
    <t>www.lixinger.com/analytics/company/sz/300868/300868/detail</t>
  </si>
  <si>
    <t>康泰医学</t>
  </si>
  <si>
    <t>www.lixinger.com/analytics/company/sz/300869/300869/detail</t>
  </si>
  <si>
    <t>欧陆通</t>
  </si>
  <si>
    <t>www.lixinger.com/analytics/company/sz/300870/300870/detail</t>
  </si>
  <si>
    <t>回盛生物</t>
  </si>
  <si>
    <t>www.lixinger.com/analytics/company/sz/300871/300871/detail</t>
  </si>
  <si>
    <t>天阳科技</t>
  </si>
  <si>
    <t>www.lixinger.com/analytics/company/sz/300872/300872/detail</t>
  </si>
  <si>
    <t>海晨股份</t>
  </si>
  <si>
    <t>www.lixinger.com/analytics/company/sz/300873/300873/detail</t>
  </si>
  <si>
    <t>捷强装备</t>
  </si>
  <si>
    <t>www.lixinger.com/analytics/company/sz/300875/300875/detail</t>
  </si>
  <si>
    <t>蒙泰高新</t>
  </si>
  <si>
    <t>www.lixinger.com/analytics/company/sz/300876/300876/detail</t>
  </si>
  <si>
    <t>金春股份</t>
  </si>
  <si>
    <t>www.lixinger.com/analytics/company/sz/300877/300877/detail</t>
  </si>
  <si>
    <t>维康药业</t>
  </si>
  <si>
    <t>www.lixinger.com/analytics/company/sz/300878/300878/detail</t>
  </si>
  <si>
    <t>大叶股份</t>
  </si>
  <si>
    <t>www.lixinger.com/analytics/company/sz/300879/300879/detail</t>
  </si>
  <si>
    <t>迦南智能</t>
  </si>
  <si>
    <t>www.lixinger.com/analytics/company/sz/300880/300880/detail</t>
  </si>
  <si>
    <t>盛德鑫泰</t>
  </si>
  <si>
    <t>www.lixinger.com/analytics/company/sz/300881/300881/detail</t>
  </si>
  <si>
    <t>万胜智能</t>
  </si>
  <si>
    <t>www.lixinger.com/analytics/company/sz/300882/300882/detail</t>
  </si>
  <si>
    <t>龙利得</t>
  </si>
  <si>
    <t>www.lixinger.com/analytics/company/sz/300883/300883/detail</t>
  </si>
  <si>
    <t>狄耐克</t>
  </si>
  <si>
    <t>www.lixinger.com/analytics/company/sz/300884/300884/detail</t>
  </si>
  <si>
    <t>海昌新材</t>
  </si>
  <si>
    <t>www.lixinger.com/analytics/company/sz/300885/300885/detail</t>
  </si>
  <si>
    <t>华业香料</t>
  </si>
  <si>
    <t>www.lixinger.com/analytics/company/sz/300886/300886/detail</t>
  </si>
  <si>
    <t>谱尼测试</t>
  </si>
  <si>
    <t>www.lixinger.com/analytics/company/sz/300887/300887/detail</t>
  </si>
  <si>
    <t>稳健医疗</t>
  </si>
  <si>
    <t>www.lixinger.com/analytics/company/sz/300888/300888/detail</t>
  </si>
  <si>
    <t>爱克股份</t>
  </si>
  <si>
    <t>www.lixinger.com/analytics/company/sz/300889/300889/detail</t>
  </si>
  <si>
    <t>翔丰华</t>
  </si>
  <si>
    <t>www.lixinger.com/analytics/company/sz/300890/300890/detail</t>
  </si>
  <si>
    <t>惠云钛业</t>
  </si>
  <si>
    <t>www.lixinger.com/analytics/company/sz/300891/300891/detail</t>
  </si>
  <si>
    <t>品渥食品</t>
  </si>
  <si>
    <t>www.lixinger.com/analytics/company/sz/300892/300892/detail</t>
  </si>
  <si>
    <t>松原股份</t>
  </si>
  <si>
    <t>www.lixinger.com/analytics/company/sz/300893/300893/detail</t>
  </si>
  <si>
    <t>火星人</t>
  </si>
  <si>
    <t>www.lixinger.com/analytics/company/sz/300894/300894/detail</t>
  </si>
  <si>
    <t>铜牛信息</t>
  </si>
  <si>
    <t>www.lixinger.com/analytics/company/sz/300895/300895/detail</t>
  </si>
  <si>
    <t>爱美客</t>
  </si>
  <si>
    <t>www.lixinger.com/analytics/company/sz/300896/300896/detail</t>
  </si>
  <si>
    <t>山科智能</t>
  </si>
  <si>
    <t>www.lixinger.com/analytics/company/sz/300897/300897/detail</t>
  </si>
  <si>
    <t>熊猫乳品</t>
  </si>
  <si>
    <t>www.lixinger.com/analytics/company/sz/300898/300898/detail</t>
  </si>
  <si>
    <t>上海凯鑫</t>
  </si>
  <si>
    <t>www.lixinger.com/analytics/company/sz/300899/300899/detail</t>
  </si>
  <si>
    <t>广联航空</t>
  </si>
  <si>
    <t>www.lixinger.com/analytics/company/sz/300900/300900/detail</t>
  </si>
  <si>
    <t>中胤时尚</t>
  </si>
  <si>
    <t>www.lixinger.com/analytics/company/sz/300901/300901/detail</t>
  </si>
  <si>
    <t>国安达</t>
  </si>
  <si>
    <t>www.lixinger.com/analytics/company/sz/300902/300902/detail</t>
  </si>
  <si>
    <t>科翔股份</t>
  </si>
  <si>
    <t>www.lixinger.com/analytics/company/sz/300903/300903/detail</t>
  </si>
  <si>
    <t>宝丽迪</t>
  </si>
  <si>
    <t>www.lixinger.com/analytics/company/sz/300905/300905/detail</t>
  </si>
  <si>
    <t>日月明</t>
  </si>
  <si>
    <t>www.lixinger.com/analytics/company/sz/300906/300906/detail</t>
  </si>
  <si>
    <t>康平科技</t>
  </si>
  <si>
    <t>www.lixinger.com/analytics/company/sz/300907/300907/detail</t>
  </si>
  <si>
    <t>仲景食品</t>
  </si>
  <si>
    <t>www.lixinger.com/analytics/company/sz/300908/300908/detail</t>
  </si>
  <si>
    <t>汇创达</t>
  </si>
  <si>
    <t>www.lixinger.com/analytics/company/sz/300909/300909/detail</t>
  </si>
  <si>
    <t>瑞丰新材</t>
  </si>
  <si>
    <t>www.lixinger.com/analytics/company/sz/300910/300910/detail</t>
  </si>
  <si>
    <t>亿田智能</t>
  </si>
  <si>
    <t>www.lixinger.com/analytics/company/sz/300911/300911/detail</t>
  </si>
  <si>
    <t>凯龙高科</t>
  </si>
  <si>
    <t>www.lixinger.com/analytics/company/sz/300912/300912/detail</t>
  </si>
  <si>
    <t>兆龙互连</t>
  </si>
  <si>
    <t>www.lixinger.com/analytics/company/sz/300913/300913/detail</t>
  </si>
  <si>
    <t>海融科技</t>
  </si>
  <si>
    <t>www.lixinger.com/analytics/company/sz/300915/300915/detail</t>
  </si>
  <si>
    <t>朗特智能</t>
  </si>
  <si>
    <t>www.lixinger.com/analytics/company/sz/300916/300916/detail</t>
  </si>
  <si>
    <t>特发服务</t>
  </si>
  <si>
    <t>www.lixinger.com/analytics/company/sz/300917/300917/detail</t>
  </si>
  <si>
    <t>南山智尚</t>
  </si>
  <si>
    <t>www.lixinger.com/analytics/company/sz/300918/300918/detail</t>
  </si>
  <si>
    <t>中伟股份</t>
  </si>
  <si>
    <t>www.lixinger.com/analytics/company/sz/300919/300919/detail</t>
  </si>
  <si>
    <t>润阳科技</t>
  </si>
  <si>
    <t>www.lixinger.com/analytics/company/sz/300920/300920/detail</t>
  </si>
  <si>
    <t>南凌科技</t>
  </si>
  <si>
    <t>www.lixinger.com/analytics/company/sz/300921/300921/detail</t>
  </si>
  <si>
    <t>天秦装备</t>
  </si>
  <si>
    <t>www.lixinger.com/analytics/company/sz/300922/300922/detail</t>
  </si>
  <si>
    <t>研奥股份</t>
  </si>
  <si>
    <t>www.lixinger.com/analytics/company/sz/300923/300923/detail</t>
  </si>
  <si>
    <t>法本信息</t>
  </si>
  <si>
    <t>www.lixinger.com/analytics/company/sz/300925/300925/detail</t>
  </si>
  <si>
    <t>博俊科技</t>
  </si>
  <si>
    <t>www.lixinger.com/analytics/company/sz/300926/300926/detail</t>
  </si>
  <si>
    <t>江天化学</t>
  </si>
  <si>
    <t>www.lixinger.com/analytics/company/sz/300927/300927/detail</t>
  </si>
  <si>
    <t>华安鑫创</t>
  </si>
  <si>
    <t>www.lixinger.com/analytics/company/sz/300928/300928/detail</t>
  </si>
  <si>
    <t>华骐环保</t>
  </si>
  <si>
    <t>www.lixinger.com/analytics/company/sz/300929/300929/detail</t>
  </si>
  <si>
    <t>屹通新材</t>
  </si>
  <si>
    <t>www.lixinger.com/analytics/company/sz/300930/300930/detail</t>
  </si>
  <si>
    <t>通用电梯</t>
  </si>
  <si>
    <t>www.lixinger.com/analytics/company/sz/300931/300931/detail</t>
  </si>
  <si>
    <t>三友联众</t>
  </si>
  <si>
    <t>www.lixinger.com/analytics/company/sz/300932/300932/detail</t>
  </si>
  <si>
    <t>中辰股份</t>
  </si>
  <si>
    <t>www.lixinger.com/analytics/company/sz/300933/300933/detail</t>
  </si>
  <si>
    <t>盈建科</t>
  </si>
  <si>
    <t>www.lixinger.com/analytics/company/sz/300935/300935/detail</t>
  </si>
  <si>
    <t>中英科技</t>
  </si>
  <si>
    <t>www.lixinger.com/analytics/company/sz/300936/300936/detail</t>
  </si>
  <si>
    <t>药易购</t>
  </si>
  <si>
    <t>www.lixinger.com/analytics/company/sz/300937/300937/detail</t>
  </si>
  <si>
    <t>信测标准</t>
  </si>
  <si>
    <t>www.lixinger.com/analytics/company/sz/300938/300938/detail</t>
  </si>
  <si>
    <t>秋田微</t>
  </si>
  <si>
    <t>www.lixinger.com/analytics/company/sz/300939/300939/detail</t>
  </si>
  <si>
    <t>南极光</t>
  </si>
  <si>
    <t>www.lixinger.com/analytics/company/sz/300940/300940/detail</t>
  </si>
  <si>
    <t>创识科技</t>
  </si>
  <si>
    <t>www.lixinger.com/analytics/company/sz/300941/300941/detail</t>
  </si>
  <si>
    <t>易瑞生物</t>
  </si>
  <si>
    <t>www.lixinger.com/analytics/company/sz/300942/300942/detail</t>
  </si>
  <si>
    <t>春晖智控</t>
  </si>
  <si>
    <t>www.lixinger.com/analytics/company/sz/300943/300943/detail</t>
  </si>
  <si>
    <t>曼卡龙</t>
  </si>
  <si>
    <t>www.lixinger.com/analytics/company/sz/300945/300945/detail</t>
  </si>
  <si>
    <t>恒而达</t>
  </si>
  <si>
    <t>www.lixinger.com/analytics/company/sz/300946/300946/detail</t>
  </si>
  <si>
    <t>德必集团</t>
  </si>
  <si>
    <t>www.lixinger.com/analytics/company/sz/300947/300947/detail</t>
  </si>
  <si>
    <t>冠中生态</t>
  </si>
  <si>
    <t>www.lixinger.com/analytics/company/sz/300948/300948/detail</t>
  </si>
  <si>
    <t>奥雅设计</t>
  </si>
  <si>
    <t>www.lixinger.com/analytics/company/sz/300949/300949/detail</t>
  </si>
  <si>
    <t>德固特</t>
  </si>
  <si>
    <t>www.lixinger.com/analytics/company/sz/300950/300950/detail</t>
  </si>
  <si>
    <t>博硕科技</t>
  </si>
  <si>
    <t>www.lixinger.com/analytics/company/sz/300951/300951/detail</t>
  </si>
  <si>
    <t>恒辉安防</t>
  </si>
  <si>
    <t>www.lixinger.com/analytics/company/sz/300952/300952/detail</t>
  </si>
  <si>
    <t>震裕科技</t>
  </si>
  <si>
    <t>www.lixinger.com/analytics/company/sz/300953/300953/detail</t>
  </si>
  <si>
    <t>嘉亨家化</t>
  </si>
  <si>
    <t>www.lixinger.com/analytics/company/sz/300955/300955/detail</t>
  </si>
  <si>
    <t>英力股份</t>
  </si>
  <si>
    <t>www.lixinger.com/analytics/company/sz/300956/300956/detail</t>
  </si>
  <si>
    <t>贝泰妮</t>
  </si>
  <si>
    <t>www.lixinger.com/analytics/company/sz/300957/300957/detail</t>
  </si>
  <si>
    <t>建工修复</t>
  </si>
  <si>
    <t>www.lixinger.com/analytics/company/sz/300958/300958/detail</t>
  </si>
  <si>
    <t>线上线下</t>
  </si>
  <si>
    <t>www.lixinger.com/analytics/company/sz/300959/300959/detail</t>
  </si>
  <si>
    <t>通业科技</t>
  </si>
  <si>
    <t>www.lixinger.com/analytics/company/sz/300960/300960/detail</t>
  </si>
  <si>
    <t>深水海纳</t>
  </si>
  <si>
    <t>www.lixinger.com/analytics/company/sz/300961/300961/detail</t>
  </si>
  <si>
    <t>中金辐照</t>
  </si>
  <si>
    <t>其他专业服务</t>
  </si>
  <si>
    <t>www.lixinger.com/analytics/company/sz/300962/300962/detail</t>
  </si>
  <si>
    <t>中洲特材</t>
  </si>
  <si>
    <t>www.lixinger.com/analytics/company/sz/300963/300963/detail</t>
  </si>
  <si>
    <t>本川智能</t>
  </si>
  <si>
    <t>www.lixinger.com/analytics/company/sz/300964/300964/detail</t>
  </si>
  <si>
    <t>恒宇信通</t>
  </si>
  <si>
    <t>www.lixinger.com/analytics/company/sz/300965/300965/detail</t>
  </si>
  <si>
    <t>共同药业</t>
  </si>
  <si>
    <t>www.lixinger.com/analytics/company/sz/300966/300966/detail</t>
  </si>
  <si>
    <t>晓鸣股份</t>
  </si>
  <si>
    <t>www.lixinger.com/analytics/company/sz/300967/300967/detail</t>
  </si>
  <si>
    <t>格林精密</t>
  </si>
  <si>
    <t>www.lixinger.com/analytics/company/sz/300968/300968/detail</t>
  </si>
  <si>
    <t>恒帅股份</t>
  </si>
  <si>
    <t>www.lixinger.com/analytics/company/sz/300969/300969/detail</t>
  </si>
  <si>
    <t>华绿生物</t>
  </si>
  <si>
    <t>www.lixinger.com/analytics/company/sz/300970/300970/detail</t>
  </si>
  <si>
    <t>博亚精工</t>
  </si>
  <si>
    <t>www.lixinger.com/analytics/company/sz/300971/300971/detail</t>
  </si>
  <si>
    <t>万辰生物</t>
  </si>
  <si>
    <t>www.lixinger.com/analytics/company/sz/300972/300972/detail</t>
  </si>
  <si>
    <t>立高食品</t>
  </si>
  <si>
    <t>www.lixinger.com/analytics/company/sz/300973/300973/detail</t>
  </si>
  <si>
    <t>商络电子</t>
  </si>
  <si>
    <t>www.lixinger.com/analytics/company/sz/300975/300975/detail</t>
  </si>
  <si>
    <t>达瑞电子</t>
  </si>
  <si>
    <t>www.lixinger.com/analytics/company/sz/300976/300976/detail</t>
  </si>
  <si>
    <t>深圳瑞捷</t>
  </si>
  <si>
    <t>www.lixinger.com/analytics/company/sz/300977/300977/detail</t>
  </si>
  <si>
    <t>东箭科技</t>
  </si>
  <si>
    <t>www.lixinger.com/analytics/company/sz/300978/300978/detail</t>
  </si>
  <si>
    <t>华利集团</t>
  </si>
  <si>
    <t>纺织鞋类制造</t>
  </si>
  <si>
    <t>www.lixinger.com/analytics/company/sz/300979/300979/detail</t>
  </si>
  <si>
    <t>祥源新材</t>
  </si>
  <si>
    <t>www.lixinger.com/analytics/company/sz/300980/300980/detail</t>
  </si>
  <si>
    <t>中红医疗</t>
  </si>
  <si>
    <t>www.lixinger.com/analytics/company/sz/300981/300981/detail</t>
  </si>
  <si>
    <t>苏文电能</t>
  </si>
  <si>
    <t>www.lixinger.com/analytics/company/sz/300982/300982/detail</t>
  </si>
  <si>
    <t>尤安设计</t>
  </si>
  <si>
    <t>www.lixinger.com/analytics/company/sz/300983/300983/detail</t>
  </si>
  <si>
    <t>金沃股份</t>
  </si>
  <si>
    <t>www.lixinger.com/analytics/company/sz/300984/300984/detail</t>
  </si>
  <si>
    <t>致远新能</t>
  </si>
  <si>
    <t>www.lixinger.com/analytics/company/sz/300985/300985/detail</t>
  </si>
  <si>
    <t>志特新材</t>
  </si>
  <si>
    <t>www.lixinger.com/analytics/company/sz/300986/300986/detail</t>
  </si>
  <si>
    <t>川网传媒</t>
  </si>
  <si>
    <t>www.lixinger.com/analytics/company/sz/300987/300987/detail</t>
  </si>
  <si>
    <t>津荣天宇</t>
  </si>
  <si>
    <t>www.lixinger.com/analytics/company/sz/300988/300988/detail</t>
  </si>
  <si>
    <t>蕾奥规划</t>
  </si>
  <si>
    <t>www.lixinger.com/analytics/company/sz/300989/300989/detail</t>
  </si>
  <si>
    <t>同飞股份</t>
  </si>
  <si>
    <t>www.lixinger.com/analytics/company/sz/300990/300990/detail</t>
  </si>
  <si>
    <t>创益通</t>
  </si>
  <si>
    <t>www.lixinger.com/analytics/company/sz/300991/300991/detail</t>
  </si>
  <si>
    <t>泰福泵业</t>
  </si>
  <si>
    <t>www.lixinger.com/analytics/company/sz/300992/300992/detail</t>
  </si>
  <si>
    <t>玉马遮阳</t>
  </si>
  <si>
    <t>www.lixinger.com/analytics/company/sz/300993/300993/detail</t>
  </si>
  <si>
    <t>久祺股份</t>
  </si>
  <si>
    <t>www.lixinger.com/analytics/company/sz/300994/300994/detail</t>
  </si>
  <si>
    <t>奇德新材</t>
  </si>
  <si>
    <t>www.lixinger.com/analytics/company/sz/300995/300995/detail</t>
  </si>
  <si>
    <t>普联软件</t>
  </si>
  <si>
    <t>www.lixinger.com/analytics/company/sz/300996/300996/detail</t>
  </si>
  <si>
    <t>欢乐家</t>
  </si>
  <si>
    <t>www.lixinger.com/analytics/company/sz/300997/300997/detail</t>
  </si>
  <si>
    <t>宁波方正</t>
  </si>
  <si>
    <t>www.lixinger.com/analytics/company/sz/300998/300998/detail</t>
  </si>
  <si>
    <t>金龙鱼</t>
  </si>
  <si>
    <t>www.lixinger.com/analytics/company/sz/300999/300999/detail</t>
  </si>
  <si>
    <t>肇民科技</t>
  </si>
  <si>
    <t>www.lixinger.com/analytics/company/sz/301000/301000/detail</t>
  </si>
  <si>
    <t>凯淳股份</t>
  </si>
  <si>
    <t>www.lixinger.com/analytics/company/sz/301001/301001/detail</t>
  </si>
  <si>
    <t>崧盛股份</t>
  </si>
  <si>
    <t>www.lixinger.com/analytics/company/sz/301002/301002/detail</t>
  </si>
  <si>
    <t>江苏博云</t>
  </si>
  <si>
    <t>www.lixinger.com/analytics/company/sz/301003/301003/detail</t>
  </si>
  <si>
    <t>嘉益股份</t>
  </si>
  <si>
    <t>www.lixinger.com/analytics/company/sz/301004/301004/detail</t>
  </si>
  <si>
    <t>超捷股份</t>
  </si>
  <si>
    <t>www.lixinger.com/analytics/company/sz/301005/301005/detail</t>
  </si>
  <si>
    <t>迈拓股份</t>
  </si>
  <si>
    <t>www.lixinger.com/analytics/company/sz/301006/301006/detail</t>
  </si>
  <si>
    <t>德迈仕</t>
  </si>
  <si>
    <t>www.lixinger.com/analytics/company/sz/301007/301007/detail</t>
  </si>
  <si>
    <t>宏昌科技</t>
  </si>
  <si>
    <t>www.lixinger.com/analytics/company/sz/301008/301008/detail</t>
  </si>
  <si>
    <t>可靠股份</t>
  </si>
  <si>
    <t>www.lixinger.com/analytics/company/sz/301009/301009/detail</t>
  </si>
  <si>
    <t>晶雪节能</t>
  </si>
  <si>
    <t>www.lixinger.com/analytics/company/sz/301010/301010/detail</t>
  </si>
  <si>
    <t>华立科技</t>
  </si>
  <si>
    <t>www.lixinger.com/analytics/company/sz/301011/301011/detail</t>
  </si>
  <si>
    <t>扬电科技</t>
  </si>
  <si>
    <t>www.lixinger.com/analytics/company/sz/301012/301012/detail</t>
  </si>
  <si>
    <t>利和兴</t>
  </si>
  <si>
    <t>www.lixinger.com/analytics/company/sz/301013/301013/detail</t>
  </si>
  <si>
    <t>百洋医药</t>
  </si>
  <si>
    <t>www.lixinger.com/analytics/company/sz/301015/301015/detail</t>
  </si>
  <si>
    <t>雷尔伟</t>
  </si>
  <si>
    <t>www.lixinger.com/analytics/company/sz/301016/301016/detail</t>
  </si>
  <si>
    <t>漱玉平民</t>
  </si>
  <si>
    <t>www.lixinger.com/analytics/company/sz/301017/301017/detail</t>
  </si>
  <si>
    <t>申菱环境</t>
  </si>
  <si>
    <t>www.lixinger.com/analytics/company/sz/301018/301018/detail</t>
  </si>
  <si>
    <t>宁波色母</t>
  </si>
  <si>
    <t>www.lixinger.com/analytics/company/sz/301019/301019/detail</t>
  </si>
  <si>
    <t>密封科技</t>
  </si>
  <si>
    <t>www.lixinger.com/analytics/company/sz/301020/301020/detail</t>
  </si>
  <si>
    <t>英诺激光</t>
  </si>
  <si>
    <t>www.lixinger.com/analytics/company/sz/301021/301021/detail</t>
  </si>
  <si>
    <t>海泰科</t>
  </si>
  <si>
    <t>www.lixinger.com/analytics/company/sz/301022/301022/detail</t>
  </si>
  <si>
    <t>江南奕帆</t>
  </si>
  <si>
    <t>www.lixinger.com/analytics/company/sz/301023/301023/detail</t>
  </si>
  <si>
    <t>霍普股份</t>
  </si>
  <si>
    <t>www.lixinger.com/analytics/company/sz/301024/301024/detail</t>
  </si>
  <si>
    <t>读客文化</t>
  </si>
  <si>
    <t>www.lixinger.com/analytics/company/sz/301025/301025/detail</t>
  </si>
  <si>
    <t>浩通科技</t>
  </si>
  <si>
    <t>www.lixinger.com/analytics/company/sz/301026/301026/detail</t>
  </si>
  <si>
    <t>华蓝集团</t>
  </si>
  <si>
    <t>www.lixinger.com/analytics/company/sz/301027/301027/detail</t>
  </si>
  <si>
    <t>东亚机械</t>
  </si>
  <si>
    <t>www.lixinger.com/analytics/company/sz/301028/301028/detail</t>
  </si>
  <si>
    <t>怡合达</t>
  </si>
  <si>
    <t>www.lixinger.com/analytics/company/sz/301029/301029/detail</t>
  </si>
  <si>
    <t>仕净科技</t>
  </si>
  <si>
    <t>www.lixinger.com/analytics/company/sz/301030/301030/detail</t>
  </si>
  <si>
    <t>中熔电气</t>
  </si>
  <si>
    <t>www.lixinger.com/analytics/company/sz/301031/301031/detail</t>
  </si>
  <si>
    <t>新柴股份</t>
  </si>
  <si>
    <t>www.lixinger.com/analytics/company/sz/301032/301032/detail</t>
  </si>
  <si>
    <t>迈普医学</t>
  </si>
  <si>
    <t>www.lixinger.com/analytics/company/sz/301033/301033/detail</t>
  </si>
  <si>
    <t>润丰股份</t>
  </si>
  <si>
    <t>www.lixinger.com/analytics/company/sz/301035/301035/detail</t>
  </si>
  <si>
    <t>双乐股份</t>
  </si>
  <si>
    <t>www.lixinger.com/analytics/company/sz/301036/301036/detail</t>
  </si>
  <si>
    <t>保立佳</t>
  </si>
  <si>
    <t>www.lixinger.com/analytics/company/sz/301037/301037/detail</t>
  </si>
  <si>
    <t>深水规院</t>
  </si>
  <si>
    <t>www.lixinger.com/analytics/company/sz/301038/301038/detail</t>
  </si>
  <si>
    <t>中集车辆</t>
  </si>
  <si>
    <t>www.lixinger.com/analytics/company/sz/301039/301039/detail</t>
  </si>
  <si>
    <t>中环海陆</t>
  </si>
  <si>
    <t>www.lixinger.com/analytics/company/sz/301040/301040/detail</t>
  </si>
  <si>
    <t>金百泽</t>
  </si>
  <si>
    <t>www.lixinger.com/analytics/company/sz/301041/301041/detail</t>
  </si>
  <si>
    <t>安联锐视</t>
  </si>
  <si>
    <t>www.lixinger.com/analytics/company/sz/301042/301042/detail</t>
  </si>
  <si>
    <t>绿岛风</t>
  </si>
  <si>
    <t>www.lixinger.com/analytics/company/sz/301043/301043/detail</t>
  </si>
  <si>
    <t>天禄科技</t>
  </si>
  <si>
    <t>www.lixinger.com/analytics/company/sz/301045/301045/detail</t>
  </si>
  <si>
    <t>能辉科技</t>
  </si>
  <si>
    <t>www.lixinger.com/analytics/company/sz/301046/301046/detail</t>
  </si>
  <si>
    <t>义翘神州</t>
  </si>
  <si>
    <t>www.lixinger.com/analytics/company/sz/301047/301047/detail</t>
  </si>
  <si>
    <t>金鹰重工</t>
  </si>
  <si>
    <t>www.lixinger.com/analytics/company/sz/301048/301048/detail</t>
  </si>
  <si>
    <t>超越科技</t>
  </si>
  <si>
    <t>www.lixinger.com/analytics/company/sz/301049/301049/detail</t>
  </si>
  <si>
    <t>雷电微力</t>
  </si>
  <si>
    <t>www.lixinger.com/analytics/company/sz/301050/301050/detail</t>
  </si>
  <si>
    <t>信濠光电</t>
  </si>
  <si>
    <t>www.lixinger.com/analytics/company/sz/301051/301051/detail</t>
  </si>
  <si>
    <t>果麦文化</t>
  </si>
  <si>
    <t>www.lixinger.com/analytics/company/sz/301052/301052/detail</t>
  </si>
  <si>
    <t>远信工业</t>
  </si>
  <si>
    <t>www.lixinger.com/analytics/company/sz/301053/301053/detail</t>
  </si>
  <si>
    <t>张小泉</t>
  </si>
  <si>
    <t>www.lixinger.com/analytics/company/sz/301055/301055/detail</t>
  </si>
  <si>
    <t>森赫股份</t>
  </si>
  <si>
    <t>www.lixinger.com/analytics/company/sz/301056/301056/detail</t>
  </si>
  <si>
    <t>汇隆新材</t>
  </si>
  <si>
    <t>www.lixinger.com/analytics/company/sz/301057/301057/detail</t>
  </si>
  <si>
    <t>中粮工科</t>
  </si>
  <si>
    <t>www.lixinger.com/analytics/company/sz/301058/301058/detail</t>
  </si>
  <si>
    <t>金三江</t>
  </si>
  <si>
    <t>www.lixinger.com/analytics/company/sz/301059/301059/detail</t>
  </si>
  <si>
    <t>兰卫医学</t>
  </si>
  <si>
    <t>www.lixinger.com/analytics/company/sz/301060/301060/detail</t>
  </si>
  <si>
    <t>匠心家居</t>
  </si>
  <si>
    <t>www.lixinger.com/analytics/company/sz/301061/301061/detail</t>
  </si>
  <si>
    <t>上海艾录</t>
  </si>
  <si>
    <t>www.lixinger.com/analytics/company/sz/301062/301062/detail</t>
  </si>
  <si>
    <t>海锅股份</t>
  </si>
  <si>
    <t>www.lixinger.com/analytics/company/sz/301063/301063/detail</t>
  </si>
  <si>
    <t>本立科技</t>
  </si>
  <si>
    <t>www.lixinger.com/analytics/company/sz/301065/301065/detail</t>
  </si>
  <si>
    <t>万事利</t>
  </si>
  <si>
    <t>www.lixinger.com/analytics/company/sz/301066/301066/detail</t>
  </si>
  <si>
    <t>显盈科技</t>
  </si>
  <si>
    <t>www.lixinger.com/analytics/company/sz/301067/301067/detail</t>
  </si>
  <si>
    <t>大地海洋</t>
  </si>
  <si>
    <t>www.lixinger.com/analytics/company/sz/301068/301068/detail</t>
  </si>
  <si>
    <t>凯盛新材</t>
  </si>
  <si>
    <t>www.lixinger.com/analytics/company/sz/301069/301069/detail</t>
  </si>
  <si>
    <t>开勒股份</t>
  </si>
  <si>
    <t>www.lixinger.com/analytics/company/sz/301070/301070/detail</t>
  </si>
  <si>
    <t>力量钻石</t>
  </si>
  <si>
    <t>www.lixinger.com/analytics/company/sz/301071/301071/detail</t>
  </si>
  <si>
    <t>中捷精工</t>
  </si>
  <si>
    <t>www.lixinger.com/analytics/company/sz/301072/301072/detail</t>
  </si>
  <si>
    <t>君亭酒店</t>
  </si>
  <si>
    <t>www.lixinger.com/analytics/company/sz/301073/301073/detail</t>
  </si>
  <si>
    <t>多瑞医药</t>
  </si>
  <si>
    <t>www.lixinger.com/analytics/company/sz/301075/301075/detail</t>
  </si>
  <si>
    <t>新瀚新材</t>
  </si>
  <si>
    <t>www.lixinger.com/analytics/company/sz/301076/301076/detail</t>
  </si>
  <si>
    <t>星华反光</t>
  </si>
  <si>
    <t>www.lixinger.com/analytics/company/sz/301077/301077/detail</t>
  </si>
  <si>
    <t>孩子王</t>
  </si>
  <si>
    <t>www.lixinger.com/analytics/company/sz/301078/301078/detail</t>
  </si>
  <si>
    <t>邵阳液压</t>
  </si>
  <si>
    <t>www.lixinger.com/analytics/company/sz/301079/301079/detail</t>
  </si>
  <si>
    <t>百普赛斯</t>
  </si>
  <si>
    <t>www.lixinger.com/analytics/company/sz/301080/301080/detail</t>
  </si>
  <si>
    <t>严牌股份</t>
  </si>
  <si>
    <t>www.lixinger.com/analytics/company/sz/301081/301081/detail</t>
  </si>
  <si>
    <t>久盛电气</t>
  </si>
  <si>
    <t>www.lixinger.com/analytics/company/sz/301082/301082/detail</t>
  </si>
  <si>
    <t>百胜智能</t>
  </si>
  <si>
    <t>www.lixinger.com/analytics/company/sz/301083/301083/detail</t>
  </si>
  <si>
    <t>亚康股份</t>
  </si>
  <si>
    <t>www.lixinger.com/analytics/company/sz/301085/301085/detail</t>
  </si>
  <si>
    <t>鸿富瀚</t>
  </si>
  <si>
    <t>www.lixinger.com/analytics/company/sz/301086/301086/detail</t>
  </si>
  <si>
    <t>可孚医疗</t>
  </si>
  <si>
    <t>www.lixinger.com/analytics/company/sz/301087/301087/detail</t>
  </si>
  <si>
    <t>戎美股份</t>
  </si>
  <si>
    <t>www.lixinger.com/analytics/company/sz/301088/301088/detail</t>
  </si>
  <si>
    <t>拓新药业</t>
  </si>
  <si>
    <t>www.lixinger.com/analytics/company/sz/301089/301089/detail</t>
  </si>
  <si>
    <t>华润材料</t>
  </si>
  <si>
    <t>www.lixinger.com/analytics/company/sz/301090/301090/detail</t>
  </si>
  <si>
    <t>深城交</t>
  </si>
  <si>
    <t>www.lixinger.com/analytics/company/sz/301091/301091/detail</t>
  </si>
  <si>
    <t>争光股份</t>
  </si>
  <si>
    <t>www.lixinger.com/analytics/company/sz/301092/301092/detail</t>
  </si>
  <si>
    <t>华兰股份</t>
  </si>
  <si>
    <t>www.lixinger.com/analytics/company/sz/301093/301093/detail</t>
  </si>
  <si>
    <t>百诚医药</t>
  </si>
  <si>
    <t>www.lixinger.com/analytics/company/sz/301096/301096/detail</t>
  </si>
  <si>
    <t>天益医疗</t>
  </si>
  <si>
    <t>www.lixinger.com/analytics/company/sz/301097/301097/detail</t>
  </si>
  <si>
    <t>金埔园林</t>
  </si>
  <si>
    <t>www.lixinger.com/analytics/company/sz/301098/301098/detail</t>
  </si>
  <si>
    <t>雅创电子</t>
  </si>
  <si>
    <t>www.lixinger.com/analytics/company/sz/301099/301099/detail</t>
  </si>
  <si>
    <t>风光股份</t>
  </si>
  <si>
    <t>www.lixinger.com/analytics/company/sz/301100/301100/detail</t>
  </si>
  <si>
    <t>明月镜片</t>
  </si>
  <si>
    <t>www.lixinger.com/analytics/company/sz/301101/301101/detail</t>
  </si>
  <si>
    <t>兆讯传媒</t>
  </si>
  <si>
    <t>www.lixinger.com/analytics/company/sz/301102/301102/detail</t>
  </si>
  <si>
    <t>何氏眼科</t>
  </si>
  <si>
    <t>www.lixinger.com/analytics/company/sz/301103/301103/detail</t>
  </si>
  <si>
    <t>骏成科技</t>
  </si>
  <si>
    <t>www.lixinger.com/analytics/company/sz/301106/301106/detail</t>
  </si>
  <si>
    <t>洁雅股份</t>
  </si>
  <si>
    <t>www.lixinger.com/analytics/company/sz/301108/301108/detail</t>
  </si>
  <si>
    <t>军信股份</t>
  </si>
  <si>
    <t>www.lixinger.com/analytics/company/sz/301109/301109/detail</t>
  </si>
  <si>
    <t>青木股份</t>
  </si>
  <si>
    <t>www.lixinger.com/analytics/company/sz/301110/301110/detail</t>
  </si>
  <si>
    <t>粤万年青</t>
  </si>
  <si>
    <t>www.lixinger.com/analytics/company/sz/301111/301111/detail</t>
  </si>
  <si>
    <t>雅艺科技</t>
  </si>
  <si>
    <t>www.lixinger.com/analytics/company/sz/301113/301113/detail</t>
  </si>
  <si>
    <t>益客食品</t>
  </si>
  <si>
    <t>www.lixinger.com/analytics/company/sz/301116/301116/detail</t>
  </si>
  <si>
    <t>佳缘科技</t>
  </si>
  <si>
    <t>www.lixinger.com/analytics/company/sz/301117/301117/detail</t>
  </si>
  <si>
    <t>恒光股份</t>
  </si>
  <si>
    <t>www.lixinger.com/analytics/company/sz/301118/301118/detail</t>
  </si>
  <si>
    <t>正强股份</t>
  </si>
  <si>
    <t>www.lixinger.com/analytics/company/sz/301119/301119/detail</t>
  </si>
  <si>
    <t>新特电气</t>
  </si>
  <si>
    <t>www.lixinger.com/analytics/company/sz/301120/301120/detail</t>
  </si>
  <si>
    <t>采纳股份</t>
  </si>
  <si>
    <t>www.lixinger.com/analytics/company/sz/301122/301122/detail</t>
  </si>
  <si>
    <t>奕东电子</t>
  </si>
  <si>
    <t>www.lixinger.com/analytics/company/sz/301123/301123/detail</t>
  </si>
  <si>
    <t>达嘉维康</t>
  </si>
  <si>
    <t>www.lixinger.com/analytics/company/sz/301126/301126/detail</t>
  </si>
  <si>
    <t>天源环保</t>
  </si>
  <si>
    <t>www.lixinger.com/analytics/company/sz/301127/301127/detail</t>
  </si>
  <si>
    <t>强瑞技术</t>
  </si>
  <si>
    <t>www.lixinger.com/analytics/company/sz/301128/301128/detail</t>
  </si>
  <si>
    <t>瑞纳智能</t>
  </si>
  <si>
    <t>www.lixinger.com/analytics/company/sz/301129/301129/detail</t>
  </si>
  <si>
    <t>西点药业</t>
  </si>
  <si>
    <t>www.lixinger.com/analytics/company/sz/301130/301130/detail</t>
  </si>
  <si>
    <t>聚赛龙</t>
  </si>
  <si>
    <t>www.lixinger.com/analytics/company/sz/301131/301131/detail</t>
  </si>
  <si>
    <t>金钟股份</t>
  </si>
  <si>
    <t>www.lixinger.com/analytics/company/sz/301133/301133/detail</t>
  </si>
  <si>
    <t>瑞德智能</t>
  </si>
  <si>
    <t>www.lixinger.com/analytics/company/sz/301135/301135/detail</t>
  </si>
  <si>
    <t>招标股份</t>
  </si>
  <si>
    <t>www.lixinger.com/analytics/company/sz/301136/301136/detail</t>
  </si>
  <si>
    <t>哈焊华通</t>
  </si>
  <si>
    <t>www.lixinger.com/analytics/company/sz/301137/301137/detail</t>
  </si>
  <si>
    <t>华研精机</t>
  </si>
  <si>
    <t>www.lixinger.com/analytics/company/sz/301138/301138/detail</t>
  </si>
  <si>
    <t>嘉戎技术</t>
  </si>
  <si>
    <t>www.lixinger.com/analytics/company/sz/301148/301148/detail</t>
  </si>
  <si>
    <t>隆华新材</t>
  </si>
  <si>
    <t>www.lixinger.com/analytics/company/sz/301149/301149/detail</t>
  </si>
  <si>
    <t>中一科技</t>
  </si>
  <si>
    <t>www.lixinger.com/analytics/company/sz/301150/301150/detail</t>
  </si>
  <si>
    <t>冠龙节能</t>
  </si>
  <si>
    <t>www.lixinger.com/analytics/company/sz/301151/301151/detail</t>
  </si>
  <si>
    <t>中科江南</t>
  </si>
  <si>
    <t>www.lixinger.com/analytics/company/sz/301153/301153/detail</t>
  </si>
  <si>
    <t>海力风电</t>
  </si>
  <si>
    <t>www.lixinger.com/analytics/company/sz/301155/301155/detail</t>
  </si>
  <si>
    <t>德石股份</t>
  </si>
  <si>
    <t>www.lixinger.com/analytics/company/sz/301158/301158/detail</t>
  </si>
  <si>
    <t>三维天地</t>
  </si>
  <si>
    <t>www.lixinger.com/analytics/company/sz/301159/301159/detail</t>
  </si>
  <si>
    <t>国能日新</t>
  </si>
  <si>
    <t>www.lixinger.com/analytics/company/sz/301162/301162/detail</t>
  </si>
  <si>
    <t>宏德股份</t>
  </si>
  <si>
    <t>www.lixinger.com/analytics/company/sz/301163/301163/detail</t>
  </si>
  <si>
    <t>优宁维</t>
  </si>
  <si>
    <t>www.lixinger.com/analytics/company/sz/301166/301166/detail</t>
  </si>
  <si>
    <t>建研设计</t>
  </si>
  <si>
    <t>www.lixinger.com/analytics/company/sz/301167/301167/detail</t>
  </si>
  <si>
    <t>通灵股份</t>
  </si>
  <si>
    <t>www.lixinger.com/analytics/company/sz/301168/301168/detail</t>
  </si>
  <si>
    <t>零点有数</t>
  </si>
  <si>
    <t>www.lixinger.com/analytics/company/sz/301169/301169/detail</t>
  </si>
  <si>
    <t>迪阿股份</t>
  </si>
  <si>
    <t>www.lixinger.com/analytics/company/sz/301177/301177/detail</t>
  </si>
  <si>
    <t>天亿马</t>
  </si>
  <si>
    <t>www.lixinger.com/analytics/company/sz/301178/301178/detail</t>
  </si>
  <si>
    <t>泽宇智能</t>
  </si>
  <si>
    <t>www.lixinger.com/analytics/company/sz/301179/301179/detail</t>
  </si>
  <si>
    <t>万祥科技</t>
  </si>
  <si>
    <t>www.lixinger.com/analytics/company/sz/301180/301180/detail</t>
  </si>
  <si>
    <t>标榜股份</t>
  </si>
  <si>
    <t>www.lixinger.com/analytics/company/sz/301181/301181/detail</t>
  </si>
  <si>
    <t>凯旺科技</t>
  </si>
  <si>
    <t>www.lixinger.com/analytics/company/sz/301182/301182/detail</t>
  </si>
  <si>
    <t>鸥玛软件</t>
  </si>
  <si>
    <t>www.lixinger.com/analytics/company/sz/301185/301185/detail</t>
  </si>
  <si>
    <t>超达装备</t>
  </si>
  <si>
    <t>www.lixinger.com/analytics/company/sz/301186/301186/detail</t>
  </si>
  <si>
    <t>欧圣电气</t>
  </si>
  <si>
    <t>www.lixinger.com/analytics/company/sz/301187/301187/detail</t>
  </si>
  <si>
    <t>力诺特玻</t>
  </si>
  <si>
    <t>www.lixinger.com/analytics/company/sz/301188/301188/detail</t>
  </si>
  <si>
    <t>奥尼电子</t>
  </si>
  <si>
    <t>www.lixinger.com/analytics/company/sz/301189/301189/detail</t>
  </si>
  <si>
    <t>善水科技</t>
  </si>
  <si>
    <t>www.lixinger.com/analytics/company/sz/301190/301190/detail</t>
  </si>
  <si>
    <t>家联科技</t>
  </si>
  <si>
    <t>www.lixinger.com/analytics/company/sz/301193/301193/detail</t>
  </si>
  <si>
    <t>唯科科技</t>
  </si>
  <si>
    <t>www.lixinger.com/analytics/company/sz/301196/301196/detail</t>
  </si>
  <si>
    <t>喜悦智行</t>
  </si>
  <si>
    <t>www.lixinger.com/analytics/company/sz/301198/301198/detail</t>
  </si>
  <si>
    <t>迈赫股份</t>
  </si>
  <si>
    <t>www.lixinger.com/analytics/company/sz/301199/301199/detail</t>
  </si>
  <si>
    <t>大族数控</t>
  </si>
  <si>
    <t>www.lixinger.com/analytics/company/sz/301200/301200/detail</t>
  </si>
  <si>
    <t>诚达药业</t>
  </si>
  <si>
    <t>www.lixinger.com/analytics/company/sz/301201/301201/detail</t>
  </si>
  <si>
    <t>三元生物</t>
  </si>
  <si>
    <t>www.lixinger.com/analytics/company/sz/301206/301206/detail</t>
  </si>
  <si>
    <t>华兰疫苗</t>
  </si>
  <si>
    <t>www.lixinger.com/analytics/company/sz/301207/301207/detail</t>
  </si>
  <si>
    <t>亨迪药业</t>
  </si>
  <si>
    <t>www.lixinger.com/analytics/company/sz/301211/301211/detail</t>
  </si>
  <si>
    <t>联盛化学</t>
  </si>
  <si>
    <t>www.lixinger.com/analytics/company/sz/301212/301212/detail</t>
  </si>
  <si>
    <t>观想科技</t>
  </si>
  <si>
    <t>www.lixinger.com/analytics/company/sz/301213/301213/detail</t>
  </si>
  <si>
    <t>中汽股份</t>
  </si>
  <si>
    <t>www.lixinger.com/analytics/company/sz/301215/301215/detail</t>
  </si>
  <si>
    <t>万凯新材</t>
  </si>
  <si>
    <t>www.lixinger.com/analytics/company/sz/301216/301216/detail</t>
  </si>
  <si>
    <t>铜冠铜箔</t>
  </si>
  <si>
    <t>www.lixinger.com/analytics/company/sz/301217/301217/detail</t>
  </si>
  <si>
    <t>华是科技</t>
  </si>
  <si>
    <t>www.lixinger.com/analytics/company/sz/301218/301218/detail</t>
  </si>
  <si>
    <t>腾远钴业</t>
  </si>
  <si>
    <t>www.lixinger.com/analytics/company/sz/301219/301219/detail</t>
  </si>
  <si>
    <t>光庭信息</t>
  </si>
  <si>
    <t>www.lixinger.com/analytics/company/sz/301221/301221/detail</t>
  </si>
  <si>
    <t>浙江恒威</t>
  </si>
  <si>
    <t>www.lixinger.com/analytics/company/sz/301222/301222/detail</t>
  </si>
  <si>
    <t>祥明智能</t>
  </si>
  <si>
    <t>www.lixinger.com/analytics/company/sz/301226/301226/detail</t>
  </si>
  <si>
    <t>实朴检测</t>
  </si>
  <si>
    <t>www.lixinger.com/analytics/company/sz/301228/301228/detail</t>
  </si>
  <si>
    <t>纽泰格</t>
  </si>
  <si>
    <t>www.lixinger.com/analytics/company/sz/301229/301229/detail</t>
  </si>
  <si>
    <t>华康医疗</t>
  </si>
  <si>
    <t>www.lixinger.com/analytics/company/sz/301235/301235/detail</t>
  </si>
  <si>
    <t>软通动力</t>
  </si>
  <si>
    <t>www.lixinger.com/analytics/company/sz/301236/301236/detail</t>
  </si>
  <si>
    <t>和顺科技</t>
  </si>
  <si>
    <t>www.lixinger.com/analytics/company/sz/301237/301237/detail</t>
  </si>
  <si>
    <t>杰创智能</t>
  </si>
  <si>
    <t>www.lixinger.com/analytics/company/sz/301248/301248/detail</t>
  </si>
  <si>
    <t>华融化学</t>
  </si>
  <si>
    <t>www.lixinger.com/analytics/company/sz/301256/301256/detail</t>
  </si>
  <si>
    <t>普蕊斯</t>
  </si>
  <si>
    <t>www.lixinger.com/analytics/company/sz/301257/301257/detail</t>
  </si>
  <si>
    <t>富士莱</t>
  </si>
  <si>
    <t>www.lixinger.com/analytics/company/sz/301258/301258/detail</t>
  </si>
  <si>
    <t>艾布鲁</t>
  </si>
  <si>
    <t>www.lixinger.com/analytics/company/sz/301259/301259/detail</t>
  </si>
  <si>
    <t>泰恩康</t>
  </si>
  <si>
    <t>www.lixinger.com/analytics/company/sz/301263/301263/detail</t>
  </si>
  <si>
    <t>铭利达</t>
  </si>
  <si>
    <t>www.lixinger.com/analytics/company/sz/301268/301268/detail</t>
  </si>
  <si>
    <t>金道科技</t>
  </si>
  <si>
    <t>www.lixinger.com/analytics/company/sz/301279/301279/detail</t>
  </si>
  <si>
    <t>清研环境</t>
  </si>
  <si>
    <t>www.lixinger.com/analytics/company/sz/301288/301288/detail</t>
  </si>
  <si>
    <t>数据来源于：理杏仁网站(lixinger.com)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</si>
</sst>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959"/>
  <sheetViews>
    <sheetView tabSelected="1" workbookViewId="0"/>
  </sheetViews>
  <sheetFormatPr defaultRowHeight="14" x14ac:dyDescent="0.3"/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">
      <c r="A2" t="s">
        <v>17</v>
      </c>
      <c r="B2" t="str">
        <f>"600000"</f>
        <v>600000</v>
      </c>
      <c r="C2" t="s">
        <v>18</v>
      </c>
      <c r="D2" t="s">
        <v>19</v>
      </c>
      <c r="F2">
        <v>557316000000</v>
      </c>
      <c r="G2">
        <v>525506000000</v>
      </c>
      <c r="H2">
        <v>491163000000</v>
      </c>
      <c r="I2">
        <v>441642000000</v>
      </c>
      <c r="J2">
        <v>395484000000</v>
      </c>
      <c r="K2">
        <v>338027000000</v>
      </c>
      <c r="L2">
        <v>315170000000</v>
      </c>
      <c r="M2">
        <v>260169000000</v>
      </c>
      <c r="N2">
        <v>204375000000</v>
      </c>
      <c r="O2">
        <v>177497000000</v>
      </c>
      <c r="P2">
        <v>17547</v>
      </c>
      <c r="Q2" t="s">
        <v>20</v>
      </c>
    </row>
    <row r="3" spans="1:17" x14ac:dyDescent="0.3">
      <c r="A3" t="s">
        <v>17</v>
      </c>
      <c r="B3" t="str">
        <f>"600004"</f>
        <v>600004</v>
      </c>
      <c r="C3" t="s">
        <v>21</v>
      </c>
      <c r="D3" t="s">
        <v>22</v>
      </c>
      <c r="F3">
        <v>18313274402</v>
      </c>
      <c r="G3">
        <v>19261238530</v>
      </c>
      <c r="H3">
        <v>16288774557</v>
      </c>
      <c r="I3">
        <v>15615719624</v>
      </c>
      <c r="J3">
        <v>15006197324</v>
      </c>
      <c r="K3">
        <v>10378073628</v>
      </c>
      <c r="L3">
        <v>9571368714</v>
      </c>
      <c r="M3">
        <v>8490736974</v>
      </c>
      <c r="N3">
        <v>7728113063</v>
      </c>
      <c r="O3">
        <v>7226097282</v>
      </c>
      <c r="P3">
        <v>1892</v>
      </c>
      <c r="Q3" t="s">
        <v>23</v>
      </c>
    </row>
    <row r="4" spans="1:17" x14ac:dyDescent="0.3">
      <c r="A4" t="s">
        <v>17</v>
      </c>
      <c r="B4" t="str">
        <f>"600005"</f>
        <v>600005</v>
      </c>
      <c r="C4" t="s">
        <v>24</v>
      </c>
      <c r="K4">
        <v>28511969469.59</v>
      </c>
      <c r="L4">
        <v>28290943064.799999</v>
      </c>
      <c r="M4">
        <v>36260355229.300003</v>
      </c>
      <c r="N4">
        <v>35935644956.540001</v>
      </c>
      <c r="O4">
        <v>35612996204.559998</v>
      </c>
      <c r="P4">
        <v>25</v>
      </c>
      <c r="Q4" t="s">
        <v>25</v>
      </c>
    </row>
    <row r="5" spans="1:17" x14ac:dyDescent="0.3">
      <c r="A5" t="s">
        <v>17</v>
      </c>
      <c r="B5" t="str">
        <f>"600006"</f>
        <v>600006</v>
      </c>
      <c r="C5" t="s">
        <v>26</v>
      </c>
      <c r="D5" t="s">
        <v>27</v>
      </c>
      <c r="F5">
        <v>8021281410</v>
      </c>
      <c r="G5">
        <v>7816164686</v>
      </c>
      <c r="H5">
        <v>7407425422</v>
      </c>
      <c r="I5">
        <v>7143166034</v>
      </c>
      <c r="J5">
        <v>6699608385</v>
      </c>
      <c r="K5">
        <v>6506815051</v>
      </c>
      <c r="L5">
        <v>6390205196</v>
      </c>
      <c r="M5">
        <v>6090907944</v>
      </c>
      <c r="N5">
        <v>5968686545</v>
      </c>
      <c r="O5">
        <v>5978180582</v>
      </c>
      <c r="P5">
        <v>469</v>
      </c>
      <c r="Q5" t="s">
        <v>28</v>
      </c>
    </row>
    <row r="6" spans="1:17" x14ac:dyDescent="0.3">
      <c r="A6" t="s">
        <v>17</v>
      </c>
      <c r="B6" t="str">
        <f>"600007"</f>
        <v>600007</v>
      </c>
      <c r="C6" t="s">
        <v>29</v>
      </c>
      <c r="D6" t="s">
        <v>30</v>
      </c>
      <c r="F6">
        <v>8633951277</v>
      </c>
      <c r="G6">
        <v>8013070574</v>
      </c>
      <c r="H6">
        <v>7570411634</v>
      </c>
      <c r="I6">
        <v>6919848591</v>
      </c>
      <c r="J6">
        <v>6467527683</v>
      </c>
      <c r="K6">
        <v>6134905728</v>
      </c>
      <c r="L6">
        <v>5650021845</v>
      </c>
      <c r="M6">
        <v>5223879630</v>
      </c>
      <c r="N6">
        <v>4858610501</v>
      </c>
      <c r="O6">
        <v>4694578926</v>
      </c>
      <c r="P6">
        <v>328</v>
      </c>
      <c r="Q6" t="s">
        <v>31</v>
      </c>
    </row>
    <row r="7" spans="1:17" x14ac:dyDescent="0.3">
      <c r="A7" t="s">
        <v>17</v>
      </c>
      <c r="B7" t="str">
        <f>"600008"</f>
        <v>600008</v>
      </c>
      <c r="C7" t="s">
        <v>32</v>
      </c>
      <c r="D7" t="s">
        <v>33</v>
      </c>
      <c r="F7">
        <v>17397414516</v>
      </c>
      <c r="G7">
        <v>15939968142</v>
      </c>
      <c r="H7">
        <v>11321832535</v>
      </c>
      <c r="I7">
        <v>11165113335</v>
      </c>
      <c r="J7">
        <v>8079133279</v>
      </c>
      <c r="K7">
        <v>7738009792</v>
      </c>
      <c r="L7">
        <v>7535846651</v>
      </c>
      <c r="M7">
        <v>6247329262</v>
      </c>
      <c r="N7">
        <v>6093117164</v>
      </c>
      <c r="O7">
        <v>5703248842</v>
      </c>
      <c r="P7">
        <v>445</v>
      </c>
      <c r="Q7" t="s">
        <v>34</v>
      </c>
    </row>
    <row r="8" spans="1:17" x14ac:dyDescent="0.3">
      <c r="A8" t="s">
        <v>17</v>
      </c>
      <c r="B8" t="str">
        <f>"600009"</f>
        <v>600009</v>
      </c>
      <c r="C8" t="s">
        <v>35</v>
      </c>
      <c r="D8" t="s">
        <v>22</v>
      </c>
      <c r="F8">
        <v>27504536530</v>
      </c>
      <c r="G8">
        <v>29215475241</v>
      </c>
      <c r="H8">
        <v>32004423802</v>
      </c>
      <c r="I8">
        <v>28246006325</v>
      </c>
      <c r="J8">
        <v>25132210190</v>
      </c>
      <c r="K8">
        <v>22296663407</v>
      </c>
      <c r="L8">
        <v>20319604838</v>
      </c>
      <c r="M8">
        <v>18462607246</v>
      </c>
      <c r="N8">
        <v>16945159606</v>
      </c>
      <c r="O8">
        <v>15785279601</v>
      </c>
      <c r="P8">
        <v>5731</v>
      </c>
      <c r="Q8" t="s">
        <v>36</v>
      </c>
    </row>
    <row r="9" spans="1:17" x14ac:dyDescent="0.3">
      <c r="A9" t="s">
        <v>17</v>
      </c>
      <c r="B9" t="str">
        <f>"600010"</f>
        <v>600010</v>
      </c>
      <c r="C9" t="s">
        <v>37</v>
      </c>
      <c r="D9" t="s">
        <v>38</v>
      </c>
      <c r="F9">
        <v>55265907820</v>
      </c>
      <c r="G9">
        <v>52793092643</v>
      </c>
      <c r="H9">
        <v>52707734427</v>
      </c>
      <c r="I9">
        <v>52468957388</v>
      </c>
      <c r="J9">
        <v>49336029260</v>
      </c>
      <c r="K9">
        <v>47234303547</v>
      </c>
      <c r="L9">
        <v>47097283224</v>
      </c>
      <c r="M9">
        <v>18955094597</v>
      </c>
      <c r="N9">
        <v>18919433832</v>
      </c>
      <c r="O9">
        <v>12956257046</v>
      </c>
      <c r="P9">
        <v>623</v>
      </c>
      <c r="Q9" t="s">
        <v>39</v>
      </c>
    </row>
    <row r="10" spans="1:17" x14ac:dyDescent="0.3">
      <c r="A10" t="s">
        <v>17</v>
      </c>
      <c r="B10" t="str">
        <f>"600011"</f>
        <v>600011</v>
      </c>
      <c r="C10" t="s">
        <v>40</v>
      </c>
      <c r="D10" t="s">
        <v>41</v>
      </c>
      <c r="F10">
        <v>56837613407</v>
      </c>
      <c r="G10">
        <v>73278759113</v>
      </c>
      <c r="H10">
        <v>73430822583</v>
      </c>
      <c r="I10">
        <v>73157233405</v>
      </c>
      <c r="J10">
        <v>70464792281</v>
      </c>
      <c r="K10">
        <v>81521509094</v>
      </c>
      <c r="L10">
        <v>79408970292</v>
      </c>
      <c r="M10">
        <v>69198218504</v>
      </c>
      <c r="N10">
        <v>61747779816</v>
      </c>
      <c r="O10">
        <v>55580790014</v>
      </c>
      <c r="P10">
        <v>751</v>
      </c>
      <c r="Q10" t="s">
        <v>42</v>
      </c>
    </row>
    <row r="11" spans="1:17" x14ac:dyDescent="0.3">
      <c r="A11" t="s">
        <v>17</v>
      </c>
      <c r="B11" t="str">
        <f>"600012"</f>
        <v>600012</v>
      </c>
      <c r="C11" t="s">
        <v>43</v>
      </c>
      <c r="D11" t="s">
        <v>44</v>
      </c>
      <c r="F11">
        <v>11389109508</v>
      </c>
      <c r="G11">
        <v>11276709422</v>
      </c>
      <c r="H11">
        <v>10737909004</v>
      </c>
      <c r="I11">
        <v>10069996982</v>
      </c>
      <c r="J11">
        <v>9379097886</v>
      </c>
      <c r="K11">
        <v>8678962620</v>
      </c>
      <c r="L11">
        <v>8116573930</v>
      </c>
      <c r="M11">
        <v>7601958513</v>
      </c>
      <c r="N11">
        <v>7059531948</v>
      </c>
      <c r="O11">
        <v>6543343874</v>
      </c>
      <c r="P11">
        <v>805</v>
      </c>
      <c r="Q11" t="s">
        <v>45</v>
      </c>
    </row>
    <row r="12" spans="1:17" x14ac:dyDescent="0.3">
      <c r="A12" t="s">
        <v>17</v>
      </c>
      <c r="B12" t="str">
        <f>"600015"</f>
        <v>600015</v>
      </c>
      <c r="C12" t="s">
        <v>46</v>
      </c>
      <c r="D12" t="s">
        <v>19</v>
      </c>
      <c r="F12">
        <v>238321000000</v>
      </c>
      <c r="G12">
        <v>220642000000</v>
      </c>
      <c r="H12">
        <v>207617000000</v>
      </c>
      <c r="I12">
        <v>197163000000</v>
      </c>
      <c r="J12">
        <v>148077000000</v>
      </c>
      <c r="K12">
        <v>132206000000</v>
      </c>
      <c r="L12">
        <v>117678000000</v>
      </c>
      <c r="M12">
        <v>101458000000</v>
      </c>
      <c r="N12">
        <v>85420000000</v>
      </c>
      <c r="O12">
        <v>74694208106</v>
      </c>
      <c r="P12">
        <v>1538</v>
      </c>
      <c r="Q12" t="s">
        <v>47</v>
      </c>
    </row>
    <row r="13" spans="1:17" x14ac:dyDescent="0.3">
      <c r="A13" t="s">
        <v>17</v>
      </c>
      <c r="B13" t="str">
        <f>"600016"</f>
        <v>600016</v>
      </c>
      <c r="C13" t="s">
        <v>48</v>
      </c>
      <c r="D13" t="s">
        <v>19</v>
      </c>
      <c r="F13">
        <v>484316000000</v>
      </c>
      <c r="G13">
        <v>459677000000</v>
      </c>
      <c r="H13">
        <v>448985000000</v>
      </c>
      <c r="I13">
        <v>410182000000</v>
      </c>
      <c r="J13">
        <v>369078000000</v>
      </c>
      <c r="K13">
        <v>332698000000</v>
      </c>
      <c r="L13">
        <v>301218000000</v>
      </c>
      <c r="M13">
        <v>240142000000</v>
      </c>
      <c r="N13">
        <v>197712000000</v>
      </c>
      <c r="O13">
        <v>163077000000</v>
      </c>
      <c r="P13">
        <v>20730</v>
      </c>
      <c r="Q13" t="s">
        <v>49</v>
      </c>
    </row>
    <row r="14" spans="1:17" x14ac:dyDescent="0.3">
      <c r="A14" t="s">
        <v>17</v>
      </c>
      <c r="B14" t="str">
        <f>"600017"</f>
        <v>600017</v>
      </c>
      <c r="C14" t="s">
        <v>50</v>
      </c>
      <c r="D14" t="s">
        <v>51</v>
      </c>
      <c r="F14">
        <v>13078691648</v>
      </c>
      <c r="G14">
        <v>12469858572</v>
      </c>
      <c r="H14">
        <v>11802981032</v>
      </c>
      <c r="I14">
        <v>11248363020</v>
      </c>
      <c r="J14">
        <v>10634354289</v>
      </c>
      <c r="K14">
        <v>10298629193</v>
      </c>
      <c r="L14">
        <v>10121019930</v>
      </c>
      <c r="M14">
        <v>9941989655</v>
      </c>
      <c r="N14">
        <v>9470308879</v>
      </c>
      <c r="O14">
        <v>8652400817</v>
      </c>
      <c r="P14">
        <v>180</v>
      </c>
      <c r="Q14" t="s">
        <v>52</v>
      </c>
    </row>
    <row r="15" spans="1:17" x14ac:dyDescent="0.3">
      <c r="A15" t="s">
        <v>17</v>
      </c>
      <c r="B15" t="str">
        <f>"600018"</f>
        <v>600018</v>
      </c>
      <c r="C15" t="s">
        <v>53</v>
      </c>
      <c r="D15" t="s">
        <v>51</v>
      </c>
      <c r="F15">
        <v>99790795515</v>
      </c>
      <c r="G15">
        <v>87517865438</v>
      </c>
      <c r="H15">
        <v>82056748787</v>
      </c>
      <c r="I15">
        <v>75547995702</v>
      </c>
      <c r="J15">
        <v>69484380910</v>
      </c>
      <c r="K15">
        <v>60723861446</v>
      </c>
      <c r="L15">
        <v>59608197367</v>
      </c>
      <c r="M15">
        <v>54562761824</v>
      </c>
      <c r="N15">
        <v>49819605645</v>
      </c>
      <c r="O15">
        <v>47735873948</v>
      </c>
      <c r="P15">
        <v>876</v>
      </c>
      <c r="Q15" t="s">
        <v>54</v>
      </c>
    </row>
    <row r="16" spans="1:17" x14ac:dyDescent="0.3">
      <c r="A16" t="s">
        <v>17</v>
      </c>
      <c r="B16" t="str">
        <f>"600019"</f>
        <v>600019</v>
      </c>
      <c r="C16" t="s">
        <v>55</v>
      </c>
      <c r="D16" t="s">
        <v>38</v>
      </c>
      <c r="F16">
        <v>190933625513</v>
      </c>
      <c r="G16">
        <v>184371284774</v>
      </c>
      <c r="H16">
        <v>178053114815</v>
      </c>
      <c r="I16">
        <v>176762553945</v>
      </c>
      <c r="J16">
        <v>164354786112</v>
      </c>
      <c r="K16">
        <v>121266024885</v>
      </c>
      <c r="L16">
        <v>112803243845</v>
      </c>
      <c r="M16">
        <v>114257923098</v>
      </c>
      <c r="N16">
        <v>110512197769</v>
      </c>
      <c r="O16">
        <v>111387268717</v>
      </c>
      <c r="P16">
        <v>2292</v>
      </c>
      <c r="Q16" t="s">
        <v>56</v>
      </c>
    </row>
    <row r="17" spans="1:17" x14ac:dyDescent="0.3">
      <c r="A17" t="s">
        <v>17</v>
      </c>
      <c r="B17" t="str">
        <f>"600020"</f>
        <v>600020</v>
      </c>
      <c r="C17" t="s">
        <v>57</v>
      </c>
      <c r="D17" t="s">
        <v>44</v>
      </c>
      <c r="F17">
        <v>10601112555</v>
      </c>
      <c r="G17">
        <v>10127958274</v>
      </c>
      <c r="H17">
        <v>10366879871</v>
      </c>
      <c r="I17">
        <v>9431655976</v>
      </c>
      <c r="J17">
        <v>9893823142</v>
      </c>
      <c r="K17">
        <v>8886797249</v>
      </c>
      <c r="L17">
        <v>8739404987</v>
      </c>
      <c r="M17">
        <v>7819544891</v>
      </c>
      <c r="N17">
        <v>6970702790</v>
      </c>
      <c r="O17">
        <v>6796752758</v>
      </c>
      <c r="P17">
        <v>386</v>
      </c>
      <c r="Q17" t="s">
        <v>58</v>
      </c>
    </row>
    <row r="18" spans="1:17" x14ac:dyDescent="0.3">
      <c r="A18" t="s">
        <v>17</v>
      </c>
      <c r="B18" t="str">
        <f>"600021"</f>
        <v>600021</v>
      </c>
      <c r="C18" t="s">
        <v>59</v>
      </c>
      <c r="D18" t="s">
        <v>41</v>
      </c>
      <c r="F18">
        <v>14433410308</v>
      </c>
      <c r="G18">
        <v>16410825829</v>
      </c>
      <c r="H18">
        <v>15858394170</v>
      </c>
      <c r="I18">
        <v>15901710219</v>
      </c>
      <c r="J18">
        <v>12748670025</v>
      </c>
      <c r="K18">
        <v>10289778153</v>
      </c>
      <c r="L18">
        <v>10257099016</v>
      </c>
      <c r="M18">
        <v>9759485960</v>
      </c>
      <c r="N18">
        <v>7919489582</v>
      </c>
      <c r="O18">
        <v>6961294193</v>
      </c>
      <c r="P18">
        <v>336</v>
      </c>
      <c r="Q18" t="s">
        <v>60</v>
      </c>
    </row>
    <row r="19" spans="1:17" x14ac:dyDescent="0.3">
      <c r="A19" t="s">
        <v>17</v>
      </c>
      <c r="B19" t="str">
        <f>"600022"</f>
        <v>600022</v>
      </c>
      <c r="C19" t="s">
        <v>61</v>
      </c>
      <c r="D19" t="s">
        <v>38</v>
      </c>
      <c r="F19">
        <v>21926554492</v>
      </c>
      <c r="G19">
        <v>21133158904</v>
      </c>
      <c r="H19">
        <v>20748020201</v>
      </c>
      <c r="I19">
        <v>20166679507</v>
      </c>
      <c r="J19">
        <v>18083591354</v>
      </c>
      <c r="K19">
        <v>16022566019</v>
      </c>
      <c r="L19">
        <v>16622307836</v>
      </c>
      <c r="M19">
        <v>11612603966</v>
      </c>
      <c r="N19">
        <v>13009078044</v>
      </c>
      <c r="O19">
        <v>12850670835</v>
      </c>
      <c r="P19">
        <v>233</v>
      </c>
      <c r="Q19" t="s">
        <v>62</v>
      </c>
    </row>
    <row r="20" spans="1:17" x14ac:dyDescent="0.3">
      <c r="A20" t="s">
        <v>17</v>
      </c>
      <c r="B20" t="str">
        <f>"600023"</f>
        <v>600023</v>
      </c>
      <c r="C20" t="s">
        <v>63</v>
      </c>
      <c r="D20" t="s">
        <v>41</v>
      </c>
      <c r="F20">
        <v>63932165658</v>
      </c>
      <c r="G20">
        <v>67848525947</v>
      </c>
      <c r="H20">
        <v>64167055612</v>
      </c>
      <c r="I20">
        <v>61195455409</v>
      </c>
      <c r="J20">
        <v>60778143032</v>
      </c>
      <c r="K20">
        <v>58276692282</v>
      </c>
      <c r="L20">
        <v>55618793505</v>
      </c>
      <c r="M20">
        <v>43472265745</v>
      </c>
      <c r="N20">
        <v>36141622404</v>
      </c>
      <c r="O20">
        <v>27793804602</v>
      </c>
      <c r="P20">
        <v>918</v>
      </c>
      <c r="Q20" t="s">
        <v>64</v>
      </c>
    </row>
    <row r="21" spans="1:17" x14ac:dyDescent="0.3">
      <c r="A21" t="s">
        <v>17</v>
      </c>
      <c r="B21" t="str">
        <f>"600025"</f>
        <v>600025</v>
      </c>
      <c r="C21" t="s">
        <v>65</v>
      </c>
      <c r="D21" t="s">
        <v>66</v>
      </c>
      <c r="F21">
        <v>51398539586</v>
      </c>
      <c r="G21">
        <v>48639494944</v>
      </c>
      <c r="H21">
        <v>47013287952</v>
      </c>
      <c r="I21">
        <v>44256523692</v>
      </c>
      <c r="J21">
        <v>39419679456</v>
      </c>
      <c r="K21">
        <v>33655344020</v>
      </c>
      <c r="L21">
        <v>33023142070</v>
      </c>
      <c r="M21">
        <v>28563097095</v>
      </c>
      <c r="P21">
        <v>766</v>
      </c>
      <c r="Q21" t="s">
        <v>67</v>
      </c>
    </row>
    <row r="22" spans="1:17" x14ac:dyDescent="0.3">
      <c r="A22" t="s">
        <v>17</v>
      </c>
      <c r="B22" t="str">
        <f>"600026"</f>
        <v>600026</v>
      </c>
      <c r="C22" t="s">
        <v>68</v>
      </c>
      <c r="D22" t="s">
        <v>69</v>
      </c>
      <c r="F22">
        <v>28591045392</v>
      </c>
      <c r="G22">
        <v>34621827528</v>
      </c>
      <c r="H22">
        <v>28124735237</v>
      </c>
      <c r="I22">
        <v>28191620047</v>
      </c>
      <c r="J22">
        <v>27919639800</v>
      </c>
      <c r="K22">
        <v>27413089453</v>
      </c>
      <c r="L22">
        <v>25697205499</v>
      </c>
      <c r="M22">
        <v>21829000680</v>
      </c>
      <c r="N22">
        <v>21227371257</v>
      </c>
      <c r="O22">
        <v>23517137327</v>
      </c>
      <c r="P22">
        <v>401</v>
      </c>
      <c r="Q22" t="s">
        <v>70</v>
      </c>
    </row>
    <row r="23" spans="1:17" x14ac:dyDescent="0.3">
      <c r="A23" t="s">
        <v>17</v>
      </c>
      <c r="B23" t="str">
        <f>"600027"</f>
        <v>600027</v>
      </c>
      <c r="C23" t="s">
        <v>71</v>
      </c>
      <c r="D23" t="s">
        <v>41</v>
      </c>
      <c r="F23">
        <v>39315045000</v>
      </c>
      <c r="G23">
        <v>47443806000</v>
      </c>
      <c r="H23">
        <v>45381382000</v>
      </c>
      <c r="I23">
        <v>42922236000</v>
      </c>
      <c r="J23">
        <v>41758901000</v>
      </c>
      <c r="K23">
        <v>42619387000</v>
      </c>
      <c r="L23">
        <v>42368831000</v>
      </c>
      <c r="M23">
        <v>31654587000</v>
      </c>
      <c r="N23">
        <v>22960403000</v>
      </c>
      <c r="O23">
        <v>19301932000</v>
      </c>
      <c r="P23">
        <v>987</v>
      </c>
      <c r="Q23" t="s">
        <v>72</v>
      </c>
    </row>
    <row r="24" spans="1:17" x14ac:dyDescent="0.3">
      <c r="A24" t="s">
        <v>17</v>
      </c>
      <c r="B24" t="str">
        <f>"600028"</f>
        <v>600028</v>
      </c>
      <c r="C24" t="s">
        <v>73</v>
      </c>
      <c r="D24" t="s">
        <v>74</v>
      </c>
      <c r="F24">
        <v>775102000000</v>
      </c>
      <c r="G24">
        <v>742463000000</v>
      </c>
      <c r="H24">
        <v>739169000000</v>
      </c>
      <c r="I24">
        <v>718355000000</v>
      </c>
      <c r="J24">
        <v>727244000000</v>
      </c>
      <c r="K24">
        <v>712232000000</v>
      </c>
      <c r="L24">
        <v>675370000000</v>
      </c>
      <c r="M24">
        <v>594483000000</v>
      </c>
      <c r="N24">
        <v>570346000000</v>
      </c>
      <c r="O24">
        <v>513374000000</v>
      </c>
      <c r="P24">
        <v>2315</v>
      </c>
      <c r="Q24" t="s">
        <v>75</v>
      </c>
    </row>
    <row r="25" spans="1:17" x14ac:dyDescent="0.3">
      <c r="A25" t="s">
        <v>17</v>
      </c>
      <c r="B25" t="str">
        <f>"600029"</f>
        <v>600029</v>
      </c>
      <c r="C25" t="s">
        <v>76</v>
      </c>
      <c r="D25" t="s">
        <v>77</v>
      </c>
      <c r="F25">
        <v>67616000000</v>
      </c>
      <c r="G25">
        <v>69346000000</v>
      </c>
      <c r="H25">
        <v>63863000000</v>
      </c>
      <c r="I25">
        <v>65003000000</v>
      </c>
      <c r="J25">
        <v>49594000000</v>
      </c>
      <c r="K25">
        <v>43181000000</v>
      </c>
      <c r="L25">
        <v>38966000000</v>
      </c>
      <c r="M25">
        <v>35554000000</v>
      </c>
      <c r="N25">
        <v>34139000000</v>
      </c>
      <c r="O25">
        <v>32740000000</v>
      </c>
      <c r="P25">
        <v>1137</v>
      </c>
      <c r="Q25" t="s">
        <v>78</v>
      </c>
    </row>
    <row r="26" spans="1:17" x14ac:dyDescent="0.3">
      <c r="A26" t="s">
        <v>17</v>
      </c>
      <c r="B26" t="str">
        <f>"600030"</f>
        <v>600030</v>
      </c>
      <c r="C26" t="s">
        <v>79</v>
      </c>
      <c r="D26" t="s">
        <v>80</v>
      </c>
      <c r="F26">
        <v>198403603968</v>
      </c>
      <c r="G26">
        <v>181712068581</v>
      </c>
      <c r="H26">
        <v>161625208722</v>
      </c>
      <c r="I26">
        <v>153140769241</v>
      </c>
      <c r="J26">
        <v>149799046147</v>
      </c>
      <c r="K26">
        <v>142695945758</v>
      </c>
      <c r="L26">
        <v>139137786996</v>
      </c>
      <c r="M26">
        <v>99098670267</v>
      </c>
      <c r="N26">
        <v>87688484741</v>
      </c>
      <c r="O26">
        <v>86465003751</v>
      </c>
      <c r="P26">
        <v>5754</v>
      </c>
      <c r="Q26" t="s">
        <v>81</v>
      </c>
    </row>
    <row r="27" spans="1:17" x14ac:dyDescent="0.3">
      <c r="A27" t="s">
        <v>17</v>
      </c>
      <c r="B27" t="str">
        <f>"600031"</f>
        <v>600031</v>
      </c>
      <c r="C27" t="s">
        <v>82</v>
      </c>
      <c r="D27" t="s">
        <v>83</v>
      </c>
      <c r="F27">
        <v>63690908000</v>
      </c>
      <c r="G27">
        <v>56562464000</v>
      </c>
      <c r="H27">
        <v>44420984000</v>
      </c>
      <c r="I27">
        <v>31115909000</v>
      </c>
      <c r="J27">
        <v>25102267000</v>
      </c>
      <c r="K27">
        <v>22312805000</v>
      </c>
      <c r="L27">
        <v>22670708000</v>
      </c>
      <c r="M27">
        <v>23785431000</v>
      </c>
      <c r="N27">
        <v>23887722000</v>
      </c>
      <c r="O27">
        <v>23019414000</v>
      </c>
      <c r="P27">
        <v>6538</v>
      </c>
      <c r="Q27" t="s">
        <v>84</v>
      </c>
    </row>
    <row r="28" spans="1:17" x14ac:dyDescent="0.3">
      <c r="A28" t="s">
        <v>17</v>
      </c>
      <c r="B28" t="str">
        <f>"600032"</f>
        <v>600032</v>
      </c>
      <c r="C28" t="s">
        <v>85</v>
      </c>
      <c r="D28" t="s">
        <v>86</v>
      </c>
      <c r="F28">
        <v>7709168254</v>
      </c>
      <c r="G28">
        <v>6565814138</v>
      </c>
      <c r="H28">
        <v>6282058506</v>
      </c>
      <c r="I28">
        <v>5727800795</v>
      </c>
      <c r="J28">
        <v>3753650000</v>
      </c>
      <c r="P28">
        <v>81</v>
      </c>
      <c r="Q28" t="s">
        <v>87</v>
      </c>
    </row>
    <row r="29" spans="1:17" x14ac:dyDescent="0.3">
      <c r="A29" t="s">
        <v>17</v>
      </c>
      <c r="B29" t="str">
        <f>"600033"</f>
        <v>600033</v>
      </c>
      <c r="C29" t="s">
        <v>88</v>
      </c>
      <c r="D29" t="s">
        <v>44</v>
      </c>
      <c r="F29">
        <v>10471395380</v>
      </c>
      <c r="G29">
        <v>9875587115</v>
      </c>
      <c r="H29">
        <v>9510749083</v>
      </c>
      <c r="I29">
        <v>9092477410</v>
      </c>
      <c r="J29">
        <v>8691179881</v>
      </c>
      <c r="K29">
        <v>8446314979</v>
      </c>
      <c r="L29">
        <v>8049601459</v>
      </c>
      <c r="M29">
        <v>7773256291</v>
      </c>
      <c r="N29">
        <v>7508951416</v>
      </c>
      <c r="O29">
        <v>7239294558</v>
      </c>
      <c r="P29">
        <v>397</v>
      </c>
      <c r="Q29" t="s">
        <v>89</v>
      </c>
    </row>
    <row r="30" spans="1:17" x14ac:dyDescent="0.3">
      <c r="A30" t="s">
        <v>17</v>
      </c>
      <c r="B30" t="str">
        <f>"600035"</f>
        <v>600035</v>
      </c>
      <c r="C30" t="s">
        <v>90</v>
      </c>
      <c r="D30" t="s">
        <v>44</v>
      </c>
      <c r="F30">
        <v>6997815481</v>
      </c>
      <c r="G30">
        <v>6360281807</v>
      </c>
      <c r="H30">
        <v>6551020878</v>
      </c>
      <c r="I30">
        <v>6221994513</v>
      </c>
      <c r="J30">
        <v>6012496379</v>
      </c>
      <c r="K30">
        <v>4326867684</v>
      </c>
      <c r="L30">
        <v>-5922784864</v>
      </c>
      <c r="M30">
        <v>3722343723</v>
      </c>
      <c r="N30">
        <v>3522341055</v>
      </c>
      <c r="O30">
        <v>3332223574</v>
      </c>
      <c r="P30">
        <v>290</v>
      </c>
      <c r="Q30" t="s">
        <v>91</v>
      </c>
    </row>
    <row r="31" spans="1:17" x14ac:dyDescent="0.3">
      <c r="A31" t="s">
        <v>17</v>
      </c>
      <c r="B31" t="str">
        <f>"600036"</f>
        <v>600036</v>
      </c>
      <c r="C31" t="s">
        <v>92</v>
      </c>
      <c r="D31" t="s">
        <v>19</v>
      </c>
      <c r="F31">
        <v>731702000000</v>
      </c>
      <c r="G31">
        <v>639696000000</v>
      </c>
      <c r="H31">
        <v>577236000000</v>
      </c>
      <c r="I31">
        <v>506053000000</v>
      </c>
      <c r="J31">
        <v>446145000000</v>
      </c>
      <c r="K31">
        <v>402350000000</v>
      </c>
      <c r="L31">
        <v>360806000000</v>
      </c>
      <c r="M31">
        <v>314404000000</v>
      </c>
      <c r="N31">
        <v>265465000000</v>
      </c>
      <c r="O31">
        <v>200434000000</v>
      </c>
      <c r="P31">
        <v>68589</v>
      </c>
      <c r="Q31" t="s">
        <v>93</v>
      </c>
    </row>
    <row r="32" spans="1:17" x14ac:dyDescent="0.3">
      <c r="A32" t="s">
        <v>17</v>
      </c>
      <c r="B32" t="str">
        <f>"600037"</f>
        <v>600037</v>
      </c>
      <c r="C32" t="s">
        <v>94</v>
      </c>
      <c r="D32" t="s">
        <v>95</v>
      </c>
      <c r="F32">
        <v>12829684039</v>
      </c>
      <c r="G32">
        <v>12676492916</v>
      </c>
      <c r="H32">
        <v>13430189315</v>
      </c>
      <c r="I32">
        <v>13046991121</v>
      </c>
      <c r="J32">
        <v>12784120433</v>
      </c>
      <c r="K32">
        <v>12690266687</v>
      </c>
      <c r="L32">
        <v>11529982712</v>
      </c>
      <c r="M32">
        <v>6289308845</v>
      </c>
      <c r="N32">
        <v>5778402816</v>
      </c>
      <c r="O32">
        <v>5507707697</v>
      </c>
      <c r="P32">
        <v>309</v>
      </c>
      <c r="Q32" t="s">
        <v>96</v>
      </c>
    </row>
    <row r="33" spans="1:17" x14ac:dyDescent="0.3">
      <c r="A33" t="s">
        <v>17</v>
      </c>
      <c r="B33" t="str">
        <f>"600038"</f>
        <v>600038</v>
      </c>
      <c r="C33" t="s">
        <v>97</v>
      </c>
      <c r="D33" t="s">
        <v>98</v>
      </c>
      <c r="F33">
        <v>9625687814</v>
      </c>
      <c r="G33">
        <v>8867024365</v>
      </c>
      <c r="H33">
        <v>8174931580</v>
      </c>
      <c r="I33">
        <v>7717758780</v>
      </c>
      <c r="J33">
        <v>7219093939</v>
      </c>
      <c r="K33">
        <v>6858575531</v>
      </c>
      <c r="L33">
        <v>6548669670</v>
      </c>
      <c r="M33">
        <v>6173680137</v>
      </c>
      <c r="N33">
        <v>5892068699</v>
      </c>
      <c r="O33">
        <v>1596364599</v>
      </c>
      <c r="P33">
        <v>447</v>
      </c>
      <c r="Q33" t="s">
        <v>99</v>
      </c>
    </row>
    <row r="34" spans="1:17" x14ac:dyDescent="0.3">
      <c r="A34" t="s">
        <v>17</v>
      </c>
      <c r="B34" t="str">
        <f>"600039"</f>
        <v>600039</v>
      </c>
      <c r="C34" t="s">
        <v>100</v>
      </c>
      <c r="D34" t="s">
        <v>101</v>
      </c>
      <c r="F34">
        <v>27149392625</v>
      </c>
      <c r="G34">
        <v>22614123788</v>
      </c>
      <c r="H34">
        <v>15596835719</v>
      </c>
      <c r="I34">
        <v>13997654152</v>
      </c>
      <c r="J34">
        <v>13095787613</v>
      </c>
      <c r="K34">
        <v>9644594688</v>
      </c>
      <c r="L34">
        <v>8628347957</v>
      </c>
      <c r="M34">
        <v>7465135569</v>
      </c>
      <c r="N34">
        <v>6504306053</v>
      </c>
      <c r="O34">
        <v>3841976126</v>
      </c>
      <c r="P34">
        <v>484</v>
      </c>
      <c r="Q34" t="s">
        <v>102</v>
      </c>
    </row>
    <row r="35" spans="1:17" x14ac:dyDescent="0.3">
      <c r="A35" t="s">
        <v>17</v>
      </c>
      <c r="B35" t="str">
        <f>"600048"</f>
        <v>600048</v>
      </c>
      <c r="C35" t="s">
        <v>103</v>
      </c>
      <c r="D35" t="s">
        <v>104</v>
      </c>
      <c r="F35">
        <v>176880927798</v>
      </c>
      <c r="G35">
        <v>160051098579</v>
      </c>
      <c r="H35">
        <v>140341944764</v>
      </c>
      <c r="I35">
        <v>115422515914</v>
      </c>
      <c r="J35">
        <v>101979798172</v>
      </c>
      <c r="K35">
        <v>89253187377</v>
      </c>
      <c r="L35">
        <v>71522559910</v>
      </c>
      <c r="M35">
        <v>61409537570</v>
      </c>
      <c r="N35">
        <v>51762869363</v>
      </c>
      <c r="O35">
        <v>42486380748</v>
      </c>
      <c r="P35">
        <v>8844</v>
      </c>
      <c r="Q35" t="s">
        <v>105</v>
      </c>
    </row>
    <row r="36" spans="1:17" x14ac:dyDescent="0.3">
      <c r="A36" t="s">
        <v>17</v>
      </c>
      <c r="B36" t="str">
        <f>"600050"</f>
        <v>600050</v>
      </c>
      <c r="C36" t="s">
        <v>106</v>
      </c>
      <c r="D36" t="s">
        <v>107</v>
      </c>
      <c r="F36">
        <v>149217148845</v>
      </c>
      <c r="G36">
        <v>147708515154</v>
      </c>
      <c r="H36">
        <v>143327302175</v>
      </c>
      <c r="I36">
        <v>140144361690</v>
      </c>
      <c r="J36">
        <v>135393329128</v>
      </c>
      <c r="K36">
        <v>77502607249</v>
      </c>
      <c r="L36">
        <v>78682176625</v>
      </c>
      <c r="M36">
        <v>77336519372</v>
      </c>
      <c r="N36">
        <v>74858939461</v>
      </c>
      <c r="O36">
        <v>72297283180</v>
      </c>
      <c r="P36">
        <v>1304</v>
      </c>
      <c r="Q36" t="s">
        <v>108</v>
      </c>
    </row>
    <row r="37" spans="1:17" x14ac:dyDescent="0.3">
      <c r="A37" t="s">
        <v>17</v>
      </c>
      <c r="B37" t="str">
        <f>"600051"</f>
        <v>600051</v>
      </c>
      <c r="C37" t="s">
        <v>109</v>
      </c>
      <c r="D37" t="s">
        <v>110</v>
      </c>
      <c r="F37">
        <v>3135135177</v>
      </c>
      <c r="G37">
        <v>2949320909</v>
      </c>
      <c r="H37">
        <v>2659986367</v>
      </c>
      <c r="I37">
        <v>2387157407</v>
      </c>
      <c r="J37">
        <v>2423210587</v>
      </c>
      <c r="K37">
        <v>1935479350</v>
      </c>
      <c r="L37">
        <v>1876024709</v>
      </c>
      <c r="M37">
        <v>1858833490</v>
      </c>
      <c r="N37">
        <v>1778187020</v>
      </c>
      <c r="O37">
        <v>1881976373</v>
      </c>
      <c r="P37">
        <v>305</v>
      </c>
      <c r="Q37" t="s">
        <v>111</v>
      </c>
    </row>
    <row r="38" spans="1:17" x14ac:dyDescent="0.3">
      <c r="A38" t="s">
        <v>17</v>
      </c>
      <c r="B38" t="str">
        <f>"600052"</f>
        <v>600052</v>
      </c>
      <c r="C38" t="s">
        <v>112</v>
      </c>
      <c r="D38" t="s">
        <v>113</v>
      </c>
      <c r="F38">
        <v>3339916156</v>
      </c>
      <c r="G38">
        <v>3379970806</v>
      </c>
      <c r="H38">
        <v>3605470462</v>
      </c>
      <c r="I38">
        <v>2451470388</v>
      </c>
      <c r="J38">
        <v>2309700873</v>
      </c>
      <c r="K38">
        <v>2047195420</v>
      </c>
      <c r="L38">
        <v>1300954424</v>
      </c>
      <c r="M38">
        <v>2003510294</v>
      </c>
      <c r="N38">
        <v>1828075950</v>
      </c>
      <c r="O38">
        <v>1831006909</v>
      </c>
      <c r="P38">
        <v>133</v>
      </c>
      <c r="Q38" t="s">
        <v>114</v>
      </c>
    </row>
    <row r="39" spans="1:17" x14ac:dyDescent="0.3">
      <c r="A39" t="s">
        <v>17</v>
      </c>
      <c r="B39" t="str">
        <f>"600053"</f>
        <v>600053</v>
      </c>
      <c r="C39" t="s">
        <v>115</v>
      </c>
      <c r="D39" t="s">
        <v>116</v>
      </c>
      <c r="F39">
        <v>2740807066</v>
      </c>
      <c r="G39">
        <v>2685964570</v>
      </c>
      <c r="H39">
        <v>2623787648</v>
      </c>
      <c r="I39">
        <v>2166410736</v>
      </c>
      <c r="J39">
        <v>2014363943</v>
      </c>
      <c r="K39">
        <v>1683979562</v>
      </c>
      <c r="L39">
        <v>1156609410</v>
      </c>
      <c r="M39">
        <v>876798250</v>
      </c>
      <c r="N39">
        <v>809921356</v>
      </c>
      <c r="O39">
        <v>793021604</v>
      </c>
      <c r="P39">
        <v>229</v>
      </c>
      <c r="Q39" t="s">
        <v>117</v>
      </c>
    </row>
    <row r="40" spans="1:17" x14ac:dyDescent="0.3">
      <c r="A40" t="s">
        <v>17</v>
      </c>
      <c r="B40" t="str">
        <f>"600054"</f>
        <v>600054</v>
      </c>
      <c r="C40" t="s">
        <v>118</v>
      </c>
      <c r="D40" t="s">
        <v>119</v>
      </c>
      <c r="F40">
        <v>4295170054</v>
      </c>
      <c r="G40">
        <v>4262652859</v>
      </c>
      <c r="H40">
        <v>4359078733</v>
      </c>
      <c r="I40">
        <v>4082496953</v>
      </c>
      <c r="J40">
        <v>4138980781</v>
      </c>
      <c r="K40">
        <v>4157271461</v>
      </c>
      <c r="L40">
        <v>2977276426</v>
      </c>
      <c r="M40">
        <v>2221105337</v>
      </c>
      <c r="N40">
        <v>2030717281</v>
      </c>
      <c r="O40">
        <v>1901049727</v>
      </c>
      <c r="P40">
        <v>380</v>
      </c>
      <c r="Q40" t="s">
        <v>120</v>
      </c>
    </row>
    <row r="41" spans="1:17" x14ac:dyDescent="0.3">
      <c r="A41" t="s">
        <v>17</v>
      </c>
      <c r="B41" t="str">
        <f>"600055"</f>
        <v>600055</v>
      </c>
      <c r="C41" t="s">
        <v>121</v>
      </c>
      <c r="D41" t="s">
        <v>122</v>
      </c>
      <c r="F41">
        <v>2396012170</v>
      </c>
      <c r="G41">
        <v>2282816378</v>
      </c>
      <c r="H41">
        <v>2089004615</v>
      </c>
      <c r="I41">
        <v>1964522853</v>
      </c>
      <c r="J41">
        <v>1844388857</v>
      </c>
      <c r="K41">
        <v>1792177806</v>
      </c>
      <c r="L41">
        <v>698531118</v>
      </c>
      <c r="M41">
        <v>667775544</v>
      </c>
      <c r="N41">
        <v>665557961</v>
      </c>
      <c r="O41">
        <v>636369277</v>
      </c>
      <c r="P41">
        <v>358</v>
      </c>
      <c r="Q41" t="s">
        <v>123</v>
      </c>
    </row>
    <row r="42" spans="1:17" x14ac:dyDescent="0.3">
      <c r="A42" t="s">
        <v>17</v>
      </c>
      <c r="B42" t="str">
        <f>"600056"</f>
        <v>600056</v>
      </c>
      <c r="C42" t="s">
        <v>124</v>
      </c>
      <c r="D42" t="s">
        <v>125</v>
      </c>
      <c r="F42">
        <v>10258003170</v>
      </c>
      <c r="G42">
        <v>10005292652</v>
      </c>
      <c r="H42">
        <v>8994902819</v>
      </c>
      <c r="I42">
        <v>8451694979</v>
      </c>
      <c r="J42">
        <v>7759493462</v>
      </c>
      <c r="K42">
        <v>6878891319</v>
      </c>
      <c r="L42">
        <v>5400316830</v>
      </c>
      <c r="M42">
        <v>4975971753</v>
      </c>
      <c r="N42">
        <v>3437603647</v>
      </c>
      <c r="O42">
        <v>2000474131</v>
      </c>
      <c r="P42">
        <v>890</v>
      </c>
      <c r="Q42" t="s">
        <v>126</v>
      </c>
    </row>
    <row r="43" spans="1:17" x14ac:dyDescent="0.3">
      <c r="A43" t="s">
        <v>17</v>
      </c>
      <c r="B43" t="str">
        <f>"600057"</f>
        <v>600057</v>
      </c>
      <c r="C43" t="s">
        <v>127</v>
      </c>
      <c r="D43" t="s">
        <v>128</v>
      </c>
      <c r="F43">
        <v>12914257488</v>
      </c>
      <c r="G43">
        <v>10964687986</v>
      </c>
      <c r="H43">
        <v>10583977654</v>
      </c>
      <c r="I43">
        <v>9677640294</v>
      </c>
      <c r="J43">
        <v>8945626454</v>
      </c>
      <c r="K43">
        <v>6689702571</v>
      </c>
      <c r="L43">
        <v>6037065911</v>
      </c>
      <c r="M43">
        <v>3772698079</v>
      </c>
      <c r="N43">
        <v>1807779404</v>
      </c>
      <c r="O43">
        <v>1539110258</v>
      </c>
      <c r="P43">
        <v>411</v>
      </c>
      <c r="Q43" t="s">
        <v>129</v>
      </c>
    </row>
    <row r="44" spans="1:17" x14ac:dyDescent="0.3">
      <c r="A44" t="s">
        <v>17</v>
      </c>
      <c r="B44" t="str">
        <f>"600058"</f>
        <v>600058</v>
      </c>
      <c r="C44" t="s">
        <v>130</v>
      </c>
      <c r="D44" t="s">
        <v>131</v>
      </c>
      <c r="F44">
        <v>4643846757</v>
      </c>
      <c r="G44">
        <v>4246155634</v>
      </c>
      <c r="H44">
        <v>4132613177</v>
      </c>
      <c r="I44">
        <v>4082107884</v>
      </c>
      <c r="J44">
        <v>5034590432</v>
      </c>
      <c r="K44">
        <v>5000731664</v>
      </c>
      <c r="L44">
        <v>4973342263</v>
      </c>
      <c r="M44">
        <v>8639586605</v>
      </c>
      <c r="N44">
        <v>8541738699</v>
      </c>
      <c r="O44">
        <v>8259654892</v>
      </c>
      <c r="P44">
        <v>139</v>
      </c>
      <c r="Q44" t="s">
        <v>132</v>
      </c>
    </row>
    <row r="45" spans="1:17" x14ac:dyDescent="0.3">
      <c r="A45" t="s">
        <v>17</v>
      </c>
      <c r="B45" t="str">
        <f>"600059"</f>
        <v>600059</v>
      </c>
      <c r="C45" t="s">
        <v>133</v>
      </c>
      <c r="D45" t="s">
        <v>134</v>
      </c>
      <c r="F45">
        <v>5361331567</v>
      </c>
      <c r="G45">
        <v>4256438535</v>
      </c>
      <c r="H45">
        <v>4187022955</v>
      </c>
      <c r="I45">
        <v>4069331950</v>
      </c>
      <c r="J45">
        <v>3978402827</v>
      </c>
      <c r="K45">
        <v>3894666441</v>
      </c>
      <c r="L45">
        <v>3771934404</v>
      </c>
      <c r="M45">
        <v>3702960228</v>
      </c>
      <c r="N45">
        <v>2488283169</v>
      </c>
      <c r="O45">
        <v>2408320712</v>
      </c>
      <c r="P45">
        <v>323</v>
      </c>
      <c r="Q45" t="s">
        <v>135</v>
      </c>
    </row>
    <row r="46" spans="1:17" x14ac:dyDescent="0.3">
      <c r="A46" t="s">
        <v>17</v>
      </c>
      <c r="B46" t="str">
        <f>"600060"</f>
        <v>600060</v>
      </c>
      <c r="C46" t="s">
        <v>136</v>
      </c>
      <c r="D46" t="s">
        <v>137</v>
      </c>
      <c r="F46">
        <v>16086394907</v>
      </c>
      <c r="G46">
        <v>15571469637</v>
      </c>
      <c r="H46">
        <v>14578610616</v>
      </c>
      <c r="I46">
        <v>14091349311</v>
      </c>
      <c r="J46">
        <v>13626819057</v>
      </c>
      <c r="K46">
        <v>13184275029</v>
      </c>
      <c r="L46">
        <v>11884176979</v>
      </c>
      <c r="M46">
        <v>10820455961</v>
      </c>
      <c r="N46">
        <v>9888056227</v>
      </c>
      <c r="O46">
        <v>8784430054</v>
      </c>
      <c r="P46">
        <v>532</v>
      </c>
      <c r="Q46" t="s">
        <v>138</v>
      </c>
    </row>
    <row r="47" spans="1:17" x14ac:dyDescent="0.3">
      <c r="A47" t="s">
        <v>17</v>
      </c>
      <c r="B47" t="str">
        <f>"600061"</f>
        <v>600061</v>
      </c>
      <c r="C47" t="s">
        <v>139</v>
      </c>
      <c r="D47" t="s">
        <v>140</v>
      </c>
      <c r="F47">
        <v>46223599785</v>
      </c>
      <c r="G47">
        <v>42386264289</v>
      </c>
      <c r="H47">
        <v>39078063931</v>
      </c>
      <c r="I47">
        <v>36408009262</v>
      </c>
      <c r="J47">
        <v>36318311614</v>
      </c>
      <c r="K47">
        <v>27533461282</v>
      </c>
      <c r="L47">
        <v>26442197840</v>
      </c>
      <c r="M47">
        <v>619377009</v>
      </c>
      <c r="N47">
        <v>596420004</v>
      </c>
      <c r="O47">
        <v>590063412</v>
      </c>
      <c r="P47">
        <v>1304</v>
      </c>
      <c r="Q47" t="s">
        <v>141</v>
      </c>
    </row>
    <row r="48" spans="1:17" x14ac:dyDescent="0.3">
      <c r="A48" t="s">
        <v>17</v>
      </c>
      <c r="B48" t="str">
        <f>"600062"</f>
        <v>600062</v>
      </c>
      <c r="C48" t="s">
        <v>142</v>
      </c>
      <c r="D48" t="s">
        <v>143</v>
      </c>
      <c r="F48">
        <v>9905495655</v>
      </c>
      <c r="G48">
        <v>9294106184</v>
      </c>
      <c r="H48">
        <v>8602508125</v>
      </c>
      <c r="I48">
        <v>7839917981</v>
      </c>
      <c r="J48">
        <v>7456791302</v>
      </c>
      <c r="K48">
        <v>6686214420</v>
      </c>
      <c r="L48">
        <v>6106660305</v>
      </c>
      <c r="M48">
        <v>5679125252</v>
      </c>
      <c r="N48">
        <v>5332737412</v>
      </c>
      <c r="O48">
        <v>4653606328</v>
      </c>
      <c r="P48">
        <v>635</v>
      </c>
      <c r="Q48" t="s">
        <v>144</v>
      </c>
    </row>
    <row r="49" spans="1:17" x14ac:dyDescent="0.3">
      <c r="A49" t="s">
        <v>17</v>
      </c>
      <c r="B49" t="str">
        <f>"600063"</f>
        <v>600063</v>
      </c>
      <c r="C49" t="s">
        <v>145</v>
      </c>
      <c r="D49" t="s">
        <v>146</v>
      </c>
      <c r="F49">
        <v>6326012900</v>
      </c>
      <c r="G49">
        <v>5674370625</v>
      </c>
      <c r="H49">
        <v>5122329521</v>
      </c>
      <c r="I49">
        <v>4607637161</v>
      </c>
      <c r="J49">
        <v>4824120902</v>
      </c>
      <c r="K49">
        <v>3643319468</v>
      </c>
      <c r="L49">
        <v>2577195132</v>
      </c>
      <c r="M49">
        <v>3689499839</v>
      </c>
      <c r="N49">
        <v>2415760598</v>
      </c>
      <c r="O49">
        <v>2437403106</v>
      </c>
      <c r="P49">
        <v>224</v>
      </c>
      <c r="Q49" t="s">
        <v>147</v>
      </c>
    </row>
    <row r="50" spans="1:17" x14ac:dyDescent="0.3">
      <c r="A50" t="s">
        <v>17</v>
      </c>
      <c r="B50" t="str">
        <f>"600064"</f>
        <v>600064</v>
      </c>
      <c r="C50" t="s">
        <v>148</v>
      </c>
      <c r="D50" t="s">
        <v>104</v>
      </c>
      <c r="F50">
        <v>15070869899</v>
      </c>
      <c r="G50">
        <v>13254283246</v>
      </c>
      <c r="H50">
        <v>11817241429</v>
      </c>
      <c r="I50">
        <v>9330585954</v>
      </c>
      <c r="J50">
        <v>10121430535</v>
      </c>
      <c r="K50">
        <v>9844661205</v>
      </c>
      <c r="L50">
        <v>8996628612</v>
      </c>
      <c r="M50">
        <v>8259150300</v>
      </c>
      <c r="N50">
        <v>4972093766</v>
      </c>
      <c r="O50">
        <v>5174984137</v>
      </c>
      <c r="P50">
        <v>432</v>
      </c>
      <c r="Q50" t="s">
        <v>149</v>
      </c>
    </row>
    <row r="51" spans="1:17" x14ac:dyDescent="0.3">
      <c r="A51" t="s">
        <v>17</v>
      </c>
      <c r="B51" t="str">
        <f>"600065"</f>
        <v>600065</v>
      </c>
      <c r="C51" t="s">
        <v>150</v>
      </c>
      <c r="K51">
        <v>-794159166.83000004</v>
      </c>
      <c r="L51">
        <v>-226295256.11000001</v>
      </c>
      <c r="M51">
        <v>77271202.359999999</v>
      </c>
      <c r="N51">
        <v>185068905.25</v>
      </c>
      <c r="O51">
        <v>158472814.93000001</v>
      </c>
      <c r="P51">
        <v>4</v>
      </c>
      <c r="Q51" t="s">
        <v>151</v>
      </c>
    </row>
    <row r="52" spans="1:17" x14ac:dyDescent="0.3">
      <c r="A52" t="s">
        <v>17</v>
      </c>
      <c r="B52" t="str">
        <f>"600066"</f>
        <v>600066</v>
      </c>
      <c r="C52" t="s">
        <v>152</v>
      </c>
      <c r="D52" t="s">
        <v>153</v>
      </c>
      <c r="F52">
        <v>15218639366</v>
      </c>
      <c r="G52">
        <v>15333583740</v>
      </c>
      <c r="H52">
        <v>16540321896</v>
      </c>
      <c r="I52">
        <v>15640911586</v>
      </c>
      <c r="J52">
        <v>14499737419</v>
      </c>
      <c r="K52">
        <v>13583663720</v>
      </c>
      <c r="L52">
        <v>12860576682</v>
      </c>
      <c r="M52">
        <v>10804460928</v>
      </c>
      <c r="N52">
        <v>8747061908</v>
      </c>
      <c r="O52">
        <v>7314886001</v>
      </c>
      <c r="P52">
        <v>2894</v>
      </c>
      <c r="Q52" t="s">
        <v>154</v>
      </c>
    </row>
    <row r="53" spans="1:17" x14ac:dyDescent="0.3">
      <c r="A53" t="s">
        <v>17</v>
      </c>
      <c r="B53" t="str">
        <f>"600067"</f>
        <v>600067</v>
      </c>
      <c r="C53" t="s">
        <v>155</v>
      </c>
      <c r="D53" t="s">
        <v>104</v>
      </c>
      <c r="F53">
        <v>6954164713</v>
      </c>
      <c r="G53">
        <v>8036140009</v>
      </c>
      <c r="H53">
        <v>7761911915</v>
      </c>
      <c r="I53">
        <v>7837570759</v>
      </c>
      <c r="J53">
        <v>7247526087</v>
      </c>
      <c r="K53">
        <v>6816094872</v>
      </c>
      <c r="L53">
        <v>7061821571</v>
      </c>
      <c r="M53">
        <v>5529314586</v>
      </c>
      <c r="N53">
        <v>4691567783</v>
      </c>
      <c r="O53">
        <v>3578172496</v>
      </c>
      <c r="P53">
        <v>222</v>
      </c>
      <c r="Q53" t="s">
        <v>156</v>
      </c>
    </row>
    <row r="54" spans="1:17" x14ac:dyDescent="0.3">
      <c r="A54" t="s">
        <v>17</v>
      </c>
      <c r="B54" t="str">
        <f>"600068"</f>
        <v>600068</v>
      </c>
      <c r="C54" t="s">
        <v>157</v>
      </c>
      <c r="G54">
        <v>33710435150</v>
      </c>
      <c r="H54">
        <v>31034121769</v>
      </c>
      <c r="I54">
        <v>26803990684</v>
      </c>
      <c r="J54">
        <v>25031722200</v>
      </c>
      <c r="K54">
        <v>22522416103</v>
      </c>
      <c r="L54">
        <v>20240565026</v>
      </c>
      <c r="M54">
        <v>20739716092</v>
      </c>
      <c r="N54">
        <v>13649523032</v>
      </c>
      <c r="O54">
        <v>12464252207</v>
      </c>
      <c r="P54">
        <v>843</v>
      </c>
      <c r="Q54" t="s">
        <v>158</v>
      </c>
    </row>
    <row r="55" spans="1:17" x14ac:dyDescent="0.3">
      <c r="A55" t="s">
        <v>17</v>
      </c>
      <c r="B55" t="str">
        <f>"600069"</f>
        <v>600069</v>
      </c>
      <c r="C55" t="s">
        <v>159</v>
      </c>
      <c r="H55">
        <v>1380664606</v>
      </c>
      <c r="I55">
        <v>2020879792</v>
      </c>
      <c r="J55">
        <v>2109559756</v>
      </c>
      <c r="K55">
        <v>2021079328</v>
      </c>
      <c r="L55">
        <v>2420455716</v>
      </c>
      <c r="M55">
        <v>879643035</v>
      </c>
      <c r="N55">
        <v>1576135972</v>
      </c>
      <c r="O55">
        <v>1841821272</v>
      </c>
      <c r="P55">
        <v>48</v>
      </c>
      <c r="Q55" t="s">
        <v>160</v>
      </c>
    </row>
    <row r="56" spans="1:17" x14ac:dyDescent="0.3">
      <c r="A56" t="s">
        <v>17</v>
      </c>
      <c r="B56" t="str">
        <f>"600070"</f>
        <v>600070</v>
      </c>
      <c r="C56" t="s">
        <v>161</v>
      </c>
      <c r="D56" t="s">
        <v>110</v>
      </c>
      <c r="F56">
        <v>1778783146</v>
      </c>
      <c r="G56">
        <v>2369110646</v>
      </c>
      <c r="H56">
        <v>2842310700</v>
      </c>
      <c r="I56">
        <v>2361998831</v>
      </c>
      <c r="J56">
        <v>2300674633</v>
      </c>
      <c r="K56">
        <v>2115185467</v>
      </c>
      <c r="L56">
        <v>513716512</v>
      </c>
      <c r="M56">
        <v>971408028</v>
      </c>
      <c r="N56">
        <v>864216487</v>
      </c>
      <c r="O56">
        <v>589669913</v>
      </c>
      <c r="P56">
        <v>183</v>
      </c>
      <c r="Q56" t="s">
        <v>162</v>
      </c>
    </row>
    <row r="57" spans="1:17" x14ac:dyDescent="0.3">
      <c r="A57" t="s">
        <v>17</v>
      </c>
      <c r="B57" t="str">
        <f>"600071"</f>
        <v>600071</v>
      </c>
      <c r="C57" t="s">
        <v>163</v>
      </c>
      <c r="D57" t="s">
        <v>164</v>
      </c>
      <c r="F57">
        <v>520529550</v>
      </c>
      <c r="G57">
        <v>510039724</v>
      </c>
      <c r="H57">
        <v>494939898</v>
      </c>
      <c r="I57">
        <v>416306837</v>
      </c>
      <c r="J57">
        <v>423617931</v>
      </c>
      <c r="K57">
        <v>390134047</v>
      </c>
      <c r="L57">
        <v>512587750</v>
      </c>
      <c r="M57">
        <v>492358039</v>
      </c>
      <c r="N57">
        <v>593167958</v>
      </c>
      <c r="O57">
        <v>621398198</v>
      </c>
      <c r="P57">
        <v>97</v>
      </c>
      <c r="Q57" t="s">
        <v>165</v>
      </c>
    </row>
    <row r="58" spans="1:17" x14ac:dyDescent="0.3">
      <c r="A58" t="s">
        <v>17</v>
      </c>
      <c r="B58" t="str">
        <f>"600072"</f>
        <v>600072</v>
      </c>
      <c r="C58" t="s">
        <v>166</v>
      </c>
      <c r="D58" t="s">
        <v>167</v>
      </c>
      <c r="F58">
        <v>3955663669</v>
      </c>
      <c r="G58">
        <v>3923608083</v>
      </c>
      <c r="H58">
        <v>3882673959</v>
      </c>
      <c r="I58">
        <v>3718262302</v>
      </c>
      <c r="J58">
        <v>3653201663</v>
      </c>
      <c r="K58">
        <v>3624500143</v>
      </c>
      <c r="L58">
        <v>1153549125</v>
      </c>
      <c r="M58">
        <v>1135876249</v>
      </c>
      <c r="N58">
        <v>1139849896</v>
      </c>
      <c r="O58">
        <v>1320894884</v>
      </c>
      <c r="P58">
        <v>181</v>
      </c>
      <c r="Q58" t="s">
        <v>168</v>
      </c>
    </row>
    <row r="59" spans="1:17" x14ac:dyDescent="0.3">
      <c r="A59" t="s">
        <v>17</v>
      </c>
      <c r="B59" t="str">
        <f>"600073"</f>
        <v>600073</v>
      </c>
      <c r="C59" t="s">
        <v>169</v>
      </c>
      <c r="D59" t="s">
        <v>170</v>
      </c>
      <c r="F59">
        <v>4397884561</v>
      </c>
      <c r="G59">
        <v>4329411571</v>
      </c>
      <c r="H59">
        <v>4018621044</v>
      </c>
      <c r="I59">
        <v>3809445300</v>
      </c>
      <c r="J59">
        <v>3549144398</v>
      </c>
      <c r="K59">
        <v>3199028259</v>
      </c>
      <c r="L59">
        <v>2967958550</v>
      </c>
      <c r="M59">
        <v>2889785485</v>
      </c>
      <c r="N59">
        <v>1983252442</v>
      </c>
      <c r="O59">
        <v>1876142937</v>
      </c>
      <c r="P59">
        <v>442</v>
      </c>
      <c r="Q59" t="s">
        <v>171</v>
      </c>
    </row>
    <row r="60" spans="1:17" x14ac:dyDescent="0.3">
      <c r="A60" t="s">
        <v>17</v>
      </c>
      <c r="B60" t="str">
        <f>"600074"</f>
        <v>600074</v>
      </c>
      <c r="C60" t="s">
        <v>172</v>
      </c>
      <c r="H60">
        <v>-5979022383</v>
      </c>
      <c r="I60">
        <v>-5047252113</v>
      </c>
      <c r="J60">
        <v>-3359043132</v>
      </c>
      <c r="K60">
        <v>4374924405</v>
      </c>
      <c r="L60">
        <v>1452435709</v>
      </c>
      <c r="M60">
        <v>623713772</v>
      </c>
      <c r="N60">
        <v>93812957</v>
      </c>
      <c r="O60">
        <v>-154497547</v>
      </c>
      <c r="P60">
        <v>61</v>
      </c>
      <c r="Q60" t="s">
        <v>173</v>
      </c>
    </row>
    <row r="61" spans="1:17" x14ac:dyDescent="0.3">
      <c r="A61" t="s">
        <v>17</v>
      </c>
      <c r="B61" t="str">
        <f>"600075"</f>
        <v>600075</v>
      </c>
      <c r="C61" t="s">
        <v>174</v>
      </c>
      <c r="D61" t="s">
        <v>175</v>
      </c>
      <c r="F61">
        <v>9555280616</v>
      </c>
      <c r="G61">
        <v>6846002163</v>
      </c>
      <c r="H61">
        <v>4733870188</v>
      </c>
      <c r="I61">
        <v>4796455669</v>
      </c>
      <c r="J61">
        <v>4339185912</v>
      </c>
      <c r="K61">
        <v>3868625171</v>
      </c>
      <c r="L61">
        <v>1582800590</v>
      </c>
      <c r="M61">
        <v>1541681703</v>
      </c>
      <c r="N61">
        <v>1502710514</v>
      </c>
      <c r="O61">
        <v>1717912546</v>
      </c>
      <c r="P61">
        <v>194</v>
      </c>
      <c r="Q61" t="s">
        <v>176</v>
      </c>
    </row>
    <row r="62" spans="1:17" x14ac:dyDescent="0.3">
      <c r="A62" t="s">
        <v>17</v>
      </c>
      <c r="B62" t="str">
        <f>"600076"</f>
        <v>600076</v>
      </c>
      <c r="C62" t="s">
        <v>177</v>
      </c>
      <c r="D62" t="s">
        <v>178</v>
      </c>
      <c r="F62">
        <v>4835932950</v>
      </c>
      <c r="G62">
        <v>3952255189</v>
      </c>
      <c r="H62">
        <v>4113651024</v>
      </c>
      <c r="I62">
        <v>3744302488</v>
      </c>
      <c r="J62">
        <v>3390726215</v>
      </c>
      <c r="K62">
        <v>2924405208</v>
      </c>
      <c r="L62">
        <v>2540531301</v>
      </c>
      <c r="M62">
        <v>126958058</v>
      </c>
      <c r="N62">
        <v>138103444</v>
      </c>
      <c r="O62">
        <v>86012911</v>
      </c>
      <c r="P62">
        <v>200</v>
      </c>
      <c r="Q62" t="s">
        <v>179</v>
      </c>
    </row>
    <row r="63" spans="1:17" x14ac:dyDescent="0.3">
      <c r="A63" t="s">
        <v>17</v>
      </c>
      <c r="B63" t="str">
        <f>"600077"</f>
        <v>600077</v>
      </c>
      <c r="C63" t="s">
        <v>180</v>
      </c>
      <c r="D63" t="s">
        <v>104</v>
      </c>
      <c r="F63">
        <v>4318360963</v>
      </c>
      <c r="G63">
        <v>4715631853</v>
      </c>
      <c r="H63">
        <v>4648830054</v>
      </c>
      <c r="I63">
        <v>4120038917</v>
      </c>
      <c r="J63">
        <v>3729552435</v>
      </c>
      <c r="K63">
        <v>3574423207</v>
      </c>
      <c r="L63">
        <v>3782409006</v>
      </c>
      <c r="M63">
        <v>3740635125</v>
      </c>
      <c r="N63">
        <v>2602313580</v>
      </c>
      <c r="O63">
        <v>2186321640</v>
      </c>
      <c r="P63">
        <v>126</v>
      </c>
      <c r="Q63" t="s">
        <v>181</v>
      </c>
    </row>
    <row r="64" spans="1:17" x14ac:dyDescent="0.3">
      <c r="A64" t="s">
        <v>17</v>
      </c>
      <c r="B64" t="str">
        <f>"600078"</f>
        <v>600078</v>
      </c>
      <c r="C64" t="s">
        <v>182</v>
      </c>
      <c r="D64" t="s">
        <v>183</v>
      </c>
      <c r="F64">
        <v>1457237161</v>
      </c>
      <c r="G64">
        <v>-476148123</v>
      </c>
      <c r="H64">
        <v>1745238316</v>
      </c>
      <c r="I64">
        <v>1689513148</v>
      </c>
      <c r="J64">
        <v>1877326082</v>
      </c>
      <c r="K64">
        <v>1836317222</v>
      </c>
      <c r="L64">
        <v>1785522868</v>
      </c>
      <c r="M64">
        <v>1775106233</v>
      </c>
      <c r="N64">
        <v>1755118698</v>
      </c>
      <c r="O64">
        <v>1742048525</v>
      </c>
      <c r="P64">
        <v>85</v>
      </c>
      <c r="Q64" t="s">
        <v>184</v>
      </c>
    </row>
    <row r="65" spans="1:17" x14ac:dyDescent="0.3">
      <c r="A65" t="s">
        <v>17</v>
      </c>
      <c r="B65" t="str">
        <f>"600079"</f>
        <v>600079</v>
      </c>
      <c r="C65" t="s">
        <v>185</v>
      </c>
      <c r="D65" t="s">
        <v>143</v>
      </c>
      <c r="F65">
        <v>13146975164</v>
      </c>
      <c r="G65">
        <v>10764265078</v>
      </c>
      <c r="H65">
        <v>9653321969</v>
      </c>
      <c r="I65">
        <v>8843257962</v>
      </c>
      <c r="J65">
        <v>11529886189</v>
      </c>
      <c r="K65">
        <v>8545698579</v>
      </c>
      <c r="L65">
        <v>7880872964</v>
      </c>
      <c r="M65">
        <v>4722851563</v>
      </c>
      <c r="N65">
        <v>4342236036</v>
      </c>
      <c r="O65">
        <v>3022359103</v>
      </c>
      <c r="P65">
        <v>941</v>
      </c>
      <c r="Q65" t="s">
        <v>186</v>
      </c>
    </row>
    <row r="66" spans="1:17" x14ac:dyDescent="0.3">
      <c r="A66" t="s">
        <v>17</v>
      </c>
      <c r="B66" t="str">
        <f>"600080"</f>
        <v>600080</v>
      </c>
      <c r="C66" t="s">
        <v>187</v>
      </c>
      <c r="D66" t="s">
        <v>188</v>
      </c>
      <c r="F66">
        <v>1656217719</v>
      </c>
      <c r="G66">
        <v>1721338899</v>
      </c>
      <c r="H66">
        <v>1714985579</v>
      </c>
      <c r="I66">
        <v>1771236819</v>
      </c>
      <c r="J66">
        <v>1116758228</v>
      </c>
      <c r="K66">
        <v>1072454304</v>
      </c>
      <c r="L66">
        <v>1045155200</v>
      </c>
      <c r="M66">
        <v>1019771064</v>
      </c>
      <c r="N66">
        <v>996802461</v>
      </c>
      <c r="O66">
        <v>960366888</v>
      </c>
      <c r="P66">
        <v>97</v>
      </c>
      <c r="Q66" t="s">
        <v>189</v>
      </c>
    </row>
    <row r="67" spans="1:17" x14ac:dyDescent="0.3">
      <c r="A67" t="s">
        <v>17</v>
      </c>
      <c r="B67" t="str">
        <f>"600081"</f>
        <v>600081</v>
      </c>
      <c r="C67" t="s">
        <v>190</v>
      </c>
      <c r="D67" t="s">
        <v>191</v>
      </c>
      <c r="F67">
        <v>3137355178</v>
      </c>
      <c r="G67">
        <v>1426899944</v>
      </c>
      <c r="H67">
        <v>1394355967</v>
      </c>
      <c r="I67">
        <v>1292128393</v>
      </c>
      <c r="J67">
        <v>1251794686</v>
      </c>
      <c r="K67">
        <v>1149560818</v>
      </c>
      <c r="L67">
        <v>1079272975</v>
      </c>
      <c r="M67">
        <v>988825419</v>
      </c>
      <c r="N67">
        <v>837939715</v>
      </c>
      <c r="O67">
        <v>720749875</v>
      </c>
      <c r="P67">
        <v>205</v>
      </c>
      <c r="Q67" t="s">
        <v>192</v>
      </c>
    </row>
    <row r="68" spans="1:17" x14ac:dyDescent="0.3">
      <c r="A68" t="s">
        <v>17</v>
      </c>
      <c r="B68" t="str">
        <f>"600082"</f>
        <v>600082</v>
      </c>
      <c r="C68" t="s">
        <v>193</v>
      </c>
      <c r="D68" t="s">
        <v>194</v>
      </c>
      <c r="F68">
        <v>1747469345</v>
      </c>
      <c r="G68">
        <v>1743862615</v>
      </c>
      <c r="H68">
        <v>1710845547</v>
      </c>
      <c r="I68">
        <v>1695868581</v>
      </c>
      <c r="J68">
        <v>1688316830</v>
      </c>
      <c r="K68">
        <v>1674038408</v>
      </c>
      <c r="L68">
        <v>1756117793</v>
      </c>
      <c r="M68">
        <v>1745734308</v>
      </c>
      <c r="N68">
        <v>1704983590</v>
      </c>
      <c r="O68">
        <v>1664492340</v>
      </c>
      <c r="P68">
        <v>75</v>
      </c>
      <c r="Q68" t="s">
        <v>195</v>
      </c>
    </row>
    <row r="69" spans="1:17" x14ac:dyDescent="0.3">
      <c r="A69" t="s">
        <v>17</v>
      </c>
      <c r="B69" t="str">
        <f>"600083"</f>
        <v>600083</v>
      </c>
      <c r="C69" t="s">
        <v>196</v>
      </c>
      <c r="D69" t="s">
        <v>110</v>
      </c>
      <c r="F69">
        <v>22560061</v>
      </c>
      <c r="G69">
        <v>10131533</v>
      </c>
      <c r="H69">
        <v>-735285</v>
      </c>
      <c r="I69">
        <v>11875111</v>
      </c>
      <c r="J69">
        <v>64188314</v>
      </c>
      <c r="K69">
        <v>54971703</v>
      </c>
      <c r="L69">
        <v>51745584</v>
      </c>
      <c r="M69">
        <v>38731311</v>
      </c>
      <c r="N69">
        <v>31624333</v>
      </c>
      <c r="O69">
        <v>23038250</v>
      </c>
      <c r="P69">
        <v>83</v>
      </c>
      <c r="Q69" t="s">
        <v>197</v>
      </c>
    </row>
    <row r="70" spans="1:17" x14ac:dyDescent="0.3">
      <c r="A70" t="s">
        <v>17</v>
      </c>
      <c r="B70" t="str">
        <f>"600084"</f>
        <v>600084</v>
      </c>
      <c r="C70" t="s">
        <v>198</v>
      </c>
      <c r="D70" t="s">
        <v>134</v>
      </c>
      <c r="F70">
        <v>2158508648</v>
      </c>
      <c r="G70">
        <v>2146859308</v>
      </c>
      <c r="H70">
        <v>2203262483</v>
      </c>
      <c r="I70">
        <v>2186553948</v>
      </c>
      <c r="J70">
        <v>2343806262</v>
      </c>
      <c r="K70">
        <v>2433686413</v>
      </c>
      <c r="L70">
        <v>2449735707</v>
      </c>
      <c r="M70">
        <v>2434225432</v>
      </c>
      <c r="N70">
        <v>952555814</v>
      </c>
      <c r="O70">
        <v>936893527</v>
      </c>
      <c r="P70">
        <v>99</v>
      </c>
      <c r="Q70" t="s">
        <v>199</v>
      </c>
    </row>
    <row r="71" spans="1:17" x14ac:dyDescent="0.3">
      <c r="A71" t="s">
        <v>17</v>
      </c>
      <c r="B71" t="str">
        <f>"600085"</f>
        <v>600085</v>
      </c>
      <c r="C71" t="s">
        <v>200</v>
      </c>
      <c r="D71" t="s">
        <v>188</v>
      </c>
      <c r="F71">
        <v>10633965372</v>
      </c>
      <c r="G71">
        <v>9831569428</v>
      </c>
      <c r="H71">
        <v>9235073114</v>
      </c>
      <c r="I71">
        <v>9260951253</v>
      </c>
      <c r="J71">
        <v>8416085767</v>
      </c>
      <c r="K71">
        <v>7793476928</v>
      </c>
      <c r="L71">
        <v>7117942928</v>
      </c>
      <c r="M71">
        <v>5518957806</v>
      </c>
      <c r="N71">
        <v>5017972105</v>
      </c>
      <c r="O71">
        <v>3978833689</v>
      </c>
      <c r="P71">
        <v>2030</v>
      </c>
      <c r="Q71" t="s">
        <v>201</v>
      </c>
    </row>
    <row r="72" spans="1:17" x14ac:dyDescent="0.3">
      <c r="A72" t="s">
        <v>17</v>
      </c>
      <c r="B72" t="str">
        <f>"600086"</f>
        <v>600086</v>
      </c>
      <c r="C72" t="s">
        <v>202</v>
      </c>
      <c r="H72">
        <v>332950662</v>
      </c>
      <c r="I72">
        <v>1488987744</v>
      </c>
      <c r="J72">
        <v>3207437842</v>
      </c>
      <c r="K72">
        <v>3005951842</v>
      </c>
      <c r="L72">
        <v>2753323034</v>
      </c>
      <c r="M72">
        <v>991417178</v>
      </c>
      <c r="N72">
        <v>892720096</v>
      </c>
      <c r="O72">
        <v>735558332</v>
      </c>
      <c r="P72">
        <v>73</v>
      </c>
      <c r="Q72" t="s">
        <v>203</v>
      </c>
    </row>
    <row r="73" spans="1:17" x14ac:dyDescent="0.3">
      <c r="A73" t="s">
        <v>17</v>
      </c>
      <c r="B73" t="str">
        <f>"600087"</f>
        <v>600087</v>
      </c>
      <c r="C73" t="s">
        <v>204</v>
      </c>
      <c r="K73">
        <v>2995427689.2600002</v>
      </c>
      <c r="L73">
        <v>2394938277.6100001</v>
      </c>
      <c r="M73">
        <v>1705399428.78</v>
      </c>
      <c r="N73">
        <v>-2097207873.6199999</v>
      </c>
      <c r="O73">
        <v>3766988375.3699999</v>
      </c>
      <c r="P73">
        <v>7</v>
      </c>
      <c r="Q73" t="s">
        <v>205</v>
      </c>
    </row>
    <row r="74" spans="1:17" x14ac:dyDescent="0.3">
      <c r="A74" t="s">
        <v>17</v>
      </c>
      <c r="B74" t="str">
        <f>"600088"</f>
        <v>600088</v>
      </c>
      <c r="C74" t="s">
        <v>206</v>
      </c>
      <c r="D74" t="s">
        <v>207</v>
      </c>
      <c r="F74">
        <v>1066364547</v>
      </c>
      <c r="G74">
        <v>1098781129</v>
      </c>
      <c r="H74">
        <v>1235785978</v>
      </c>
      <c r="I74">
        <v>1178909884</v>
      </c>
      <c r="J74">
        <v>1090792610</v>
      </c>
      <c r="K74">
        <v>1016857929</v>
      </c>
      <c r="L74">
        <v>1149589864</v>
      </c>
      <c r="M74">
        <v>1139118026</v>
      </c>
      <c r="N74">
        <v>1106962124</v>
      </c>
      <c r="O74">
        <v>1052819717</v>
      </c>
      <c r="P74">
        <v>114</v>
      </c>
      <c r="Q74" t="s">
        <v>208</v>
      </c>
    </row>
    <row r="75" spans="1:17" x14ac:dyDescent="0.3">
      <c r="A75" t="s">
        <v>17</v>
      </c>
      <c r="B75" t="str">
        <f>"600089"</f>
        <v>600089</v>
      </c>
      <c r="C75" t="s">
        <v>209</v>
      </c>
      <c r="D75" t="s">
        <v>210</v>
      </c>
      <c r="F75">
        <v>40018957742</v>
      </c>
      <c r="G75">
        <v>32701266022</v>
      </c>
      <c r="H75">
        <v>30383633770</v>
      </c>
      <c r="I75">
        <v>28959229940</v>
      </c>
      <c r="J75">
        <v>27908192325</v>
      </c>
      <c r="K75">
        <v>22692825457</v>
      </c>
      <c r="L75">
        <v>20897725565</v>
      </c>
      <c r="M75">
        <v>19547424576</v>
      </c>
      <c r="N75">
        <v>14601433483</v>
      </c>
      <c r="O75">
        <v>13660623924</v>
      </c>
      <c r="P75">
        <v>1281</v>
      </c>
      <c r="Q75" t="s">
        <v>211</v>
      </c>
    </row>
    <row r="76" spans="1:17" x14ac:dyDescent="0.3">
      <c r="A76" t="s">
        <v>17</v>
      </c>
      <c r="B76" t="str">
        <f>"600090"</f>
        <v>600090</v>
      </c>
      <c r="C76" t="s">
        <v>212</v>
      </c>
      <c r="D76" t="s">
        <v>125</v>
      </c>
      <c r="G76">
        <v>3897839993</v>
      </c>
      <c r="H76">
        <v>6184447187</v>
      </c>
      <c r="I76">
        <v>6063738087</v>
      </c>
      <c r="J76">
        <v>5822877095</v>
      </c>
      <c r="K76">
        <v>5478314175</v>
      </c>
      <c r="L76">
        <v>454805166</v>
      </c>
      <c r="M76">
        <v>451767699</v>
      </c>
      <c r="N76">
        <v>541557175</v>
      </c>
      <c r="O76">
        <v>434450049</v>
      </c>
      <c r="P76">
        <v>214</v>
      </c>
      <c r="Q76" t="s">
        <v>213</v>
      </c>
    </row>
    <row r="77" spans="1:17" x14ac:dyDescent="0.3">
      <c r="A77" t="s">
        <v>17</v>
      </c>
      <c r="B77" t="str">
        <f>"600091"</f>
        <v>600091</v>
      </c>
      <c r="C77" t="s">
        <v>214</v>
      </c>
      <c r="D77" t="s">
        <v>175</v>
      </c>
      <c r="F77">
        <v>839224301</v>
      </c>
      <c r="G77">
        <v>891165761</v>
      </c>
      <c r="H77">
        <v>908755603</v>
      </c>
      <c r="I77">
        <v>899007079</v>
      </c>
      <c r="J77">
        <v>894941051</v>
      </c>
      <c r="K77">
        <v>889358717</v>
      </c>
      <c r="L77">
        <v>874341141</v>
      </c>
      <c r="M77">
        <v>287112361</v>
      </c>
      <c r="N77">
        <v>448576747</v>
      </c>
      <c r="O77">
        <v>558953624</v>
      </c>
      <c r="P77">
        <v>58</v>
      </c>
      <c r="Q77" t="s">
        <v>215</v>
      </c>
    </row>
    <row r="78" spans="1:17" x14ac:dyDescent="0.3">
      <c r="A78" t="s">
        <v>17</v>
      </c>
      <c r="B78" t="str">
        <f>"600092"</f>
        <v>600092</v>
      </c>
      <c r="C78" t="s">
        <v>216</v>
      </c>
      <c r="K78">
        <v>-517772725.91000003</v>
      </c>
      <c r="L78">
        <v>-514548822.74000001</v>
      </c>
      <c r="M78">
        <v>-512297056.25</v>
      </c>
      <c r="N78">
        <v>-501837476.83999997</v>
      </c>
      <c r="O78">
        <v>-482519540.64999998</v>
      </c>
      <c r="P78">
        <v>3</v>
      </c>
      <c r="Q78" t="s">
        <v>217</v>
      </c>
    </row>
    <row r="79" spans="1:17" x14ac:dyDescent="0.3">
      <c r="A79" t="s">
        <v>17</v>
      </c>
      <c r="B79" t="str">
        <f>"600093"</f>
        <v>600093</v>
      </c>
      <c r="C79" t="s">
        <v>218</v>
      </c>
      <c r="D79" t="s">
        <v>219</v>
      </c>
      <c r="F79">
        <v>-4971656843</v>
      </c>
      <c r="G79">
        <v>-3557850438</v>
      </c>
      <c r="H79">
        <v>7966263991</v>
      </c>
      <c r="I79">
        <v>7081697469</v>
      </c>
      <c r="J79">
        <v>6675187136</v>
      </c>
      <c r="K79">
        <v>6162605128</v>
      </c>
      <c r="L79">
        <v>5598291905</v>
      </c>
      <c r="M79">
        <v>459121897</v>
      </c>
      <c r="N79">
        <v>423688954</v>
      </c>
      <c r="O79">
        <v>371996620</v>
      </c>
      <c r="P79">
        <v>222</v>
      </c>
      <c r="Q79" t="s">
        <v>220</v>
      </c>
    </row>
    <row r="80" spans="1:17" x14ac:dyDescent="0.3">
      <c r="A80" t="s">
        <v>17</v>
      </c>
      <c r="B80" t="str">
        <f>"600094"</f>
        <v>600094</v>
      </c>
      <c r="C80" t="s">
        <v>221</v>
      </c>
      <c r="D80" t="s">
        <v>104</v>
      </c>
      <c r="F80">
        <v>12594479184</v>
      </c>
      <c r="G80">
        <v>13131038424</v>
      </c>
      <c r="H80">
        <v>12921030428</v>
      </c>
      <c r="I80">
        <v>12154554500</v>
      </c>
      <c r="J80">
        <v>11831734223</v>
      </c>
      <c r="K80">
        <v>10619650624</v>
      </c>
      <c r="L80">
        <v>4993919861</v>
      </c>
      <c r="M80">
        <v>5544607702</v>
      </c>
      <c r="N80">
        <v>2626428401</v>
      </c>
      <c r="O80">
        <v>2370977519</v>
      </c>
      <c r="P80">
        <v>159</v>
      </c>
      <c r="Q80" t="s">
        <v>222</v>
      </c>
    </row>
    <row r="81" spans="1:17" x14ac:dyDescent="0.3">
      <c r="A81" t="s">
        <v>17</v>
      </c>
      <c r="B81" t="str">
        <f>"600095"</f>
        <v>600095</v>
      </c>
      <c r="C81" t="s">
        <v>223</v>
      </c>
      <c r="D81" t="s">
        <v>80</v>
      </c>
      <c r="F81">
        <v>12561022335</v>
      </c>
      <c r="G81">
        <v>10599514284</v>
      </c>
      <c r="H81">
        <v>853282648</v>
      </c>
      <c r="I81">
        <v>744361702</v>
      </c>
      <c r="J81">
        <v>735727821</v>
      </c>
      <c r="K81">
        <v>727466005</v>
      </c>
      <c r="L81">
        <v>718889368</v>
      </c>
      <c r="M81">
        <v>712986777</v>
      </c>
      <c r="N81">
        <v>703379640</v>
      </c>
      <c r="O81">
        <v>675033774</v>
      </c>
      <c r="P81">
        <v>330</v>
      </c>
      <c r="Q81" t="s">
        <v>224</v>
      </c>
    </row>
    <row r="82" spans="1:17" x14ac:dyDescent="0.3">
      <c r="A82" t="s">
        <v>17</v>
      </c>
      <c r="B82" t="str">
        <f>"600096"</f>
        <v>600096</v>
      </c>
      <c r="C82" t="s">
        <v>225</v>
      </c>
      <c r="D82" t="s">
        <v>183</v>
      </c>
      <c r="F82">
        <v>10213818164</v>
      </c>
      <c r="G82">
        <v>6429115183</v>
      </c>
      <c r="H82">
        <v>4378129773</v>
      </c>
      <c r="I82">
        <v>4376957691</v>
      </c>
      <c r="J82">
        <v>3640745088</v>
      </c>
      <c r="K82">
        <v>3884107155</v>
      </c>
      <c r="L82">
        <v>5634273506</v>
      </c>
      <c r="M82">
        <v>5529341796</v>
      </c>
      <c r="N82">
        <v>8213891684</v>
      </c>
      <c r="O82">
        <v>5204214964</v>
      </c>
      <c r="P82">
        <v>390</v>
      </c>
      <c r="Q82" t="s">
        <v>226</v>
      </c>
    </row>
    <row r="83" spans="1:17" x14ac:dyDescent="0.3">
      <c r="A83" t="s">
        <v>17</v>
      </c>
      <c r="B83" t="str">
        <f>"600097"</f>
        <v>600097</v>
      </c>
      <c r="C83" t="s">
        <v>227</v>
      </c>
      <c r="D83" t="s">
        <v>228</v>
      </c>
      <c r="F83">
        <v>1974889145</v>
      </c>
      <c r="G83">
        <v>1879796333</v>
      </c>
      <c r="H83">
        <v>1776898161</v>
      </c>
      <c r="I83">
        <v>1643356797</v>
      </c>
      <c r="J83">
        <v>1521432309</v>
      </c>
      <c r="K83">
        <v>813223997</v>
      </c>
      <c r="L83">
        <v>788884706</v>
      </c>
      <c r="M83">
        <v>918607510</v>
      </c>
      <c r="N83">
        <v>852175633</v>
      </c>
      <c r="O83">
        <v>795824874</v>
      </c>
      <c r="P83">
        <v>116</v>
      </c>
      <c r="Q83" t="s">
        <v>229</v>
      </c>
    </row>
    <row r="84" spans="1:17" x14ac:dyDescent="0.3">
      <c r="A84" t="s">
        <v>17</v>
      </c>
      <c r="B84" t="str">
        <f>"600098"</f>
        <v>600098</v>
      </c>
      <c r="C84" t="s">
        <v>230</v>
      </c>
      <c r="D84" t="s">
        <v>41</v>
      </c>
      <c r="F84">
        <v>23194499057</v>
      </c>
      <c r="G84">
        <v>17959021217</v>
      </c>
      <c r="H84">
        <v>17142645622</v>
      </c>
      <c r="I84">
        <v>16307774175</v>
      </c>
      <c r="J84">
        <v>16022626420</v>
      </c>
      <c r="K84">
        <v>14910890624</v>
      </c>
      <c r="L84">
        <v>14747423908</v>
      </c>
      <c r="M84">
        <v>13900134177</v>
      </c>
      <c r="N84">
        <v>13391722591</v>
      </c>
      <c r="O84">
        <v>12810271264</v>
      </c>
      <c r="P84">
        <v>192</v>
      </c>
      <c r="Q84" t="s">
        <v>231</v>
      </c>
    </row>
    <row r="85" spans="1:17" x14ac:dyDescent="0.3">
      <c r="A85" t="s">
        <v>17</v>
      </c>
      <c r="B85" t="str">
        <f>"600099"</f>
        <v>600099</v>
      </c>
      <c r="C85" t="s">
        <v>232</v>
      </c>
      <c r="D85" t="s">
        <v>233</v>
      </c>
      <c r="F85">
        <v>492383428</v>
      </c>
      <c r="G85">
        <v>483405356</v>
      </c>
      <c r="H85">
        <v>484367853</v>
      </c>
      <c r="I85">
        <v>473246942</v>
      </c>
      <c r="J85">
        <v>470601946</v>
      </c>
      <c r="K85">
        <v>474280189</v>
      </c>
      <c r="L85">
        <v>472607075</v>
      </c>
      <c r="M85">
        <v>469646800</v>
      </c>
      <c r="N85">
        <v>477673653</v>
      </c>
      <c r="O85">
        <v>477271758</v>
      </c>
      <c r="P85">
        <v>74</v>
      </c>
      <c r="Q85" t="s">
        <v>234</v>
      </c>
    </row>
    <row r="86" spans="1:17" x14ac:dyDescent="0.3">
      <c r="A86" t="s">
        <v>17</v>
      </c>
      <c r="B86" t="str">
        <f>"600100"</f>
        <v>600100</v>
      </c>
      <c r="C86" t="s">
        <v>235</v>
      </c>
      <c r="D86" t="s">
        <v>236</v>
      </c>
      <c r="F86">
        <v>15903502654</v>
      </c>
      <c r="G86">
        <v>16085726627</v>
      </c>
      <c r="H86">
        <v>16312228554</v>
      </c>
      <c r="I86">
        <v>15991391375</v>
      </c>
      <c r="J86">
        <v>21270550605</v>
      </c>
      <c r="K86">
        <v>21789997089</v>
      </c>
      <c r="L86">
        <v>17651442387</v>
      </c>
      <c r="M86">
        <v>11542899330</v>
      </c>
      <c r="N86">
        <v>10707080836</v>
      </c>
      <c r="O86">
        <v>9092389743</v>
      </c>
      <c r="P86">
        <v>321</v>
      </c>
      <c r="Q86" t="s">
        <v>237</v>
      </c>
    </row>
    <row r="87" spans="1:17" x14ac:dyDescent="0.3">
      <c r="A87" t="s">
        <v>17</v>
      </c>
      <c r="B87" t="str">
        <f>"600101"</f>
        <v>600101</v>
      </c>
      <c r="C87" t="s">
        <v>238</v>
      </c>
      <c r="D87" t="s">
        <v>239</v>
      </c>
      <c r="F87">
        <v>2528897984</v>
      </c>
      <c r="G87">
        <v>2422241304</v>
      </c>
      <c r="H87">
        <v>2352348446</v>
      </c>
      <c r="I87">
        <v>2231809011</v>
      </c>
      <c r="J87">
        <v>2079954328</v>
      </c>
      <c r="K87">
        <v>1977876185</v>
      </c>
      <c r="L87">
        <v>1898736285</v>
      </c>
      <c r="M87">
        <v>1822835281</v>
      </c>
      <c r="N87">
        <v>1736587065</v>
      </c>
      <c r="O87">
        <v>1586197485</v>
      </c>
      <c r="P87">
        <v>123</v>
      </c>
      <c r="Q87" t="s">
        <v>240</v>
      </c>
    </row>
    <row r="88" spans="1:17" x14ac:dyDescent="0.3">
      <c r="A88" t="s">
        <v>17</v>
      </c>
      <c r="B88" t="str">
        <f>"600102"</f>
        <v>600102</v>
      </c>
      <c r="C88" t="s">
        <v>241</v>
      </c>
      <c r="N88">
        <v>13009078044.040001</v>
      </c>
      <c r="O88">
        <v>12850670835.200001</v>
      </c>
      <c r="P88">
        <v>12</v>
      </c>
      <c r="Q88" t="s">
        <v>242</v>
      </c>
    </row>
    <row r="89" spans="1:17" x14ac:dyDescent="0.3">
      <c r="A89" t="s">
        <v>17</v>
      </c>
      <c r="B89" t="str">
        <f>"600103"</f>
        <v>600103</v>
      </c>
      <c r="C89" t="s">
        <v>243</v>
      </c>
      <c r="D89" t="s">
        <v>244</v>
      </c>
      <c r="F89">
        <v>3656336007</v>
      </c>
      <c r="G89">
        <v>3630645780</v>
      </c>
      <c r="H89">
        <v>3581359548</v>
      </c>
      <c r="I89">
        <v>3453900635</v>
      </c>
      <c r="J89">
        <v>3299107477</v>
      </c>
      <c r="K89">
        <v>3193716298</v>
      </c>
      <c r="L89">
        <v>1097283722</v>
      </c>
      <c r="M89">
        <v>1243799478</v>
      </c>
      <c r="N89">
        <v>1344645388</v>
      </c>
      <c r="O89">
        <v>1375725347</v>
      </c>
      <c r="P89">
        <v>138</v>
      </c>
      <c r="Q89" t="s">
        <v>245</v>
      </c>
    </row>
    <row r="90" spans="1:17" x14ac:dyDescent="0.3">
      <c r="A90" t="s">
        <v>17</v>
      </c>
      <c r="B90" t="str">
        <f>"600104"</f>
        <v>600104</v>
      </c>
      <c r="C90" t="s">
        <v>246</v>
      </c>
      <c r="D90" t="s">
        <v>247</v>
      </c>
      <c r="F90">
        <v>273773675301</v>
      </c>
      <c r="G90">
        <v>260102954415</v>
      </c>
      <c r="H90">
        <v>249702009695</v>
      </c>
      <c r="I90">
        <v>234368561956</v>
      </c>
      <c r="J90">
        <v>225335302712</v>
      </c>
      <c r="K90">
        <v>191920977561</v>
      </c>
      <c r="L90">
        <v>175128738658</v>
      </c>
      <c r="M90">
        <v>157664385973</v>
      </c>
      <c r="N90">
        <v>137757238641</v>
      </c>
      <c r="O90">
        <v>122337367399</v>
      </c>
      <c r="P90">
        <v>11366</v>
      </c>
      <c r="Q90" t="s">
        <v>248</v>
      </c>
    </row>
    <row r="91" spans="1:17" x14ac:dyDescent="0.3">
      <c r="A91" t="s">
        <v>17</v>
      </c>
      <c r="B91" t="str">
        <f>"600105"</f>
        <v>600105</v>
      </c>
      <c r="C91" t="s">
        <v>249</v>
      </c>
      <c r="D91" t="s">
        <v>250</v>
      </c>
      <c r="F91">
        <v>2788486457</v>
      </c>
      <c r="G91">
        <v>2662736726</v>
      </c>
      <c r="H91">
        <v>2549557426</v>
      </c>
      <c r="I91">
        <v>2774524695</v>
      </c>
      <c r="J91">
        <v>2645148800</v>
      </c>
      <c r="K91">
        <v>2531246049</v>
      </c>
      <c r="L91">
        <v>2189858370</v>
      </c>
      <c r="M91">
        <v>1921267800</v>
      </c>
      <c r="N91">
        <v>1555787924</v>
      </c>
      <c r="O91">
        <v>1414410655</v>
      </c>
      <c r="P91">
        <v>274</v>
      </c>
      <c r="Q91" t="s">
        <v>251</v>
      </c>
    </row>
    <row r="92" spans="1:17" x14ac:dyDescent="0.3">
      <c r="A92" t="s">
        <v>17</v>
      </c>
      <c r="B92" t="str">
        <f>"600106"</f>
        <v>600106</v>
      </c>
      <c r="C92" t="s">
        <v>252</v>
      </c>
      <c r="D92" t="s">
        <v>44</v>
      </c>
      <c r="F92">
        <v>4561560427</v>
      </c>
      <c r="G92">
        <v>3830565071</v>
      </c>
      <c r="H92">
        <v>3748981023</v>
      </c>
      <c r="I92">
        <v>3533570324</v>
      </c>
      <c r="J92">
        <v>3580354886</v>
      </c>
      <c r="K92">
        <v>3487730558</v>
      </c>
      <c r="L92">
        <v>2576484172</v>
      </c>
      <c r="M92">
        <v>2944386645</v>
      </c>
      <c r="N92">
        <v>2267661397</v>
      </c>
      <c r="O92">
        <v>2065818356</v>
      </c>
      <c r="P92">
        <v>145</v>
      </c>
      <c r="Q92" t="s">
        <v>253</v>
      </c>
    </row>
    <row r="93" spans="1:17" x14ac:dyDescent="0.3">
      <c r="A93" t="s">
        <v>17</v>
      </c>
      <c r="B93" t="str">
        <f>"600107"</f>
        <v>600107</v>
      </c>
      <c r="C93" t="s">
        <v>254</v>
      </c>
      <c r="D93" t="s">
        <v>255</v>
      </c>
      <c r="F93">
        <v>758764618</v>
      </c>
      <c r="G93">
        <v>734956554</v>
      </c>
      <c r="H93">
        <v>603564876</v>
      </c>
      <c r="I93">
        <v>564751462</v>
      </c>
      <c r="J93">
        <v>555909476</v>
      </c>
      <c r="K93">
        <v>532237606</v>
      </c>
      <c r="L93">
        <v>527388103</v>
      </c>
      <c r="M93">
        <v>524046525</v>
      </c>
      <c r="N93">
        <v>531441742</v>
      </c>
      <c r="O93">
        <v>519770498</v>
      </c>
      <c r="P93">
        <v>73</v>
      </c>
      <c r="Q93" t="s">
        <v>256</v>
      </c>
    </row>
    <row r="94" spans="1:17" x14ac:dyDescent="0.3">
      <c r="A94" t="s">
        <v>17</v>
      </c>
      <c r="B94" t="str">
        <f>"600108"</f>
        <v>600108</v>
      </c>
      <c r="C94" t="s">
        <v>257</v>
      </c>
      <c r="D94" t="s">
        <v>258</v>
      </c>
      <c r="F94">
        <v>4058010758</v>
      </c>
      <c r="G94">
        <v>4006285985</v>
      </c>
      <c r="H94">
        <v>4870959288</v>
      </c>
      <c r="I94">
        <v>4758645642</v>
      </c>
      <c r="J94">
        <v>4714666593</v>
      </c>
      <c r="K94">
        <v>4692043516</v>
      </c>
      <c r="L94">
        <v>4709811139</v>
      </c>
      <c r="M94">
        <v>4710297755</v>
      </c>
      <c r="N94">
        <v>4664642819</v>
      </c>
      <c r="O94">
        <v>4312618591</v>
      </c>
      <c r="P94">
        <v>120</v>
      </c>
      <c r="Q94" t="s">
        <v>259</v>
      </c>
    </row>
    <row r="95" spans="1:17" x14ac:dyDescent="0.3">
      <c r="A95" t="s">
        <v>17</v>
      </c>
      <c r="B95" t="str">
        <f>"600109"</f>
        <v>600109</v>
      </c>
      <c r="C95" t="s">
        <v>260</v>
      </c>
      <c r="D95" t="s">
        <v>80</v>
      </c>
      <c r="F95">
        <v>24420995943</v>
      </c>
      <c r="G95">
        <v>22465393909</v>
      </c>
      <c r="H95">
        <v>20722610611</v>
      </c>
      <c r="I95">
        <v>19489680217</v>
      </c>
      <c r="J95">
        <v>18836585907</v>
      </c>
      <c r="K95">
        <v>17497135728</v>
      </c>
      <c r="L95">
        <v>16478565341</v>
      </c>
      <c r="M95">
        <v>9868919912</v>
      </c>
      <c r="N95">
        <v>6728274842</v>
      </c>
      <c r="O95">
        <v>6341996302</v>
      </c>
      <c r="P95">
        <v>1128</v>
      </c>
      <c r="Q95" t="s">
        <v>261</v>
      </c>
    </row>
    <row r="96" spans="1:17" x14ac:dyDescent="0.3">
      <c r="A96" t="s">
        <v>17</v>
      </c>
      <c r="B96" t="str">
        <f>"600110"</f>
        <v>600110</v>
      </c>
      <c r="C96" t="s">
        <v>262</v>
      </c>
      <c r="D96" t="s">
        <v>263</v>
      </c>
      <c r="F96">
        <v>3840087904</v>
      </c>
      <c r="G96">
        <v>3412151937</v>
      </c>
      <c r="H96">
        <v>2017242726</v>
      </c>
      <c r="I96">
        <v>2135537434</v>
      </c>
      <c r="J96">
        <v>2066717118</v>
      </c>
      <c r="K96">
        <v>1873609802</v>
      </c>
      <c r="L96">
        <v>1869847567</v>
      </c>
      <c r="M96">
        <v>1746676823</v>
      </c>
      <c r="N96">
        <v>1990273765</v>
      </c>
      <c r="O96">
        <v>1975843165</v>
      </c>
      <c r="P96">
        <v>339</v>
      </c>
      <c r="Q96" t="s">
        <v>264</v>
      </c>
    </row>
    <row r="97" spans="1:17" x14ac:dyDescent="0.3">
      <c r="A97" t="s">
        <v>17</v>
      </c>
      <c r="B97" t="str">
        <f>"600111"</f>
        <v>600111</v>
      </c>
      <c r="C97" t="s">
        <v>265</v>
      </c>
      <c r="D97" t="s">
        <v>266</v>
      </c>
      <c r="F97">
        <v>15348231857</v>
      </c>
      <c r="G97">
        <v>10426586909</v>
      </c>
      <c r="H97">
        <v>9584739411</v>
      </c>
      <c r="I97">
        <v>9225297611</v>
      </c>
      <c r="J97">
        <v>8845609132</v>
      </c>
      <c r="K97">
        <v>8296610154</v>
      </c>
      <c r="L97">
        <v>8315843678</v>
      </c>
      <c r="M97">
        <v>8303760123</v>
      </c>
      <c r="N97">
        <v>7820326099</v>
      </c>
      <c r="O97">
        <v>6719923817</v>
      </c>
      <c r="P97">
        <v>1179</v>
      </c>
      <c r="Q97" t="s">
        <v>267</v>
      </c>
    </row>
    <row r="98" spans="1:17" x14ac:dyDescent="0.3">
      <c r="A98" t="s">
        <v>17</v>
      </c>
      <c r="B98" t="str">
        <f>"600112"</f>
        <v>600112</v>
      </c>
      <c r="C98" t="s">
        <v>268</v>
      </c>
      <c r="D98" t="s">
        <v>210</v>
      </c>
      <c r="F98">
        <v>133253981</v>
      </c>
      <c r="G98">
        <v>-63144621</v>
      </c>
      <c r="H98">
        <v>367366174</v>
      </c>
      <c r="I98">
        <v>1213628665</v>
      </c>
      <c r="J98">
        <v>1148513947</v>
      </c>
      <c r="K98">
        <v>1153220262</v>
      </c>
      <c r="L98">
        <v>1159454250</v>
      </c>
      <c r="M98">
        <v>1267641913</v>
      </c>
      <c r="N98">
        <v>1186010718</v>
      </c>
      <c r="O98">
        <v>1181277845</v>
      </c>
      <c r="P98">
        <v>56</v>
      </c>
      <c r="Q98" t="s">
        <v>269</v>
      </c>
    </row>
    <row r="99" spans="1:17" x14ac:dyDescent="0.3">
      <c r="A99" t="s">
        <v>17</v>
      </c>
      <c r="B99" t="str">
        <f>"600113"</f>
        <v>600113</v>
      </c>
      <c r="C99" t="s">
        <v>270</v>
      </c>
      <c r="D99" t="s">
        <v>271</v>
      </c>
      <c r="F99">
        <v>2105346588</v>
      </c>
      <c r="G99">
        <v>1466347108</v>
      </c>
      <c r="H99">
        <v>1456514965</v>
      </c>
      <c r="I99">
        <v>738057313</v>
      </c>
      <c r="J99">
        <v>662753131</v>
      </c>
      <c r="K99">
        <v>570378098</v>
      </c>
      <c r="L99">
        <v>474144588</v>
      </c>
      <c r="M99">
        <v>587366459</v>
      </c>
      <c r="N99">
        <v>576984867</v>
      </c>
      <c r="O99">
        <v>556662079</v>
      </c>
      <c r="P99">
        <v>136</v>
      </c>
      <c r="Q99" t="s">
        <v>272</v>
      </c>
    </row>
    <row r="100" spans="1:17" x14ac:dyDescent="0.3">
      <c r="A100" t="s">
        <v>17</v>
      </c>
      <c r="B100" t="str">
        <f>"600114"</f>
        <v>600114</v>
      </c>
      <c r="C100" t="s">
        <v>273</v>
      </c>
      <c r="D100" t="s">
        <v>274</v>
      </c>
      <c r="F100">
        <v>2581315138</v>
      </c>
      <c r="G100">
        <v>2634614286</v>
      </c>
      <c r="H100">
        <v>2647638160</v>
      </c>
      <c r="I100">
        <v>2700696685</v>
      </c>
      <c r="J100">
        <v>2560996193</v>
      </c>
      <c r="K100">
        <v>2279874423</v>
      </c>
      <c r="L100">
        <v>1526366493</v>
      </c>
      <c r="M100">
        <v>1379876393</v>
      </c>
      <c r="N100">
        <v>742298262</v>
      </c>
      <c r="O100">
        <v>650578595</v>
      </c>
      <c r="P100">
        <v>302</v>
      </c>
      <c r="Q100" t="s">
        <v>275</v>
      </c>
    </row>
    <row r="101" spans="1:17" x14ac:dyDescent="0.3">
      <c r="A101" t="s">
        <v>17</v>
      </c>
      <c r="B101" t="str">
        <f>"600115"</f>
        <v>600115</v>
      </c>
      <c r="C101" t="s">
        <v>276</v>
      </c>
      <c r="D101" t="s">
        <v>77</v>
      </c>
      <c r="F101">
        <v>51373000000</v>
      </c>
      <c r="G101">
        <v>54007000000</v>
      </c>
      <c r="H101">
        <v>66765000000</v>
      </c>
      <c r="I101">
        <v>55765000000</v>
      </c>
      <c r="J101">
        <v>53106000000</v>
      </c>
      <c r="K101">
        <v>47186000000</v>
      </c>
      <c r="L101">
        <v>35137000000</v>
      </c>
      <c r="M101">
        <v>27696000000</v>
      </c>
      <c r="N101">
        <v>24616699000</v>
      </c>
      <c r="O101">
        <v>23376346000</v>
      </c>
      <c r="P101">
        <v>690</v>
      </c>
      <c r="Q101" t="s">
        <v>277</v>
      </c>
    </row>
    <row r="102" spans="1:17" x14ac:dyDescent="0.3">
      <c r="A102" t="s">
        <v>17</v>
      </c>
      <c r="B102" t="str">
        <f>"600116"</f>
        <v>600116</v>
      </c>
      <c r="C102" t="s">
        <v>278</v>
      </c>
      <c r="D102" t="s">
        <v>239</v>
      </c>
      <c r="F102">
        <v>10923867835</v>
      </c>
      <c r="G102">
        <v>10209024109</v>
      </c>
      <c r="H102">
        <v>3056203685</v>
      </c>
      <c r="I102">
        <v>2851700499</v>
      </c>
      <c r="J102">
        <v>2745127506</v>
      </c>
      <c r="K102">
        <v>2451690353</v>
      </c>
      <c r="L102">
        <v>2266870849</v>
      </c>
      <c r="M102">
        <v>1152960874</v>
      </c>
      <c r="N102">
        <v>1119423386</v>
      </c>
      <c r="O102">
        <v>1068727210</v>
      </c>
      <c r="P102">
        <v>236</v>
      </c>
      <c r="Q102" t="s">
        <v>279</v>
      </c>
    </row>
    <row r="103" spans="1:17" x14ac:dyDescent="0.3">
      <c r="A103" t="s">
        <v>17</v>
      </c>
      <c r="B103" t="str">
        <f>"600117"</f>
        <v>600117</v>
      </c>
      <c r="C103" t="s">
        <v>280</v>
      </c>
      <c r="D103" t="s">
        <v>281</v>
      </c>
      <c r="F103">
        <v>281010947</v>
      </c>
      <c r="G103">
        <v>1448416650</v>
      </c>
      <c r="H103">
        <v>1369669367</v>
      </c>
      <c r="I103">
        <v>1088573894</v>
      </c>
      <c r="J103">
        <v>3135350613</v>
      </c>
      <c r="K103">
        <v>2873595924</v>
      </c>
      <c r="L103">
        <v>1071867461</v>
      </c>
      <c r="M103">
        <v>2695918905</v>
      </c>
      <c r="N103">
        <v>2815345023</v>
      </c>
      <c r="O103">
        <v>2896695182</v>
      </c>
      <c r="P103">
        <v>116</v>
      </c>
      <c r="Q103" t="s">
        <v>282</v>
      </c>
    </row>
    <row r="104" spans="1:17" x14ac:dyDescent="0.3">
      <c r="A104" t="s">
        <v>17</v>
      </c>
      <c r="B104" t="str">
        <f>"600118"</f>
        <v>600118</v>
      </c>
      <c r="C104" t="s">
        <v>283</v>
      </c>
      <c r="D104" t="s">
        <v>284</v>
      </c>
      <c r="F104">
        <v>6031602939</v>
      </c>
      <c r="G104">
        <v>5905109730</v>
      </c>
      <c r="H104">
        <v>5727361234</v>
      </c>
      <c r="I104">
        <v>5472326010</v>
      </c>
      <c r="J104">
        <v>5184544169</v>
      </c>
      <c r="K104">
        <v>4876575264</v>
      </c>
      <c r="L104">
        <v>4593673296</v>
      </c>
      <c r="M104">
        <v>4302205280</v>
      </c>
      <c r="N104">
        <v>4049787503</v>
      </c>
      <c r="O104">
        <v>2400438903</v>
      </c>
      <c r="P104">
        <v>3372</v>
      </c>
      <c r="Q104" t="s">
        <v>285</v>
      </c>
    </row>
    <row r="105" spans="1:17" x14ac:dyDescent="0.3">
      <c r="A105" t="s">
        <v>17</v>
      </c>
      <c r="B105" t="str">
        <f>"600119"</f>
        <v>600119</v>
      </c>
      <c r="C105" t="s">
        <v>286</v>
      </c>
      <c r="D105" t="s">
        <v>287</v>
      </c>
      <c r="F105">
        <v>211342618</v>
      </c>
      <c r="G105">
        <v>347371221</v>
      </c>
      <c r="H105">
        <v>202004516</v>
      </c>
      <c r="I105">
        <v>139016810</v>
      </c>
      <c r="J105">
        <v>725231668</v>
      </c>
      <c r="K105">
        <v>950030739</v>
      </c>
      <c r="L105">
        <v>838787772</v>
      </c>
      <c r="M105">
        <v>777663643</v>
      </c>
      <c r="N105">
        <v>747789775</v>
      </c>
      <c r="O105">
        <v>734217179</v>
      </c>
      <c r="P105">
        <v>55</v>
      </c>
      <c r="Q105" t="s">
        <v>288</v>
      </c>
    </row>
    <row r="106" spans="1:17" x14ac:dyDescent="0.3">
      <c r="A106" t="s">
        <v>17</v>
      </c>
      <c r="B106" t="str">
        <f>"600120"</f>
        <v>600120</v>
      </c>
      <c r="C106" t="s">
        <v>289</v>
      </c>
      <c r="D106" t="s">
        <v>140</v>
      </c>
      <c r="F106">
        <v>13296422398</v>
      </c>
      <c r="G106">
        <v>13634063030</v>
      </c>
      <c r="H106">
        <v>11323636521</v>
      </c>
      <c r="I106">
        <v>9226925861</v>
      </c>
      <c r="J106">
        <v>10026316866</v>
      </c>
      <c r="K106">
        <v>6406582766</v>
      </c>
      <c r="L106">
        <v>5128720538</v>
      </c>
      <c r="M106">
        <v>4141197111</v>
      </c>
      <c r="N106">
        <v>4354545690</v>
      </c>
      <c r="O106">
        <v>3643831405</v>
      </c>
      <c r="P106">
        <v>193</v>
      </c>
      <c r="Q106" t="s">
        <v>290</v>
      </c>
    </row>
    <row r="107" spans="1:17" x14ac:dyDescent="0.3">
      <c r="A107" t="s">
        <v>17</v>
      </c>
      <c r="B107" t="str">
        <f>"600121"</f>
        <v>600121</v>
      </c>
      <c r="C107" t="s">
        <v>291</v>
      </c>
      <c r="D107" t="s">
        <v>292</v>
      </c>
      <c r="F107">
        <v>1582221966</v>
      </c>
      <c r="G107">
        <v>1810072323</v>
      </c>
      <c r="H107">
        <v>2748976912</v>
      </c>
      <c r="I107">
        <v>3383630585</v>
      </c>
      <c r="J107">
        <v>3308009025</v>
      </c>
      <c r="K107">
        <v>2830194434</v>
      </c>
      <c r="L107">
        <v>3439412321</v>
      </c>
      <c r="M107">
        <v>4217610229</v>
      </c>
      <c r="N107">
        <v>3815175317</v>
      </c>
      <c r="O107">
        <v>3212243474</v>
      </c>
      <c r="P107">
        <v>180</v>
      </c>
      <c r="Q107" t="s">
        <v>293</v>
      </c>
    </row>
    <row r="108" spans="1:17" x14ac:dyDescent="0.3">
      <c r="A108" t="s">
        <v>17</v>
      </c>
      <c r="B108" t="str">
        <f>"600122"</f>
        <v>600122</v>
      </c>
      <c r="C108" t="s">
        <v>294</v>
      </c>
      <c r="D108" t="s">
        <v>295</v>
      </c>
      <c r="F108">
        <v>67537696</v>
      </c>
      <c r="G108">
        <v>407154905</v>
      </c>
      <c r="H108">
        <v>2621329772</v>
      </c>
      <c r="I108">
        <v>6089777102</v>
      </c>
      <c r="J108">
        <v>8479092177</v>
      </c>
      <c r="K108">
        <v>8300465097</v>
      </c>
      <c r="L108">
        <v>7722189343</v>
      </c>
      <c r="M108">
        <v>7972016062</v>
      </c>
      <c r="N108">
        <v>5787039764</v>
      </c>
      <c r="O108">
        <v>5617853698</v>
      </c>
      <c r="P108">
        <v>96</v>
      </c>
      <c r="Q108" t="s">
        <v>296</v>
      </c>
    </row>
    <row r="109" spans="1:17" x14ac:dyDescent="0.3">
      <c r="A109" t="s">
        <v>17</v>
      </c>
      <c r="B109" t="str">
        <f>"600123"</f>
        <v>600123</v>
      </c>
      <c r="C109" t="s">
        <v>297</v>
      </c>
      <c r="D109" t="s">
        <v>298</v>
      </c>
      <c r="F109">
        <v>13064079404</v>
      </c>
      <c r="G109">
        <v>10713165526</v>
      </c>
      <c r="H109">
        <v>10497907861</v>
      </c>
      <c r="I109">
        <v>10204865621</v>
      </c>
      <c r="J109">
        <v>9387311164</v>
      </c>
      <c r="K109">
        <v>8599952570</v>
      </c>
      <c r="L109">
        <v>9626444067</v>
      </c>
      <c r="M109">
        <v>9519916707</v>
      </c>
      <c r="N109">
        <v>9706079111</v>
      </c>
      <c r="O109">
        <v>9531733852</v>
      </c>
      <c r="P109">
        <v>623</v>
      </c>
      <c r="Q109" t="s">
        <v>299</v>
      </c>
    </row>
    <row r="110" spans="1:17" x14ac:dyDescent="0.3">
      <c r="A110" t="s">
        <v>17</v>
      </c>
      <c r="B110" t="str">
        <f>"600125"</f>
        <v>600125</v>
      </c>
      <c r="C110" t="s">
        <v>300</v>
      </c>
      <c r="D110" t="s">
        <v>301</v>
      </c>
      <c r="F110">
        <v>6434355444</v>
      </c>
      <c r="G110">
        <v>6228827103</v>
      </c>
      <c r="H110">
        <v>5971162209</v>
      </c>
      <c r="I110">
        <v>5667957875</v>
      </c>
      <c r="J110">
        <v>5264479671</v>
      </c>
      <c r="K110">
        <v>5012010200</v>
      </c>
      <c r="L110">
        <v>4861835604</v>
      </c>
      <c r="M110">
        <v>4685155387</v>
      </c>
      <c r="N110">
        <v>4343500580</v>
      </c>
      <c r="O110">
        <v>4071474499</v>
      </c>
      <c r="P110">
        <v>203</v>
      </c>
      <c r="Q110" t="s">
        <v>302</v>
      </c>
    </row>
    <row r="111" spans="1:17" x14ac:dyDescent="0.3">
      <c r="A111" t="s">
        <v>17</v>
      </c>
      <c r="B111" t="str">
        <f>"600126"</f>
        <v>600126</v>
      </c>
      <c r="C111" t="s">
        <v>303</v>
      </c>
      <c r="D111" t="s">
        <v>38</v>
      </c>
      <c r="F111">
        <v>20547160472</v>
      </c>
      <c r="G111">
        <v>19691309416</v>
      </c>
      <c r="H111">
        <v>18962608040</v>
      </c>
      <c r="I111">
        <v>18491865442</v>
      </c>
      <c r="J111">
        <v>16554202856</v>
      </c>
      <c r="K111">
        <v>14835443615</v>
      </c>
      <c r="L111">
        <v>2214394840</v>
      </c>
      <c r="M111">
        <v>3307498401</v>
      </c>
      <c r="N111">
        <v>3305154175</v>
      </c>
      <c r="O111">
        <v>3284503055</v>
      </c>
      <c r="P111">
        <v>231</v>
      </c>
      <c r="Q111" t="s">
        <v>304</v>
      </c>
    </row>
    <row r="112" spans="1:17" x14ac:dyDescent="0.3">
      <c r="A112" t="s">
        <v>17</v>
      </c>
      <c r="B112" t="str">
        <f>"600127"</f>
        <v>600127</v>
      </c>
      <c r="C112" t="s">
        <v>305</v>
      </c>
      <c r="D112" t="s">
        <v>306</v>
      </c>
      <c r="F112">
        <v>715483139</v>
      </c>
      <c r="G112">
        <v>738806796</v>
      </c>
      <c r="H112">
        <v>717783635</v>
      </c>
      <c r="I112">
        <v>701596492</v>
      </c>
      <c r="J112">
        <v>754714070</v>
      </c>
      <c r="K112">
        <v>743747773</v>
      </c>
      <c r="L112">
        <v>733722480</v>
      </c>
      <c r="M112">
        <v>906385348</v>
      </c>
      <c r="N112">
        <v>894256991</v>
      </c>
      <c r="O112">
        <v>492730499</v>
      </c>
      <c r="P112">
        <v>231</v>
      </c>
      <c r="Q112" t="s">
        <v>307</v>
      </c>
    </row>
    <row r="113" spans="1:17" x14ac:dyDescent="0.3">
      <c r="A113" t="s">
        <v>17</v>
      </c>
      <c r="B113" t="str">
        <f>"600128"</f>
        <v>600128</v>
      </c>
      <c r="C113" t="s">
        <v>308</v>
      </c>
      <c r="D113" t="s">
        <v>131</v>
      </c>
      <c r="F113">
        <v>2084818923</v>
      </c>
      <c r="G113">
        <v>1905629923</v>
      </c>
      <c r="H113">
        <v>1693045335</v>
      </c>
      <c r="I113">
        <v>1292877625</v>
      </c>
      <c r="J113">
        <v>1376515348</v>
      </c>
      <c r="K113">
        <v>1516499042</v>
      </c>
      <c r="L113">
        <v>1513043506</v>
      </c>
      <c r="M113">
        <v>1483329980</v>
      </c>
      <c r="N113">
        <v>1416983904</v>
      </c>
      <c r="O113">
        <v>1367281280</v>
      </c>
      <c r="P113">
        <v>77</v>
      </c>
      <c r="Q113" t="s">
        <v>309</v>
      </c>
    </row>
    <row r="114" spans="1:17" x14ac:dyDescent="0.3">
      <c r="A114" t="s">
        <v>17</v>
      </c>
      <c r="B114" t="str">
        <f>"600129"</f>
        <v>600129</v>
      </c>
      <c r="C114" t="s">
        <v>310</v>
      </c>
      <c r="D114" t="s">
        <v>188</v>
      </c>
      <c r="F114">
        <v>2727075187</v>
      </c>
      <c r="G114">
        <v>3236473867</v>
      </c>
      <c r="H114">
        <v>3173631366</v>
      </c>
      <c r="I114">
        <v>3294136795</v>
      </c>
      <c r="J114">
        <v>1227810925</v>
      </c>
      <c r="K114">
        <v>1284509576</v>
      </c>
      <c r="L114">
        <v>1017552317</v>
      </c>
      <c r="M114">
        <v>1013143725</v>
      </c>
      <c r="N114">
        <v>947886746</v>
      </c>
      <c r="O114">
        <v>901190649</v>
      </c>
      <c r="P114">
        <v>283</v>
      </c>
      <c r="Q114" t="s">
        <v>311</v>
      </c>
    </row>
    <row r="115" spans="1:17" x14ac:dyDescent="0.3">
      <c r="A115" t="s">
        <v>17</v>
      </c>
      <c r="B115" t="str">
        <f>"600130"</f>
        <v>600130</v>
      </c>
      <c r="C115" t="s">
        <v>312</v>
      </c>
      <c r="D115" t="s">
        <v>313</v>
      </c>
      <c r="F115">
        <v>981007502</v>
      </c>
      <c r="G115">
        <v>938023617</v>
      </c>
      <c r="H115">
        <v>903479224</v>
      </c>
      <c r="I115">
        <v>875658411</v>
      </c>
      <c r="J115">
        <v>842761177</v>
      </c>
      <c r="K115">
        <v>995178377</v>
      </c>
      <c r="L115">
        <v>964643897</v>
      </c>
      <c r="M115">
        <v>898529907</v>
      </c>
      <c r="N115">
        <v>824191926</v>
      </c>
      <c r="O115">
        <v>756072101</v>
      </c>
      <c r="P115">
        <v>93</v>
      </c>
      <c r="Q115" t="s">
        <v>314</v>
      </c>
    </row>
    <row r="116" spans="1:17" x14ac:dyDescent="0.3">
      <c r="A116" t="s">
        <v>17</v>
      </c>
      <c r="B116" t="str">
        <f>"600131"</f>
        <v>600131</v>
      </c>
      <c r="C116" t="s">
        <v>315</v>
      </c>
      <c r="D116" t="s">
        <v>316</v>
      </c>
      <c r="F116">
        <v>5131866878</v>
      </c>
      <c r="G116">
        <v>4640060076</v>
      </c>
      <c r="H116">
        <v>2737000358</v>
      </c>
      <c r="I116">
        <v>1218217683</v>
      </c>
      <c r="J116">
        <v>1150722543</v>
      </c>
      <c r="K116">
        <v>1045906443</v>
      </c>
      <c r="L116">
        <v>907018501</v>
      </c>
      <c r="M116">
        <v>805573432</v>
      </c>
      <c r="N116">
        <v>649440631</v>
      </c>
      <c r="O116">
        <v>836724466</v>
      </c>
      <c r="P116">
        <v>209</v>
      </c>
      <c r="Q116" t="s">
        <v>317</v>
      </c>
    </row>
    <row r="117" spans="1:17" x14ac:dyDescent="0.3">
      <c r="A117" t="s">
        <v>17</v>
      </c>
      <c r="B117" t="str">
        <f>"600132"</f>
        <v>600132</v>
      </c>
      <c r="C117" t="s">
        <v>318</v>
      </c>
      <c r="D117" t="s">
        <v>319</v>
      </c>
      <c r="F117">
        <v>1754545104</v>
      </c>
      <c r="G117">
        <v>585289189</v>
      </c>
      <c r="H117">
        <v>1418716910</v>
      </c>
      <c r="I117">
        <v>1145014560</v>
      </c>
      <c r="J117">
        <v>1163663469</v>
      </c>
      <c r="K117">
        <v>1229951701</v>
      </c>
      <c r="L117">
        <v>1141361262</v>
      </c>
      <c r="M117">
        <v>1276697955</v>
      </c>
      <c r="N117">
        <v>1534997303</v>
      </c>
      <c r="O117">
        <v>1485389864</v>
      </c>
      <c r="P117">
        <v>2098</v>
      </c>
      <c r="Q117" t="s">
        <v>320</v>
      </c>
    </row>
    <row r="118" spans="1:17" x14ac:dyDescent="0.3">
      <c r="A118" t="s">
        <v>17</v>
      </c>
      <c r="B118" t="str">
        <f>"600133"</f>
        <v>600133</v>
      </c>
      <c r="C118" t="s">
        <v>321</v>
      </c>
      <c r="D118" t="s">
        <v>101</v>
      </c>
      <c r="F118">
        <v>5843702737</v>
      </c>
      <c r="G118">
        <v>5381463988</v>
      </c>
      <c r="H118">
        <v>4511663164</v>
      </c>
      <c r="I118">
        <v>3824244823</v>
      </c>
      <c r="J118">
        <v>3649390458</v>
      </c>
      <c r="K118">
        <v>1876470159</v>
      </c>
      <c r="L118">
        <v>1711582225</v>
      </c>
      <c r="M118">
        <v>1517289717</v>
      </c>
      <c r="N118">
        <v>1178513929</v>
      </c>
      <c r="O118">
        <v>1342774502</v>
      </c>
      <c r="P118">
        <v>192</v>
      </c>
      <c r="Q118" t="s">
        <v>322</v>
      </c>
    </row>
    <row r="119" spans="1:17" x14ac:dyDescent="0.3">
      <c r="A119" t="s">
        <v>17</v>
      </c>
      <c r="B119" t="str">
        <f>"600135"</f>
        <v>600135</v>
      </c>
      <c r="C119" t="s">
        <v>323</v>
      </c>
      <c r="D119" t="s">
        <v>324</v>
      </c>
      <c r="F119">
        <v>2614129339</v>
      </c>
      <c r="G119">
        <v>2567110714</v>
      </c>
      <c r="H119">
        <v>2203369332</v>
      </c>
      <c r="I119">
        <v>1684142073</v>
      </c>
      <c r="J119">
        <v>1687306203</v>
      </c>
      <c r="K119">
        <v>1640758675</v>
      </c>
      <c r="L119">
        <v>1610853413</v>
      </c>
      <c r="M119">
        <v>992487589</v>
      </c>
      <c r="N119">
        <v>972031737</v>
      </c>
      <c r="O119">
        <v>955636456</v>
      </c>
      <c r="P119">
        <v>112</v>
      </c>
      <c r="Q119" t="s">
        <v>325</v>
      </c>
    </row>
    <row r="120" spans="1:17" x14ac:dyDescent="0.3">
      <c r="A120" t="s">
        <v>17</v>
      </c>
      <c r="B120" t="str">
        <f>"600136"</f>
        <v>600136</v>
      </c>
      <c r="C120" t="s">
        <v>326</v>
      </c>
      <c r="D120" t="s">
        <v>327</v>
      </c>
      <c r="F120">
        <v>654150227</v>
      </c>
      <c r="G120">
        <v>2112520063</v>
      </c>
      <c r="H120">
        <v>4302234256</v>
      </c>
      <c r="I120">
        <v>3349268437</v>
      </c>
      <c r="J120">
        <v>2523610554</v>
      </c>
      <c r="K120">
        <v>2387632776</v>
      </c>
      <c r="L120">
        <v>869212745</v>
      </c>
      <c r="M120">
        <v>134753746</v>
      </c>
      <c r="N120">
        <v>133799604</v>
      </c>
      <c r="O120">
        <v>132618937</v>
      </c>
      <c r="P120">
        <v>136</v>
      </c>
      <c r="Q120" t="s">
        <v>328</v>
      </c>
    </row>
    <row r="121" spans="1:17" x14ac:dyDescent="0.3">
      <c r="A121" t="s">
        <v>17</v>
      </c>
      <c r="B121" t="str">
        <f>"600137"</f>
        <v>600137</v>
      </c>
      <c r="C121" t="s">
        <v>329</v>
      </c>
      <c r="D121" t="s">
        <v>330</v>
      </c>
      <c r="F121">
        <v>524530089</v>
      </c>
      <c r="G121">
        <v>512132052</v>
      </c>
      <c r="H121">
        <v>504097215</v>
      </c>
      <c r="I121">
        <v>500072833</v>
      </c>
      <c r="J121">
        <v>476744112</v>
      </c>
      <c r="K121">
        <v>453790542</v>
      </c>
      <c r="L121">
        <v>440331754</v>
      </c>
      <c r="M121">
        <v>461014903</v>
      </c>
      <c r="N121">
        <v>459056223</v>
      </c>
      <c r="O121">
        <v>450883354</v>
      </c>
      <c r="P121">
        <v>75</v>
      </c>
      <c r="Q121" t="s">
        <v>331</v>
      </c>
    </row>
    <row r="122" spans="1:17" x14ac:dyDescent="0.3">
      <c r="A122" t="s">
        <v>17</v>
      </c>
      <c r="B122" t="str">
        <f>"600138"</f>
        <v>600138</v>
      </c>
      <c r="C122" t="s">
        <v>332</v>
      </c>
      <c r="D122" t="s">
        <v>333</v>
      </c>
      <c r="F122">
        <v>6348224400</v>
      </c>
      <c r="G122">
        <v>6326566697</v>
      </c>
      <c r="H122">
        <v>6592202921</v>
      </c>
      <c r="I122">
        <v>6119633898</v>
      </c>
      <c r="J122">
        <v>5592123570</v>
      </c>
      <c r="K122">
        <v>5094584958</v>
      </c>
      <c r="L122">
        <v>4652638736</v>
      </c>
      <c r="M122">
        <v>4417537886</v>
      </c>
      <c r="N122">
        <v>2926815551</v>
      </c>
      <c r="O122">
        <v>2865345241</v>
      </c>
      <c r="P122">
        <v>486</v>
      </c>
      <c r="Q122" t="s">
        <v>334</v>
      </c>
    </row>
    <row r="123" spans="1:17" x14ac:dyDescent="0.3">
      <c r="A123" t="s">
        <v>17</v>
      </c>
      <c r="B123" t="str">
        <f>"600139"</f>
        <v>600139</v>
      </c>
      <c r="C123" t="s">
        <v>335</v>
      </c>
      <c r="D123" t="s">
        <v>336</v>
      </c>
      <c r="F123">
        <v>-491479080</v>
      </c>
      <c r="G123">
        <v>153596397</v>
      </c>
      <c r="H123">
        <v>352956085</v>
      </c>
      <c r="I123">
        <v>429352388</v>
      </c>
      <c r="J123">
        <v>414416724</v>
      </c>
      <c r="K123">
        <v>1014669742</v>
      </c>
      <c r="L123">
        <v>1023954178</v>
      </c>
      <c r="M123">
        <v>1299861494</v>
      </c>
      <c r="N123">
        <v>1287642186</v>
      </c>
      <c r="O123">
        <v>1614692855</v>
      </c>
      <c r="P123">
        <v>90</v>
      </c>
      <c r="Q123" t="s">
        <v>337</v>
      </c>
    </row>
    <row r="124" spans="1:17" x14ac:dyDescent="0.3">
      <c r="A124" t="s">
        <v>17</v>
      </c>
      <c r="B124" t="str">
        <f>"600141"</f>
        <v>600141</v>
      </c>
      <c r="C124" t="s">
        <v>338</v>
      </c>
      <c r="D124" t="s">
        <v>183</v>
      </c>
      <c r="F124">
        <v>13827739838</v>
      </c>
      <c r="G124">
        <v>9459094550</v>
      </c>
      <c r="H124">
        <v>8142755644</v>
      </c>
      <c r="I124">
        <v>6541017317</v>
      </c>
      <c r="J124">
        <v>5100782828</v>
      </c>
      <c r="K124">
        <v>4886181487</v>
      </c>
      <c r="L124">
        <v>4870423440</v>
      </c>
      <c r="M124">
        <v>4906058355</v>
      </c>
      <c r="N124">
        <v>3377542279</v>
      </c>
      <c r="O124">
        <v>3427065728</v>
      </c>
      <c r="P124">
        <v>426</v>
      </c>
      <c r="Q124" t="s">
        <v>339</v>
      </c>
    </row>
    <row r="125" spans="1:17" x14ac:dyDescent="0.3">
      <c r="A125" t="s">
        <v>17</v>
      </c>
      <c r="B125" t="str">
        <f>"600143"</f>
        <v>600143</v>
      </c>
      <c r="C125" t="s">
        <v>340</v>
      </c>
      <c r="D125" t="s">
        <v>341</v>
      </c>
      <c r="F125">
        <v>14986958295</v>
      </c>
      <c r="G125">
        <v>14841977474</v>
      </c>
      <c r="H125">
        <v>10539525444</v>
      </c>
      <c r="I125">
        <v>10233399235</v>
      </c>
      <c r="J125">
        <v>9924900142</v>
      </c>
      <c r="K125">
        <v>9650983593</v>
      </c>
      <c r="L125">
        <v>8329810618</v>
      </c>
      <c r="M125">
        <v>7986407741</v>
      </c>
      <c r="N125">
        <v>7804084029</v>
      </c>
      <c r="O125">
        <v>7823862961</v>
      </c>
      <c r="P125">
        <v>1349</v>
      </c>
      <c r="Q125" t="s">
        <v>342</v>
      </c>
    </row>
    <row r="126" spans="1:17" x14ac:dyDescent="0.3">
      <c r="A126" t="s">
        <v>17</v>
      </c>
      <c r="B126" t="str">
        <f>"600145"</f>
        <v>600145</v>
      </c>
      <c r="C126" t="s">
        <v>343</v>
      </c>
      <c r="D126" t="s">
        <v>131</v>
      </c>
      <c r="G126">
        <v>490417986</v>
      </c>
      <c r="H126">
        <v>619680231</v>
      </c>
      <c r="I126">
        <v>601093421</v>
      </c>
      <c r="J126">
        <v>625739769</v>
      </c>
      <c r="K126">
        <v>615504634</v>
      </c>
      <c r="L126">
        <v>604801144</v>
      </c>
      <c r="M126">
        <v>-2004043773</v>
      </c>
      <c r="N126">
        <v>107576975</v>
      </c>
      <c r="O126">
        <v>195649826</v>
      </c>
      <c r="P126">
        <v>46</v>
      </c>
      <c r="Q126" t="s">
        <v>344</v>
      </c>
    </row>
    <row r="127" spans="1:17" x14ac:dyDescent="0.3">
      <c r="A127" t="s">
        <v>17</v>
      </c>
      <c r="B127" t="str">
        <f>"600146"</f>
        <v>600146</v>
      </c>
      <c r="C127" t="s">
        <v>345</v>
      </c>
      <c r="D127" t="s">
        <v>255</v>
      </c>
      <c r="G127">
        <v>452681850</v>
      </c>
      <c r="H127">
        <v>879291192</v>
      </c>
      <c r="I127">
        <v>1180757115</v>
      </c>
      <c r="J127">
        <v>2986908683</v>
      </c>
      <c r="K127">
        <v>2871362592</v>
      </c>
      <c r="L127">
        <v>84548101</v>
      </c>
      <c r="M127">
        <v>148428920</v>
      </c>
      <c r="N127">
        <v>141159797</v>
      </c>
      <c r="O127">
        <v>231230985</v>
      </c>
      <c r="P127">
        <v>70</v>
      </c>
      <c r="Q127" t="s">
        <v>346</v>
      </c>
    </row>
    <row r="128" spans="1:17" x14ac:dyDescent="0.3">
      <c r="A128" t="s">
        <v>17</v>
      </c>
      <c r="B128" t="str">
        <f>"600148"</f>
        <v>600148</v>
      </c>
      <c r="C128" t="s">
        <v>347</v>
      </c>
      <c r="D128" t="s">
        <v>348</v>
      </c>
      <c r="F128">
        <v>494725133</v>
      </c>
      <c r="G128">
        <v>481493556</v>
      </c>
      <c r="H128">
        <v>439395475</v>
      </c>
      <c r="I128">
        <v>419046213</v>
      </c>
      <c r="J128">
        <v>395740393</v>
      </c>
      <c r="K128">
        <v>376016327</v>
      </c>
      <c r="L128">
        <v>361983887</v>
      </c>
      <c r="M128">
        <v>370603175</v>
      </c>
      <c r="N128">
        <v>338880706</v>
      </c>
      <c r="O128">
        <v>308077624</v>
      </c>
      <c r="P128">
        <v>75</v>
      </c>
      <c r="Q128" t="s">
        <v>349</v>
      </c>
    </row>
    <row r="129" spans="1:17" x14ac:dyDescent="0.3">
      <c r="A129" t="s">
        <v>17</v>
      </c>
      <c r="B129" t="str">
        <f>"600149"</f>
        <v>600149</v>
      </c>
      <c r="C129" t="s">
        <v>350</v>
      </c>
      <c r="D129" t="s">
        <v>351</v>
      </c>
      <c r="F129">
        <v>170491042</v>
      </c>
      <c r="G129">
        <v>168461037</v>
      </c>
      <c r="H129">
        <v>208862200</v>
      </c>
      <c r="I129">
        <v>206337754</v>
      </c>
      <c r="J129">
        <v>204281053</v>
      </c>
      <c r="K129">
        <v>183886373</v>
      </c>
      <c r="L129">
        <v>208680617</v>
      </c>
      <c r="M129">
        <v>272831943</v>
      </c>
      <c r="N129">
        <v>266757016</v>
      </c>
      <c r="O129">
        <v>317385933</v>
      </c>
      <c r="P129">
        <v>44</v>
      </c>
      <c r="Q129" t="s">
        <v>352</v>
      </c>
    </row>
    <row r="130" spans="1:17" x14ac:dyDescent="0.3">
      <c r="A130" t="s">
        <v>17</v>
      </c>
      <c r="B130" t="str">
        <f>"600150"</f>
        <v>600150</v>
      </c>
      <c r="C130" t="s">
        <v>353</v>
      </c>
      <c r="D130" t="s">
        <v>167</v>
      </c>
      <c r="F130">
        <v>46040729540</v>
      </c>
      <c r="G130">
        <v>45776832714</v>
      </c>
      <c r="H130">
        <v>15415650015</v>
      </c>
      <c r="I130">
        <v>15095139905</v>
      </c>
      <c r="J130">
        <v>12581847969</v>
      </c>
      <c r="K130">
        <v>14952593256</v>
      </c>
      <c r="L130">
        <v>17549473059</v>
      </c>
      <c r="M130">
        <v>17401820181</v>
      </c>
      <c r="N130">
        <v>17348378353</v>
      </c>
      <c r="O130">
        <v>17517922962</v>
      </c>
      <c r="P130">
        <v>469</v>
      </c>
      <c r="Q130" t="s">
        <v>354</v>
      </c>
    </row>
    <row r="131" spans="1:17" x14ac:dyDescent="0.3">
      <c r="A131" t="s">
        <v>17</v>
      </c>
      <c r="B131" t="str">
        <f>"600151"</f>
        <v>600151</v>
      </c>
      <c r="C131" t="s">
        <v>355</v>
      </c>
      <c r="D131" t="s">
        <v>356</v>
      </c>
      <c r="F131">
        <v>5406133566</v>
      </c>
      <c r="G131">
        <v>5468045008</v>
      </c>
      <c r="H131">
        <v>5289157634</v>
      </c>
      <c r="I131">
        <v>5982935103</v>
      </c>
      <c r="J131">
        <v>5728654923</v>
      </c>
      <c r="K131">
        <v>6090279457</v>
      </c>
      <c r="L131">
        <v>4125130161</v>
      </c>
      <c r="M131">
        <v>3745689748</v>
      </c>
      <c r="N131">
        <v>3777095695</v>
      </c>
      <c r="O131">
        <v>3634649760</v>
      </c>
      <c r="P131">
        <v>165</v>
      </c>
      <c r="Q131" t="s">
        <v>357</v>
      </c>
    </row>
    <row r="132" spans="1:17" x14ac:dyDescent="0.3">
      <c r="A132" t="s">
        <v>17</v>
      </c>
      <c r="B132" t="str">
        <f>"600152"</f>
        <v>600152</v>
      </c>
      <c r="C132" t="s">
        <v>358</v>
      </c>
      <c r="D132" t="s">
        <v>359</v>
      </c>
      <c r="F132">
        <v>1985846679</v>
      </c>
      <c r="G132">
        <v>1423075857</v>
      </c>
      <c r="H132">
        <v>1359578504</v>
      </c>
      <c r="I132">
        <v>1398214578</v>
      </c>
      <c r="J132">
        <v>1406737240</v>
      </c>
      <c r="K132">
        <v>550455460</v>
      </c>
      <c r="L132">
        <v>593053059</v>
      </c>
      <c r="M132">
        <v>581085944</v>
      </c>
      <c r="N132">
        <v>802568792</v>
      </c>
      <c r="O132">
        <v>771894560</v>
      </c>
      <c r="P132">
        <v>147</v>
      </c>
      <c r="Q132" t="s">
        <v>360</v>
      </c>
    </row>
    <row r="133" spans="1:17" x14ac:dyDescent="0.3">
      <c r="A133" t="s">
        <v>17</v>
      </c>
      <c r="B133" t="str">
        <f>"600153"</f>
        <v>600153</v>
      </c>
      <c r="C133" t="s">
        <v>361</v>
      </c>
      <c r="D133" t="s">
        <v>128</v>
      </c>
      <c r="F133">
        <v>41202165848</v>
      </c>
      <c r="G133">
        <v>36390963908</v>
      </c>
      <c r="H133">
        <v>30889923124</v>
      </c>
      <c r="I133">
        <v>27555574865</v>
      </c>
      <c r="J133">
        <v>23622705167</v>
      </c>
      <c r="K133">
        <v>21521223414</v>
      </c>
      <c r="L133">
        <v>19094939365</v>
      </c>
      <c r="M133">
        <v>17073025415</v>
      </c>
      <c r="N133">
        <v>12552213163</v>
      </c>
      <c r="O133">
        <v>10021232691</v>
      </c>
      <c r="P133">
        <v>2153</v>
      </c>
      <c r="Q133" t="s">
        <v>362</v>
      </c>
    </row>
    <row r="134" spans="1:17" x14ac:dyDescent="0.3">
      <c r="A134" t="s">
        <v>17</v>
      </c>
      <c r="B134" t="str">
        <f>"600155"</f>
        <v>600155</v>
      </c>
      <c r="C134" t="s">
        <v>363</v>
      </c>
      <c r="D134" t="s">
        <v>80</v>
      </c>
      <c r="F134">
        <v>16207380577</v>
      </c>
      <c r="G134">
        <v>15176281225</v>
      </c>
      <c r="H134">
        <v>14960499635</v>
      </c>
      <c r="I134">
        <v>14871018484</v>
      </c>
      <c r="J134">
        <v>14909092771</v>
      </c>
      <c r="K134">
        <v>14825362592</v>
      </c>
      <c r="L134">
        <v>353846314</v>
      </c>
      <c r="M134">
        <v>128129507</v>
      </c>
      <c r="N134">
        <v>80261069</v>
      </c>
      <c r="O134">
        <v>-612991976</v>
      </c>
      <c r="P134">
        <v>630</v>
      </c>
      <c r="Q134" t="s">
        <v>364</v>
      </c>
    </row>
    <row r="135" spans="1:17" x14ac:dyDescent="0.3">
      <c r="A135" t="s">
        <v>17</v>
      </c>
      <c r="B135" t="str">
        <f>"600156"</f>
        <v>600156</v>
      </c>
      <c r="C135" t="s">
        <v>365</v>
      </c>
      <c r="D135" t="s">
        <v>366</v>
      </c>
      <c r="F135">
        <v>651187695</v>
      </c>
      <c r="G135">
        <v>721418252</v>
      </c>
      <c r="H135">
        <v>688185918</v>
      </c>
      <c r="I135">
        <v>649978399</v>
      </c>
      <c r="J135">
        <v>622368735</v>
      </c>
      <c r="K135">
        <v>703946815</v>
      </c>
      <c r="L135">
        <v>700498983</v>
      </c>
      <c r="M135">
        <v>681947445</v>
      </c>
      <c r="N135">
        <v>705242420</v>
      </c>
      <c r="O135">
        <v>603072094</v>
      </c>
      <c r="P135">
        <v>75</v>
      </c>
      <c r="Q135" t="s">
        <v>367</v>
      </c>
    </row>
    <row r="136" spans="1:17" x14ac:dyDescent="0.3">
      <c r="A136" t="s">
        <v>17</v>
      </c>
      <c r="B136" t="str">
        <f>"600157"</f>
        <v>600157</v>
      </c>
      <c r="C136" t="s">
        <v>368</v>
      </c>
      <c r="D136" t="s">
        <v>298</v>
      </c>
      <c r="F136">
        <v>42395481805</v>
      </c>
      <c r="G136">
        <v>41552427031</v>
      </c>
      <c r="H136">
        <v>23790206779</v>
      </c>
      <c r="I136">
        <v>24105113431</v>
      </c>
      <c r="J136">
        <v>24338836587</v>
      </c>
      <c r="K136">
        <v>23661269054</v>
      </c>
      <c r="L136">
        <v>20460094338</v>
      </c>
      <c r="M136">
        <v>9969001580</v>
      </c>
      <c r="N136">
        <v>9831489093</v>
      </c>
      <c r="O136">
        <v>8663961906</v>
      </c>
      <c r="P136">
        <v>226</v>
      </c>
      <c r="Q136" t="s">
        <v>369</v>
      </c>
    </row>
    <row r="137" spans="1:17" x14ac:dyDescent="0.3">
      <c r="A137" t="s">
        <v>17</v>
      </c>
      <c r="B137" t="str">
        <f>"600158"</f>
        <v>600158</v>
      </c>
      <c r="C137" t="s">
        <v>370</v>
      </c>
      <c r="D137" t="s">
        <v>327</v>
      </c>
      <c r="F137">
        <v>2534520356</v>
      </c>
      <c r="G137">
        <v>2496061608</v>
      </c>
      <c r="H137">
        <v>1772377826</v>
      </c>
      <c r="I137">
        <v>1695229281</v>
      </c>
      <c r="J137">
        <v>1629884949</v>
      </c>
      <c r="K137">
        <v>1590319360</v>
      </c>
      <c r="L137">
        <v>1552934031</v>
      </c>
      <c r="M137">
        <v>1508778516</v>
      </c>
      <c r="N137">
        <v>1424788032</v>
      </c>
      <c r="O137">
        <v>1300070124</v>
      </c>
      <c r="P137">
        <v>166</v>
      </c>
      <c r="Q137" t="s">
        <v>371</v>
      </c>
    </row>
    <row r="138" spans="1:17" x14ac:dyDescent="0.3">
      <c r="A138" t="s">
        <v>17</v>
      </c>
      <c r="B138" t="str">
        <f>"600159"</f>
        <v>600159</v>
      </c>
      <c r="C138" t="s">
        <v>372</v>
      </c>
      <c r="D138" t="s">
        <v>104</v>
      </c>
      <c r="F138">
        <v>2471330854</v>
      </c>
      <c r="G138">
        <v>2411531804</v>
      </c>
      <c r="H138">
        <v>2347994362</v>
      </c>
      <c r="I138">
        <v>2288339029</v>
      </c>
      <c r="J138">
        <v>2213845170</v>
      </c>
      <c r="K138">
        <v>2225954124</v>
      </c>
      <c r="L138">
        <v>2148465203</v>
      </c>
      <c r="M138">
        <v>2130331840</v>
      </c>
      <c r="N138">
        <v>1999155595</v>
      </c>
      <c r="O138">
        <v>1769905836</v>
      </c>
      <c r="P138">
        <v>87</v>
      </c>
      <c r="Q138" t="s">
        <v>373</v>
      </c>
    </row>
    <row r="139" spans="1:17" x14ac:dyDescent="0.3">
      <c r="A139" t="s">
        <v>17</v>
      </c>
      <c r="B139" t="str">
        <f>"600160"</f>
        <v>600160</v>
      </c>
      <c r="C139" t="s">
        <v>374</v>
      </c>
      <c r="D139" t="s">
        <v>375</v>
      </c>
      <c r="F139">
        <v>13333728246</v>
      </c>
      <c r="G139">
        <v>12487234600</v>
      </c>
      <c r="H139">
        <v>12891893271</v>
      </c>
      <c r="I139">
        <v>12585018801</v>
      </c>
      <c r="J139">
        <v>10824704739</v>
      </c>
      <c r="K139">
        <v>10415515100</v>
      </c>
      <c r="L139">
        <v>7256120970</v>
      </c>
      <c r="M139">
        <v>7258055677</v>
      </c>
      <c r="N139">
        <v>7458466353</v>
      </c>
      <c r="O139">
        <v>5817847441</v>
      </c>
      <c r="P139">
        <v>471</v>
      </c>
      <c r="Q139" t="s">
        <v>376</v>
      </c>
    </row>
    <row r="140" spans="1:17" x14ac:dyDescent="0.3">
      <c r="A140" t="s">
        <v>17</v>
      </c>
      <c r="B140" t="str">
        <f>"600161"</f>
        <v>600161</v>
      </c>
      <c r="C140" t="s">
        <v>377</v>
      </c>
      <c r="D140" t="s">
        <v>378</v>
      </c>
      <c r="F140">
        <v>8052028808</v>
      </c>
      <c r="G140">
        <v>4517946100</v>
      </c>
      <c r="H140">
        <v>3938897465</v>
      </c>
      <c r="I140">
        <v>3371304990</v>
      </c>
      <c r="J140">
        <v>3040012956</v>
      </c>
      <c r="K140">
        <v>2194418053</v>
      </c>
      <c r="L140">
        <v>1953868239</v>
      </c>
      <c r="M140">
        <v>1940976932</v>
      </c>
      <c r="N140">
        <v>1926034355</v>
      </c>
      <c r="O140">
        <v>1554005571</v>
      </c>
      <c r="P140">
        <v>1406</v>
      </c>
      <c r="Q140" t="s">
        <v>379</v>
      </c>
    </row>
    <row r="141" spans="1:17" x14ac:dyDescent="0.3">
      <c r="A141" t="s">
        <v>17</v>
      </c>
      <c r="B141" t="str">
        <f>"600162"</f>
        <v>600162</v>
      </c>
      <c r="C141" t="s">
        <v>380</v>
      </c>
      <c r="D141" t="s">
        <v>104</v>
      </c>
      <c r="F141">
        <v>7286106884</v>
      </c>
      <c r="G141">
        <v>5316511066</v>
      </c>
      <c r="H141">
        <v>5333992346</v>
      </c>
      <c r="I141">
        <v>5037091677</v>
      </c>
      <c r="J141">
        <v>7620232769</v>
      </c>
      <c r="K141">
        <v>4854862586</v>
      </c>
      <c r="L141">
        <v>4413072797</v>
      </c>
      <c r="M141">
        <v>1808584307</v>
      </c>
      <c r="N141">
        <v>1613711227</v>
      </c>
      <c r="O141">
        <v>1447954325</v>
      </c>
      <c r="P141">
        <v>170</v>
      </c>
      <c r="Q141" t="s">
        <v>381</v>
      </c>
    </row>
    <row r="142" spans="1:17" x14ac:dyDescent="0.3">
      <c r="A142" t="s">
        <v>17</v>
      </c>
      <c r="B142" t="str">
        <f>"600163"</f>
        <v>600163</v>
      </c>
      <c r="C142" t="s">
        <v>382</v>
      </c>
      <c r="D142" t="s">
        <v>383</v>
      </c>
      <c r="F142">
        <v>4999385838</v>
      </c>
      <c r="G142">
        <v>3543388998</v>
      </c>
      <c r="H142">
        <v>2000389096</v>
      </c>
      <c r="I142">
        <v>1864183657</v>
      </c>
      <c r="J142">
        <v>1733831326</v>
      </c>
      <c r="K142">
        <v>1580355064</v>
      </c>
      <c r="L142">
        <v>1474876530</v>
      </c>
      <c r="M142">
        <v>101237632</v>
      </c>
      <c r="N142">
        <v>657806427</v>
      </c>
      <c r="O142">
        <v>1431670807</v>
      </c>
      <c r="P142">
        <v>219</v>
      </c>
      <c r="Q142" t="s">
        <v>384</v>
      </c>
    </row>
    <row r="143" spans="1:17" x14ac:dyDescent="0.3">
      <c r="A143" t="s">
        <v>17</v>
      </c>
      <c r="B143" t="str">
        <f>"600165"</f>
        <v>600165</v>
      </c>
      <c r="C143" t="s">
        <v>385</v>
      </c>
      <c r="D143" t="s">
        <v>386</v>
      </c>
      <c r="F143">
        <v>913444901</v>
      </c>
      <c r="G143">
        <v>956151390</v>
      </c>
      <c r="H143">
        <v>899553326</v>
      </c>
      <c r="I143">
        <v>870732499</v>
      </c>
      <c r="J143">
        <v>862821337</v>
      </c>
      <c r="K143">
        <v>796752249</v>
      </c>
      <c r="L143">
        <v>963408720</v>
      </c>
      <c r="M143">
        <v>920783885</v>
      </c>
      <c r="N143">
        <v>1036966222</v>
      </c>
      <c r="O143">
        <v>1026504064</v>
      </c>
      <c r="P143">
        <v>70</v>
      </c>
      <c r="Q143" t="s">
        <v>387</v>
      </c>
    </row>
    <row r="144" spans="1:17" x14ac:dyDescent="0.3">
      <c r="A144" t="s">
        <v>17</v>
      </c>
      <c r="B144" t="str">
        <f>"600166"</f>
        <v>600166</v>
      </c>
      <c r="C144" t="s">
        <v>388</v>
      </c>
      <c r="D144" t="s">
        <v>27</v>
      </c>
      <c r="F144">
        <v>10472933489</v>
      </c>
      <c r="G144">
        <v>15465074620</v>
      </c>
      <c r="H144">
        <v>15227699263</v>
      </c>
      <c r="I144">
        <v>15180368588</v>
      </c>
      <c r="J144">
        <v>18955244621</v>
      </c>
      <c r="K144">
        <v>18911193480</v>
      </c>
      <c r="L144">
        <v>18541484522</v>
      </c>
      <c r="M144">
        <v>15286766395</v>
      </c>
      <c r="N144">
        <v>14967189990</v>
      </c>
      <c r="O144">
        <v>14731317465</v>
      </c>
      <c r="P144">
        <v>439</v>
      </c>
      <c r="Q144" t="s">
        <v>389</v>
      </c>
    </row>
    <row r="145" spans="1:17" x14ac:dyDescent="0.3">
      <c r="A145" t="s">
        <v>17</v>
      </c>
      <c r="B145" t="str">
        <f>"600167"</f>
        <v>600167</v>
      </c>
      <c r="C145" t="s">
        <v>390</v>
      </c>
      <c r="D145" t="s">
        <v>351</v>
      </c>
      <c r="F145">
        <v>8722782082</v>
      </c>
      <c r="G145">
        <v>8776437870</v>
      </c>
      <c r="H145">
        <v>7562153591</v>
      </c>
      <c r="I145">
        <v>6106557497</v>
      </c>
      <c r="J145">
        <v>7105307268</v>
      </c>
      <c r="K145">
        <v>2480822875</v>
      </c>
      <c r="L145">
        <v>1165511590</v>
      </c>
      <c r="M145">
        <v>988908650</v>
      </c>
      <c r="N145">
        <v>868316551</v>
      </c>
      <c r="O145">
        <v>763443713</v>
      </c>
      <c r="P145">
        <v>39750</v>
      </c>
      <c r="Q145" t="s">
        <v>391</v>
      </c>
    </row>
    <row r="146" spans="1:17" x14ac:dyDescent="0.3">
      <c r="A146" t="s">
        <v>17</v>
      </c>
      <c r="B146" t="str">
        <f>"600168"</f>
        <v>600168</v>
      </c>
      <c r="C146" t="s">
        <v>392</v>
      </c>
      <c r="D146" t="s">
        <v>33</v>
      </c>
      <c r="F146">
        <v>5706440389</v>
      </c>
      <c r="G146">
        <v>5374784955</v>
      </c>
      <c r="H146">
        <v>5176346967</v>
      </c>
      <c r="I146">
        <v>4995477514</v>
      </c>
      <c r="J146">
        <v>4811590154</v>
      </c>
      <c r="K146">
        <v>4574466523</v>
      </c>
      <c r="L146">
        <v>4363444373</v>
      </c>
      <c r="M146">
        <v>4136538613</v>
      </c>
      <c r="N146">
        <v>3849276643</v>
      </c>
      <c r="O146">
        <v>1692657720</v>
      </c>
      <c r="P146">
        <v>168</v>
      </c>
      <c r="Q146" t="s">
        <v>393</v>
      </c>
    </row>
    <row r="147" spans="1:17" x14ac:dyDescent="0.3">
      <c r="A147" t="s">
        <v>17</v>
      </c>
      <c r="B147" t="str">
        <f>"600169"</f>
        <v>600169</v>
      </c>
      <c r="C147" t="s">
        <v>394</v>
      </c>
      <c r="D147" t="s">
        <v>395</v>
      </c>
      <c r="F147">
        <v>4798512629</v>
      </c>
      <c r="G147">
        <v>4548437154</v>
      </c>
      <c r="H147">
        <v>3337163687</v>
      </c>
      <c r="I147">
        <v>4167218438</v>
      </c>
      <c r="J147">
        <v>4129450382</v>
      </c>
      <c r="K147">
        <v>4076478768</v>
      </c>
      <c r="L147">
        <v>5435486714</v>
      </c>
      <c r="M147">
        <v>5412821516</v>
      </c>
      <c r="N147">
        <v>5405171354</v>
      </c>
      <c r="O147">
        <v>5381473530</v>
      </c>
      <c r="P147">
        <v>133</v>
      </c>
      <c r="Q147" t="s">
        <v>396</v>
      </c>
    </row>
    <row r="148" spans="1:17" x14ac:dyDescent="0.3">
      <c r="A148" t="s">
        <v>17</v>
      </c>
      <c r="B148" t="str">
        <f>"600170"</f>
        <v>600170</v>
      </c>
      <c r="C148" t="s">
        <v>397</v>
      </c>
      <c r="D148" t="s">
        <v>398</v>
      </c>
      <c r="F148">
        <v>30461565678</v>
      </c>
      <c r="G148">
        <v>27990492649</v>
      </c>
      <c r="H148">
        <v>26554137607</v>
      </c>
      <c r="I148">
        <v>24576817860</v>
      </c>
      <c r="J148">
        <v>24022922620</v>
      </c>
      <c r="K148">
        <v>21070363688</v>
      </c>
      <c r="L148">
        <v>20035609309</v>
      </c>
      <c r="M148">
        <v>17958326409</v>
      </c>
      <c r="N148">
        <v>12973536321</v>
      </c>
      <c r="O148">
        <v>11824363309</v>
      </c>
      <c r="P148">
        <v>698</v>
      </c>
      <c r="Q148" t="s">
        <v>399</v>
      </c>
    </row>
    <row r="149" spans="1:17" x14ac:dyDescent="0.3">
      <c r="A149" t="s">
        <v>17</v>
      </c>
      <c r="B149" t="str">
        <f>"600171"</f>
        <v>600171</v>
      </c>
      <c r="C149" t="s">
        <v>400</v>
      </c>
      <c r="D149" t="s">
        <v>401</v>
      </c>
      <c r="F149">
        <v>3937317056</v>
      </c>
      <c r="G149">
        <v>3291856081</v>
      </c>
      <c r="H149">
        <v>3042899052</v>
      </c>
      <c r="I149">
        <v>2428680753</v>
      </c>
      <c r="J149">
        <v>2393470746</v>
      </c>
      <c r="K149">
        <v>1848459038</v>
      </c>
      <c r="L149">
        <v>1827450371</v>
      </c>
      <c r="M149">
        <v>1626954399</v>
      </c>
      <c r="N149">
        <v>1765710206</v>
      </c>
      <c r="O149">
        <v>1735423535</v>
      </c>
      <c r="P149">
        <v>574</v>
      </c>
      <c r="Q149" t="s">
        <v>402</v>
      </c>
    </row>
    <row r="150" spans="1:17" x14ac:dyDescent="0.3">
      <c r="A150" t="s">
        <v>17</v>
      </c>
      <c r="B150" t="str">
        <f>"600172"</f>
        <v>600172</v>
      </c>
      <c r="C150" t="s">
        <v>403</v>
      </c>
      <c r="D150" t="s">
        <v>404</v>
      </c>
      <c r="F150">
        <v>3261356890</v>
      </c>
      <c r="G150">
        <v>3218270758</v>
      </c>
      <c r="H150">
        <v>4198532708</v>
      </c>
      <c r="I150">
        <v>4540349032</v>
      </c>
      <c r="J150">
        <v>5166810446</v>
      </c>
      <c r="K150">
        <v>4755304326</v>
      </c>
      <c r="L150">
        <v>4521375585</v>
      </c>
      <c r="M150">
        <v>2409158580</v>
      </c>
      <c r="N150">
        <v>2212227305</v>
      </c>
      <c r="O150">
        <v>2024012217</v>
      </c>
      <c r="P150">
        <v>325</v>
      </c>
      <c r="Q150" t="s">
        <v>405</v>
      </c>
    </row>
    <row r="151" spans="1:17" x14ac:dyDescent="0.3">
      <c r="A151" t="s">
        <v>17</v>
      </c>
      <c r="B151" t="str">
        <f>"600173"</f>
        <v>600173</v>
      </c>
      <c r="C151" t="s">
        <v>406</v>
      </c>
      <c r="D151" t="s">
        <v>104</v>
      </c>
      <c r="F151">
        <v>3528788281</v>
      </c>
      <c r="G151">
        <v>3156549841</v>
      </c>
      <c r="H151">
        <v>2762208258</v>
      </c>
      <c r="I151">
        <v>2318457969</v>
      </c>
      <c r="J151">
        <v>1921525635</v>
      </c>
      <c r="K151">
        <v>1674849038</v>
      </c>
      <c r="L151">
        <v>1630362820</v>
      </c>
      <c r="M151">
        <v>1606215026</v>
      </c>
      <c r="N151">
        <v>1464051049</v>
      </c>
      <c r="O151">
        <v>1435037427</v>
      </c>
      <c r="P151">
        <v>302</v>
      </c>
      <c r="Q151" t="s">
        <v>407</v>
      </c>
    </row>
    <row r="152" spans="1:17" x14ac:dyDescent="0.3">
      <c r="A152" t="s">
        <v>17</v>
      </c>
      <c r="B152" t="str">
        <f>"600175"</f>
        <v>600175</v>
      </c>
      <c r="C152" t="s">
        <v>408</v>
      </c>
      <c r="H152">
        <v>8960200091</v>
      </c>
      <c r="I152">
        <v>9727336627</v>
      </c>
      <c r="J152">
        <v>10651475556</v>
      </c>
      <c r="K152">
        <v>10910445588</v>
      </c>
      <c r="L152">
        <v>4521373387</v>
      </c>
      <c r="M152">
        <v>4494130394</v>
      </c>
      <c r="N152">
        <v>2181680838</v>
      </c>
      <c r="O152">
        <v>2053596153</v>
      </c>
      <c r="P152">
        <v>58</v>
      </c>
      <c r="Q152" t="s">
        <v>409</v>
      </c>
    </row>
    <row r="153" spans="1:17" x14ac:dyDescent="0.3">
      <c r="A153" t="s">
        <v>17</v>
      </c>
      <c r="B153" t="str">
        <f>"600176"</f>
        <v>600176</v>
      </c>
      <c r="C153" t="s">
        <v>410</v>
      </c>
      <c r="D153" t="s">
        <v>411</v>
      </c>
      <c r="F153">
        <v>22567564915</v>
      </c>
      <c r="G153">
        <v>17436585689</v>
      </c>
      <c r="H153">
        <v>15646628314</v>
      </c>
      <c r="I153">
        <v>14238244361</v>
      </c>
      <c r="J153">
        <v>12448657303</v>
      </c>
      <c r="K153">
        <v>10966248455</v>
      </c>
      <c r="L153">
        <v>9718796966</v>
      </c>
      <c r="M153">
        <v>4020331787</v>
      </c>
      <c r="N153">
        <v>3705099179</v>
      </c>
      <c r="O153">
        <v>3637827571</v>
      </c>
      <c r="P153">
        <v>2781</v>
      </c>
      <c r="Q153" t="s">
        <v>412</v>
      </c>
    </row>
    <row r="154" spans="1:17" x14ac:dyDescent="0.3">
      <c r="A154" t="s">
        <v>17</v>
      </c>
      <c r="B154" t="str">
        <f>"600177"</f>
        <v>600177</v>
      </c>
      <c r="C154" t="s">
        <v>413</v>
      </c>
      <c r="D154" t="s">
        <v>255</v>
      </c>
      <c r="F154">
        <v>34000098680</v>
      </c>
      <c r="G154">
        <v>28538309281</v>
      </c>
      <c r="H154">
        <v>27808845066</v>
      </c>
      <c r="I154">
        <v>28181670498</v>
      </c>
      <c r="J154">
        <v>24373800414</v>
      </c>
      <c r="K154">
        <v>22710507495</v>
      </c>
      <c r="L154">
        <v>20152118398</v>
      </c>
      <c r="M154">
        <v>16527178742</v>
      </c>
      <c r="N154">
        <v>13931101665</v>
      </c>
      <c r="O154">
        <v>14005378767</v>
      </c>
      <c r="P154">
        <v>1571</v>
      </c>
      <c r="Q154" t="s">
        <v>414</v>
      </c>
    </row>
    <row r="155" spans="1:17" x14ac:dyDescent="0.3">
      <c r="A155" t="s">
        <v>17</v>
      </c>
      <c r="B155" t="str">
        <f>"600178"</f>
        <v>600178</v>
      </c>
      <c r="C155" t="s">
        <v>415</v>
      </c>
      <c r="D155" t="s">
        <v>348</v>
      </c>
      <c r="F155">
        <v>2443910968</v>
      </c>
      <c r="G155">
        <v>1923514039</v>
      </c>
      <c r="H155">
        <v>1883022689</v>
      </c>
      <c r="I155">
        <v>1871408303</v>
      </c>
      <c r="J155">
        <v>1876454666</v>
      </c>
      <c r="K155">
        <v>1830490066</v>
      </c>
      <c r="L155">
        <v>1748821613</v>
      </c>
      <c r="M155">
        <v>1724886651</v>
      </c>
      <c r="N155">
        <v>1691458476</v>
      </c>
      <c r="O155">
        <v>2248554731</v>
      </c>
      <c r="P155">
        <v>119</v>
      </c>
      <c r="Q155" t="s">
        <v>416</v>
      </c>
    </row>
    <row r="156" spans="1:17" x14ac:dyDescent="0.3">
      <c r="A156" t="s">
        <v>17</v>
      </c>
      <c r="B156" t="str">
        <f>"600179"</f>
        <v>600179</v>
      </c>
      <c r="C156" t="s">
        <v>417</v>
      </c>
      <c r="D156" t="s">
        <v>69</v>
      </c>
      <c r="F156">
        <v>7764120965</v>
      </c>
      <c r="G156">
        <v>6025066398</v>
      </c>
      <c r="H156">
        <v>-981629266</v>
      </c>
      <c r="I156">
        <v>3384246205</v>
      </c>
      <c r="J156">
        <v>2998862610</v>
      </c>
      <c r="K156">
        <v>2446504735</v>
      </c>
      <c r="L156">
        <v>-280141746</v>
      </c>
      <c r="M156">
        <v>6875374</v>
      </c>
      <c r="N156">
        <v>312229297</v>
      </c>
      <c r="O156">
        <v>299030393</v>
      </c>
      <c r="P156">
        <v>128</v>
      </c>
      <c r="Q156" t="s">
        <v>418</v>
      </c>
    </row>
    <row r="157" spans="1:17" x14ac:dyDescent="0.3">
      <c r="A157" t="s">
        <v>17</v>
      </c>
      <c r="B157" t="str">
        <f>"600180"</f>
        <v>600180</v>
      </c>
      <c r="C157" t="s">
        <v>419</v>
      </c>
      <c r="D157" t="s">
        <v>128</v>
      </c>
      <c r="F157">
        <v>6845165882</v>
      </c>
      <c r="G157">
        <v>6118595369</v>
      </c>
      <c r="H157">
        <v>6166503833</v>
      </c>
      <c r="I157">
        <v>5707814995</v>
      </c>
      <c r="J157">
        <v>5230688252</v>
      </c>
      <c r="K157">
        <v>4625849052</v>
      </c>
      <c r="L157">
        <v>4127035939</v>
      </c>
      <c r="M157">
        <v>2159097227</v>
      </c>
      <c r="N157">
        <v>1746211779</v>
      </c>
      <c r="O157">
        <v>1244762074</v>
      </c>
      <c r="P157">
        <v>151</v>
      </c>
      <c r="Q157" t="s">
        <v>420</v>
      </c>
    </row>
    <row r="158" spans="1:17" x14ac:dyDescent="0.3">
      <c r="A158" t="s">
        <v>17</v>
      </c>
      <c r="B158" t="str">
        <f>"600182"</f>
        <v>600182</v>
      </c>
      <c r="C158" t="s">
        <v>421</v>
      </c>
      <c r="D158" t="s">
        <v>422</v>
      </c>
      <c r="F158">
        <v>1024061401</v>
      </c>
      <c r="G158">
        <v>1006618898</v>
      </c>
      <c r="H158">
        <v>973842650</v>
      </c>
      <c r="I158">
        <v>914176894</v>
      </c>
      <c r="J158">
        <v>862053949</v>
      </c>
      <c r="K158">
        <v>953945877</v>
      </c>
      <c r="L158">
        <v>1125787587</v>
      </c>
      <c r="M158">
        <v>1127482938</v>
      </c>
      <c r="N158">
        <v>1013549365</v>
      </c>
      <c r="O158">
        <v>785323988</v>
      </c>
      <c r="P158">
        <v>77</v>
      </c>
      <c r="Q158" t="s">
        <v>423</v>
      </c>
    </row>
    <row r="159" spans="1:17" x14ac:dyDescent="0.3">
      <c r="A159" t="s">
        <v>17</v>
      </c>
      <c r="B159" t="str">
        <f>"600183"</f>
        <v>600183</v>
      </c>
      <c r="C159" t="s">
        <v>424</v>
      </c>
      <c r="D159" t="s">
        <v>425</v>
      </c>
      <c r="F159">
        <v>13096413999</v>
      </c>
      <c r="G159">
        <v>9889074607</v>
      </c>
      <c r="H159">
        <v>8833910412</v>
      </c>
      <c r="I159">
        <v>6108122897</v>
      </c>
      <c r="J159">
        <v>5723414758</v>
      </c>
      <c r="K159">
        <v>5047061303</v>
      </c>
      <c r="L159">
        <v>4677645602</v>
      </c>
      <c r="M159">
        <v>4388083610</v>
      </c>
      <c r="N159">
        <v>4414774665</v>
      </c>
      <c r="O159">
        <v>4061378238</v>
      </c>
      <c r="P159">
        <v>2338</v>
      </c>
      <c r="Q159" t="s">
        <v>426</v>
      </c>
    </row>
    <row r="160" spans="1:17" x14ac:dyDescent="0.3">
      <c r="A160" t="s">
        <v>17</v>
      </c>
      <c r="B160" t="str">
        <f>"600184"</f>
        <v>600184</v>
      </c>
      <c r="C160" t="s">
        <v>427</v>
      </c>
      <c r="D160" t="s">
        <v>428</v>
      </c>
      <c r="F160">
        <v>2445539039</v>
      </c>
      <c r="G160">
        <v>2399619761</v>
      </c>
      <c r="H160">
        <v>2366683041</v>
      </c>
      <c r="I160">
        <v>2321675547</v>
      </c>
      <c r="J160">
        <v>2278204517</v>
      </c>
      <c r="K160">
        <v>2242962024</v>
      </c>
      <c r="L160">
        <v>2243554917</v>
      </c>
      <c r="M160">
        <v>988347348</v>
      </c>
      <c r="N160">
        <v>923724201</v>
      </c>
      <c r="O160">
        <v>1000949005</v>
      </c>
      <c r="P160">
        <v>143</v>
      </c>
      <c r="Q160" t="s">
        <v>429</v>
      </c>
    </row>
    <row r="161" spans="1:17" x14ac:dyDescent="0.3">
      <c r="A161" t="s">
        <v>17</v>
      </c>
      <c r="B161" t="str">
        <f>"600185"</f>
        <v>600185</v>
      </c>
      <c r="C161" t="s">
        <v>430</v>
      </c>
      <c r="D161" t="s">
        <v>104</v>
      </c>
      <c r="F161">
        <v>8880945715</v>
      </c>
      <c r="G161">
        <v>8422808056</v>
      </c>
      <c r="H161">
        <v>7854170313</v>
      </c>
      <c r="I161">
        <v>8118379411</v>
      </c>
      <c r="J161">
        <v>7634464805</v>
      </c>
      <c r="K161">
        <v>7124669080</v>
      </c>
      <c r="L161">
        <v>3727105759</v>
      </c>
      <c r="M161">
        <v>3285870720</v>
      </c>
      <c r="N161">
        <v>2964868066</v>
      </c>
      <c r="O161">
        <v>2542609401</v>
      </c>
      <c r="P161">
        <v>321</v>
      </c>
      <c r="Q161" t="s">
        <v>431</v>
      </c>
    </row>
    <row r="162" spans="1:17" x14ac:dyDescent="0.3">
      <c r="A162" t="s">
        <v>17</v>
      </c>
      <c r="B162" t="str">
        <f>"600186"</f>
        <v>600186</v>
      </c>
      <c r="C162" t="s">
        <v>432</v>
      </c>
      <c r="D162" t="s">
        <v>433</v>
      </c>
      <c r="F162">
        <v>1405829829</v>
      </c>
      <c r="G162">
        <v>385307199</v>
      </c>
      <c r="H162">
        <v>310928628</v>
      </c>
      <c r="I162">
        <v>-298388016</v>
      </c>
      <c r="J162">
        <v>34142349</v>
      </c>
      <c r="K162">
        <v>137575048</v>
      </c>
      <c r="L162">
        <v>91354069</v>
      </c>
      <c r="M162">
        <v>599841094</v>
      </c>
      <c r="N162">
        <v>583787384</v>
      </c>
      <c r="O162">
        <v>906566041</v>
      </c>
      <c r="P162">
        <v>182</v>
      </c>
      <c r="Q162" t="s">
        <v>434</v>
      </c>
    </row>
    <row r="163" spans="1:17" x14ac:dyDescent="0.3">
      <c r="A163" t="s">
        <v>17</v>
      </c>
      <c r="B163" t="str">
        <f>"600187"</f>
        <v>600187</v>
      </c>
      <c r="C163" t="s">
        <v>435</v>
      </c>
      <c r="D163" t="s">
        <v>33</v>
      </c>
      <c r="F163">
        <v>3311090570</v>
      </c>
      <c r="G163">
        <v>3424428542</v>
      </c>
      <c r="H163">
        <v>3423085304</v>
      </c>
      <c r="I163">
        <v>3419421632</v>
      </c>
      <c r="J163">
        <v>3505140382</v>
      </c>
      <c r="K163">
        <v>2562172889</v>
      </c>
      <c r="L163">
        <v>2544564431</v>
      </c>
      <c r="M163">
        <v>2662205467</v>
      </c>
      <c r="N163">
        <v>2511901406</v>
      </c>
      <c r="O163">
        <v>1156673491</v>
      </c>
      <c r="P163">
        <v>116</v>
      </c>
      <c r="Q163" t="s">
        <v>436</v>
      </c>
    </row>
    <row r="164" spans="1:17" x14ac:dyDescent="0.3">
      <c r="A164" t="s">
        <v>17</v>
      </c>
      <c r="B164" t="str">
        <f>"600188"</f>
        <v>600188</v>
      </c>
      <c r="C164" t="s">
        <v>437</v>
      </c>
      <c r="D164" t="s">
        <v>292</v>
      </c>
      <c r="F164">
        <v>60068090000</v>
      </c>
      <c r="G164">
        <v>48900727000</v>
      </c>
      <c r="H164">
        <v>52980229000</v>
      </c>
      <c r="I164">
        <v>50675324000</v>
      </c>
      <c r="J164">
        <v>45689523000</v>
      </c>
      <c r="K164">
        <v>35360867000</v>
      </c>
      <c r="L164">
        <v>33145995000</v>
      </c>
      <c r="M164">
        <v>39198678000</v>
      </c>
      <c r="N164">
        <v>38980486000</v>
      </c>
      <c r="O164">
        <v>44663252220</v>
      </c>
      <c r="P164">
        <v>1939</v>
      </c>
      <c r="Q164" t="s">
        <v>438</v>
      </c>
    </row>
    <row r="165" spans="1:17" x14ac:dyDescent="0.3">
      <c r="A165" t="s">
        <v>17</v>
      </c>
      <c r="B165" t="str">
        <f>"600189"</f>
        <v>600189</v>
      </c>
      <c r="C165" t="s">
        <v>439</v>
      </c>
      <c r="D165" t="s">
        <v>440</v>
      </c>
      <c r="F165">
        <v>1592668814</v>
      </c>
      <c r="G165">
        <v>1487378341</v>
      </c>
      <c r="H165">
        <v>1403260241</v>
      </c>
      <c r="I165">
        <v>2954754609</v>
      </c>
      <c r="J165">
        <v>2507723298</v>
      </c>
      <c r="K165">
        <v>1406200938</v>
      </c>
      <c r="L165">
        <v>1327594968</v>
      </c>
      <c r="M165">
        <v>1313044588</v>
      </c>
      <c r="N165">
        <v>1333838749</v>
      </c>
      <c r="O165">
        <v>1321604492</v>
      </c>
      <c r="P165">
        <v>177</v>
      </c>
      <c r="Q165" t="s">
        <v>441</v>
      </c>
    </row>
    <row r="166" spans="1:17" x14ac:dyDescent="0.3">
      <c r="A166" t="s">
        <v>17</v>
      </c>
      <c r="B166" t="str">
        <f>"600190"</f>
        <v>600190</v>
      </c>
      <c r="C166" t="s">
        <v>442</v>
      </c>
      <c r="D166" t="s">
        <v>51</v>
      </c>
      <c r="F166">
        <v>6561416638</v>
      </c>
      <c r="G166">
        <v>6478198137</v>
      </c>
      <c r="H166">
        <v>6331014109</v>
      </c>
      <c r="I166">
        <v>6226518985</v>
      </c>
      <c r="J166">
        <v>6020915251</v>
      </c>
      <c r="K166">
        <v>5899101183</v>
      </c>
      <c r="L166">
        <v>5883339634</v>
      </c>
      <c r="M166">
        <v>5813932393</v>
      </c>
      <c r="N166">
        <v>5633539147</v>
      </c>
      <c r="O166">
        <v>4087618716</v>
      </c>
      <c r="P166">
        <v>90</v>
      </c>
      <c r="Q166" t="s">
        <v>443</v>
      </c>
    </row>
    <row r="167" spans="1:17" x14ac:dyDescent="0.3">
      <c r="A167" t="s">
        <v>17</v>
      </c>
      <c r="B167" t="str">
        <f>"600191"</f>
        <v>600191</v>
      </c>
      <c r="C167" t="s">
        <v>444</v>
      </c>
      <c r="D167" t="s">
        <v>445</v>
      </c>
      <c r="F167">
        <v>1674252767</v>
      </c>
      <c r="G167">
        <v>1686575499</v>
      </c>
      <c r="H167">
        <v>1887275311</v>
      </c>
      <c r="I167">
        <v>1829095767</v>
      </c>
      <c r="J167">
        <v>2051864419</v>
      </c>
      <c r="K167">
        <v>2015099638</v>
      </c>
      <c r="L167">
        <v>2117541613</v>
      </c>
      <c r="M167">
        <v>1917604684</v>
      </c>
      <c r="N167">
        <v>1665687309</v>
      </c>
      <c r="O167">
        <v>1673811344</v>
      </c>
      <c r="P167">
        <v>121</v>
      </c>
      <c r="Q167" t="s">
        <v>446</v>
      </c>
    </row>
    <row r="168" spans="1:17" x14ac:dyDescent="0.3">
      <c r="A168" t="s">
        <v>17</v>
      </c>
      <c r="B168" t="str">
        <f>"600192"</f>
        <v>600192</v>
      </c>
      <c r="C168" t="s">
        <v>447</v>
      </c>
      <c r="D168" t="s">
        <v>210</v>
      </c>
      <c r="F168">
        <v>1696948912</v>
      </c>
      <c r="G168">
        <v>1813282617</v>
      </c>
      <c r="H168">
        <v>1939439015</v>
      </c>
      <c r="I168">
        <v>1930394139</v>
      </c>
      <c r="J168">
        <v>1952333936</v>
      </c>
      <c r="K168">
        <v>1927258851</v>
      </c>
      <c r="L168">
        <v>1887110905</v>
      </c>
      <c r="M168">
        <v>1854616481</v>
      </c>
      <c r="N168">
        <v>1783654555</v>
      </c>
      <c r="O168">
        <v>1192699879</v>
      </c>
      <c r="P168">
        <v>76</v>
      </c>
      <c r="Q168" t="s">
        <v>448</v>
      </c>
    </row>
    <row r="169" spans="1:17" x14ac:dyDescent="0.3">
      <c r="A169" t="s">
        <v>17</v>
      </c>
      <c r="B169" t="str">
        <f>"600193"</f>
        <v>600193</v>
      </c>
      <c r="C169" t="s">
        <v>449</v>
      </c>
      <c r="D169" t="s">
        <v>450</v>
      </c>
      <c r="F169">
        <v>313113451</v>
      </c>
      <c r="G169">
        <v>291997317</v>
      </c>
      <c r="H169">
        <v>232206960</v>
      </c>
      <c r="I169">
        <v>211088741</v>
      </c>
      <c r="J169">
        <v>181639847</v>
      </c>
      <c r="K169">
        <v>257823853</v>
      </c>
      <c r="L169">
        <v>383993971</v>
      </c>
      <c r="M169">
        <v>335574517</v>
      </c>
      <c r="N169">
        <v>710106553</v>
      </c>
      <c r="O169">
        <v>519477329</v>
      </c>
      <c r="P169">
        <v>57</v>
      </c>
      <c r="Q169" t="s">
        <v>451</v>
      </c>
    </row>
    <row r="170" spans="1:17" x14ac:dyDescent="0.3">
      <c r="A170" t="s">
        <v>17</v>
      </c>
      <c r="B170" t="str">
        <f>"600195"</f>
        <v>600195</v>
      </c>
      <c r="C170" t="s">
        <v>452</v>
      </c>
      <c r="D170" t="s">
        <v>453</v>
      </c>
      <c r="F170">
        <v>4913483598</v>
      </c>
      <c r="G170">
        <v>4482430510</v>
      </c>
      <c r="H170">
        <v>4122633364</v>
      </c>
      <c r="I170">
        <v>3995305427</v>
      </c>
      <c r="J170">
        <v>3680386208</v>
      </c>
      <c r="K170">
        <v>3357573341</v>
      </c>
      <c r="L170">
        <v>3037190514</v>
      </c>
      <c r="M170">
        <v>2850727484</v>
      </c>
      <c r="N170">
        <v>2584016585</v>
      </c>
      <c r="O170">
        <v>1935381188</v>
      </c>
      <c r="P170">
        <v>371</v>
      </c>
      <c r="Q170" t="s">
        <v>454</v>
      </c>
    </row>
    <row r="171" spans="1:17" x14ac:dyDescent="0.3">
      <c r="A171" t="s">
        <v>17</v>
      </c>
      <c r="B171" t="str">
        <f>"600196"</f>
        <v>600196</v>
      </c>
      <c r="C171" t="s">
        <v>455</v>
      </c>
      <c r="D171" t="s">
        <v>143</v>
      </c>
      <c r="F171">
        <v>39191949140</v>
      </c>
      <c r="G171">
        <v>36995533131</v>
      </c>
      <c r="H171">
        <v>31888066063</v>
      </c>
      <c r="I171">
        <v>27977736427</v>
      </c>
      <c r="J171">
        <v>25326868056</v>
      </c>
      <c r="K171">
        <v>22190215546</v>
      </c>
      <c r="L171">
        <v>18181570108</v>
      </c>
      <c r="M171">
        <v>16674848786</v>
      </c>
      <c r="N171">
        <v>15332184483</v>
      </c>
      <c r="O171">
        <v>13558792587</v>
      </c>
      <c r="P171">
        <v>3821</v>
      </c>
      <c r="Q171" t="s">
        <v>456</v>
      </c>
    </row>
    <row r="172" spans="1:17" x14ac:dyDescent="0.3">
      <c r="A172" t="s">
        <v>17</v>
      </c>
      <c r="B172" t="str">
        <f>"600197"</f>
        <v>600197</v>
      </c>
      <c r="C172" t="s">
        <v>457</v>
      </c>
      <c r="D172" t="s">
        <v>458</v>
      </c>
      <c r="F172">
        <v>3639009211</v>
      </c>
      <c r="G172">
        <v>3423812702</v>
      </c>
      <c r="H172">
        <v>2668091640</v>
      </c>
      <c r="I172">
        <v>2485850679</v>
      </c>
      <c r="J172">
        <v>2168101471</v>
      </c>
      <c r="K172">
        <v>1922382095</v>
      </c>
      <c r="L172">
        <v>1821887631</v>
      </c>
      <c r="M172">
        <v>1641338770</v>
      </c>
      <c r="N172">
        <v>1474844227</v>
      </c>
      <c r="O172">
        <v>1299640247</v>
      </c>
      <c r="P172">
        <v>1080</v>
      </c>
      <c r="Q172" t="s">
        <v>459</v>
      </c>
    </row>
    <row r="173" spans="1:17" x14ac:dyDescent="0.3">
      <c r="A173" t="s">
        <v>17</v>
      </c>
      <c r="B173" t="str">
        <f>"600198"</f>
        <v>600198</v>
      </c>
      <c r="C173" t="s">
        <v>460</v>
      </c>
      <c r="D173" t="s">
        <v>461</v>
      </c>
      <c r="F173">
        <v>430803924</v>
      </c>
      <c r="G173">
        <v>-1311873014</v>
      </c>
      <c r="H173">
        <v>33546717</v>
      </c>
      <c r="I173">
        <v>185160787</v>
      </c>
      <c r="J173">
        <v>-382241590</v>
      </c>
      <c r="K173">
        <v>2291750824</v>
      </c>
      <c r="L173">
        <v>4071255425</v>
      </c>
      <c r="M173">
        <v>4030768693</v>
      </c>
      <c r="N173">
        <v>2308303813</v>
      </c>
      <c r="O173">
        <v>2168045656</v>
      </c>
      <c r="P173">
        <v>286</v>
      </c>
      <c r="Q173" t="s">
        <v>462</v>
      </c>
    </row>
    <row r="174" spans="1:17" x14ac:dyDescent="0.3">
      <c r="A174" t="s">
        <v>17</v>
      </c>
      <c r="B174" t="str">
        <f>"600199"</f>
        <v>600199</v>
      </c>
      <c r="C174" t="s">
        <v>463</v>
      </c>
      <c r="D174" t="s">
        <v>458</v>
      </c>
      <c r="F174">
        <v>2735200814</v>
      </c>
      <c r="G174">
        <v>2894156490</v>
      </c>
      <c r="H174">
        <v>2826233275</v>
      </c>
      <c r="I174">
        <v>2341663256</v>
      </c>
      <c r="J174">
        <v>2247445644</v>
      </c>
      <c r="K174">
        <v>2241020688</v>
      </c>
      <c r="L174">
        <v>2241076941</v>
      </c>
      <c r="M174">
        <v>2216158219</v>
      </c>
      <c r="N174">
        <v>2171622932</v>
      </c>
      <c r="O174">
        <v>2205539287</v>
      </c>
      <c r="P174">
        <v>383</v>
      </c>
      <c r="Q174" t="s">
        <v>464</v>
      </c>
    </row>
    <row r="175" spans="1:17" x14ac:dyDescent="0.3">
      <c r="A175" t="s">
        <v>17</v>
      </c>
      <c r="B175" t="str">
        <f>"600200"</f>
        <v>600200</v>
      </c>
      <c r="C175" t="s">
        <v>465</v>
      </c>
      <c r="D175" t="s">
        <v>143</v>
      </c>
      <c r="F175">
        <v>1855013446</v>
      </c>
      <c r="G175">
        <v>1847850316</v>
      </c>
      <c r="H175">
        <v>2358139574</v>
      </c>
      <c r="I175">
        <v>2392144084</v>
      </c>
      <c r="J175">
        <v>2919630588</v>
      </c>
      <c r="K175">
        <v>2939788756</v>
      </c>
      <c r="L175">
        <v>1541871269</v>
      </c>
      <c r="M175">
        <v>990310461</v>
      </c>
      <c r="N175">
        <v>965053266</v>
      </c>
      <c r="O175">
        <v>930108555</v>
      </c>
      <c r="P175">
        <v>143</v>
      </c>
      <c r="Q175" t="s">
        <v>466</v>
      </c>
    </row>
    <row r="176" spans="1:17" x14ac:dyDescent="0.3">
      <c r="A176" t="s">
        <v>17</v>
      </c>
      <c r="B176" t="str">
        <f>"600201"</f>
        <v>600201</v>
      </c>
      <c r="C176" t="s">
        <v>467</v>
      </c>
      <c r="D176" t="s">
        <v>453</v>
      </c>
      <c r="F176">
        <v>5272250740</v>
      </c>
      <c r="G176">
        <v>4981663905</v>
      </c>
      <c r="H176">
        <v>4647275880</v>
      </c>
      <c r="I176">
        <v>5031440737</v>
      </c>
      <c r="J176">
        <v>4470682339</v>
      </c>
      <c r="K176">
        <v>3749384668</v>
      </c>
      <c r="L176">
        <v>2068789590</v>
      </c>
      <c r="M176">
        <v>1632654042</v>
      </c>
      <c r="N176">
        <v>1281791858</v>
      </c>
      <c r="O176">
        <v>1075839185</v>
      </c>
      <c r="P176">
        <v>1764</v>
      </c>
      <c r="Q176" t="s">
        <v>468</v>
      </c>
    </row>
    <row r="177" spans="1:17" x14ac:dyDescent="0.3">
      <c r="A177" t="s">
        <v>17</v>
      </c>
      <c r="B177" t="str">
        <f>"600202"</f>
        <v>600202</v>
      </c>
      <c r="C177" t="s">
        <v>469</v>
      </c>
      <c r="D177" t="s">
        <v>470</v>
      </c>
      <c r="F177">
        <v>772960438</v>
      </c>
      <c r="G177">
        <v>705179564</v>
      </c>
      <c r="H177">
        <v>669444769</v>
      </c>
      <c r="I177">
        <v>616504523</v>
      </c>
      <c r="J177">
        <v>595696870</v>
      </c>
      <c r="K177">
        <v>683186791</v>
      </c>
      <c r="L177">
        <v>862943939</v>
      </c>
      <c r="M177">
        <v>856087317</v>
      </c>
      <c r="N177">
        <v>833522613</v>
      </c>
      <c r="O177">
        <v>927908399</v>
      </c>
      <c r="P177">
        <v>76</v>
      </c>
      <c r="Q177" t="s">
        <v>471</v>
      </c>
    </row>
    <row r="178" spans="1:17" x14ac:dyDescent="0.3">
      <c r="A178" t="s">
        <v>17</v>
      </c>
      <c r="B178" t="str">
        <f>"600203"</f>
        <v>600203</v>
      </c>
      <c r="C178" t="s">
        <v>472</v>
      </c>
      <c r="D178" t="s">
        <v>313</v>
      </c>
      <c r="F178">
        <v>2910112158</v>
      </c>
      <c r="G178">
        <v>2109242146</v>
      </c>
      <c r="H178">
        <v>2103945320</v>
      </c>
      <c r="I178">
        <v>2052298145</v>
      </c>
      <c r="J178">
        <v>2052939409</v>
      </c>
      <c r="K178">
        <v>2222971427</v>
      </c>
      <c r="L178">
        <v>1644158084</v>
      </c>
      <c r="M178">
        <v>1477487188</v>
      </c>
      <c r="N178">
        <v>482733160</v>
      </c>
      <c r="O178">
        <v>432235931</v>
      </c>
      <c r="P178">
        <v>143</v>
      </c>
      <c r="Q178" t="s">
        <v>473</v>
      </c>
    </row>
    <row r="179" spans="1:17" x14ac:dyDescent="0.3">
      <c r="A179" t="s">
        <v>17</v>
      </c>
      <c r="B179" t="str">
        <f>"600206"</f>
        <v>600206</v>
      </c>
      <c r="C179" t="s">
        <v>474</v>
      </c>
      <c r="D179" t="s">
        <v>475</v>
      </c>
      <c r="F179">
        <v>3408493631</v>
      </c>
      <c r="G179">
        <v>3250724911</v>
      </c>
      <c r="H179">
        <v>3062124572</v>
      </c>
      <c r="I179">
        <v>2945835054</v>
      </c>
      <c r="J179">
        <v>2853636109</v>
      </c>
      <c r="K179">
        <v>2814522201</v>
      </c>
      <c r="L179">
        <v>2760705796</v>
      </c>
      <c r="M179">
        <v>2729824744</v>
      </c>
      <c r="N179">
        <v>1216392419</v>
      </c>
      <c r="O179">
        <v>642454913</v>
      </c>
      <c r="P179">
        <v>421</v>
      </c>
      <c r="Q179" t="s">
        <v>476</v>
      </c>
    </row>
    <row r="180" spans="1:17" x14ac:dyDescent="0.3">
      <c r="A180" t="s">
        <v>17</v>
      </c>
      <c r="B180" t="str">
        <f>"600207"</f>
        <v>600207</v>
      </c>
      <c r="C180" t="s">
        <v>477</v>
      </c>
      <c r="D180" t="s">
        <v>478</v>
      </c>
      <c r="F180">
        <v>1883068818</v>
      </c>
      <c r="G180">
        <v>1705545799</v>
      </c>
      <c r="H180">
        <v>1593765722</v>
      </c>
      <c r="I180">
        <v>1573208340</v>
      </c>
      <c r="J180">
        <v>1905125649</v>
      </c>
      <c r="K180">
        <v>1897421887</v>
      </c>
      <c r="L180">
        <v>792883790</v>
      </c>
      <c r="M180">
        <v>773741296</v>
      </c>
      <c r="N180">
        <v>1041306123</v>
      </c>
      <c r="O180">
        <v>36182046</v>
      </c>
      <c r="P180">
        <v>146</v>
      </c>
      <c r="Q180" t="s">
        <v>479</v>
      </c>
    </row>
    <row r="181" spans="1:17" x14ac:dyDescent="0.3">
      <c r="A181" t="s">
        <v>17</v>
      </c>
      <c r="B181" t="str">
        <f>"600208"</f>
        <v>600208</v>
      </c>
      <c r="C181" t="s">
        <v>480</v>
      </c>
      <c r="D181" t="s">
        <v>104</v>
      </c>
      <c r="F181">
        <v>40042178951</v>
      </c>
      <c r="G181">
        <v>37837201119</v>
      </c>
      <c r="H181">
        <v>34434911379</v>
      </c>
      <c r="I181">
        <v>33619195378</v>
      </c>
      <c r="J181">
        <v>32206639464</v>
      </c>
      <c r="K181">
        <v>29053701445</v>
      </c>
      <c r="L181">
        <v>24123985345</v>
      </c>
      <c r="M181">
        <v>19220774486</v>
      </c>
      <c r="N181">
        <v>12900222267</v>
      </c>
      <c r="O181">
        <v>12572878927</v>
      </c>
      <c r="P181">
        <v>331</v>
      </c>
      <c r="Q181" t="s">
        <v>481</v>
      </c>
    </row>
    <row r="182" spans="1:17" x14ac:dyDescent="0.3">
      <c r="A182" t="s">
        <v>17</v>
      </c>
      <c r="B182" t="str">
        <f>"600209"</f>
        <v>600209</v>
      </c>
      <c r="C182" t="s">
        <v>482</v>
      </c>
      <c r="D182" t="s">
        <v>450</v>
      </c>
      <c r="F182">
        <v>339193860</v>
      </c>
      <c r="G182">
        <v>401165264</v>
      </c>
      <c r="H182">
        <v>514819320</v>
      </c>
      <c r="I182">
        <v>626811678</v>
      </c>
      <c r="J182">
        <v>618537281</v>
      </c>
      <c r="K182">
        <v>664145445</v>
      </c>
      <c r="L182">
        <v>710841749</v>
      </c>
      <c r="M182">
        <v>721785999</v>
      </c>
      <c r="N182">
        <v>659201879</v>
      </c>
      <c r="O182">
        <v>685655346</v>
      </c>
      <c r="P182">
        <v>49</v>
      </c>
      <c r="Q182" t="s">
        <v>483</v>
      </c>
    </row>
    <row r="183" spans="1:17" x14ac:dyDescent="0.3">
      <c r="A183" t="s">
        <v>17</v>
      </c>
      <c r="B183" t="str">
        <f>"600210"</f>
        <v>600210</v>
      </c>
      <c r="C183" t="s">
        <v>484</v>
      </c>
      <c r="D183" t="s">
        <v>485</v>
      </c>
      <c r="F183">
        <v>5544421759</v>
      </c>
      <c r="G183">
        <v>5312743627</v>
      </c>
      <c r="H183">
        <v>4917669704</v>
      </c>
      <c r="I183">
        <v>4469125497</v>
      </c>
      <c r="J183">
        <v>4264144354</v>
      </c>
      <c r="K183">
        <v>4258233660</v>
      </c>
      <c r="L183">
        <v>4077902128</v>
      </c>
      <c r="M183">
        <v>3661779001</v>
      </c>
      <c r="N183">
        <v>3656405967</v>
      </c>
      <c r="O183">
        <v>3622015613</v>
      </c>
      <c r="P183">
        <v>192</v>
      </c>
      <c r="Q183" t="s">
        <v>486</v>
      </c>
    </row>
    <row r="184" spans="1:17" x14ac:dyDescent="0.3">
      <c r="A184" t="s">
        <v>17</v>
      </c>
      <c r="B184" t="str">
        <f>"600211"</f>
        <v>600211</v>
      </c>
      <c r="C184" t="s">
        <v>487</v>
      </c>
      <c r="D184" t="s">
        <v>188</v>
      </c>
      <c r="F184">
        <v>2630358935</v>
      </c>
      <c r="G184">
        <v>2576085001</v>
      </c>
      <c r="H184">
        <v>2437060014</v>
      </c>
      <c r="I184">
        <v>2252475738</v>
      </c>
      <c r="J184">
        <v>2043202458</v>
      </c>
      <c r="K184">
        <v>660634560</v>
      </c>
      <c r="L184">
        <v>489452713</v>
      </c>
      <c r="M184">
        <v>404353468</v>
      </c>
      <c r="N184">
        <v>388603393</v>
      </c>
      <c r="O184">
        <v>371641442</v>
      </c>
      <c r="P184">
        <v>530</v>
      </c>
      <c r="Q184" t="s">
        <v>488</v>
      </c>
    </row>
    <row r="185" spans="1:17" x14ac:dyDescent="0.3">
      <c r="A185" t="s">
        <v>17</v>
      </c>
      <c r="B185" t="str">
        <f>"600212"</f>
        <v>600212</v>
      </c>
      <c r="C185" t="s">
        <v>489</v>
      </c>
      <c r="D185" t="s">
        <v>110</v>
      </c>
      <c r="F185">
        <v>233092147</v>
      </c>
      <c r="G185">
        <v>252445389</v>
      </c>
      <c r="H185">
        <v>232360667</v>
      </c>
      <c r="I185">
        <v>583506147</v>
      </c>
      <c r="J185">
        <v>755020186</v>
      </c>
      <c r="K185">
        <v>741823118</v>
      </c>
      <c r="L185">
        <v>670378787</v>
      </c>
      <c r="M185">
        <v>1009756648</v>
      </c>
      <c r="N185">
        <v>1025887172</v>
      </c>
      <c r="O185">
        <v>1004593474</v>
      </c>
      <c r="P185">
        <v>56</v>
      </c>
      <c r="Q185" t="s">
        <v>490</v>
      </c>
    </row>
    <row r="186" spans="1:17" x14ac:dyDescent="0.3">
      <c r="A186" t="s">
        <v>17</v>
      </c>
      <c r="B186" t="str">
        <f>"600213"</f>
        <v>600213</v>
      </c>
      <c r="C186" t="s">
        <v>491</v>
      </c>
      <c r="D186" t="s">
        <v>153</v>
      </c>
      <c r="F186">
        <v>19841663</v>
      </c>
      <c r="G186">
        <v>16914257</v>
      </c>
      <c r="H186">
        <v>173926368</v>
      </c>
      <c r="I186">
        <v>188142384</v>
      </c>
      <c r="J186">
        <v>174664887</v>
      </c>
      <c r="K186">
        <v>129345745</v>
      </c>
      <c r="L186">
        <v>65905818</v>
      </c>
      <c r="M186">
        <v>45041527</v>
      </c>
      <c r="N186">
        <v>190415115</v>
      </c>
      <c r="O186">
        <v>185091283</v>
      </c>
      <c r="P186">
        <v>109</v>
      </c>
      <c r="Q186" t="s">
        <v>492</v>
      </c>
    </row>
    <row r="187" spans="1:17" x14ac:dyDescent="0.3">
      <c r="A187" t="s">
        <v>17</v>
      </c>
      <c r="B187" t="str">
        <f>"600215"</f>
        <v>600215</v>
      </c>
      <c r="C187" t="s">
        <v>493</v>
      </c>
      <c r="D187" t="s">
        <v>104</v>
      </c>
      <c r="F187">
        <v>1396070487</v>
      </c>
      <c r="G187">
        <v>2481663303</v>
      </c>
      <c r="H187">
        <v>2572619691</v>
      </c>
      <c r="I187">
        <v>2526469228</v>
      </c>
      <c r="J187">
        <v>2431549714</v>
      </c>
      <c r="K187">
        <v>2424843042</v>
      </c>
      <c r="L187">
        <v>2418521464</v>
      </c>
      <c r="M187">
        <v>2416647460</v>
      </c>
      <c r="N187">
        <v>2409821823</v>
      </c>
      <c r="O187">
        <v>2406343505</v>
      </c>
      <c r="P187">
        <v>77</v>
      </c>
      <c r="Q187" t="s">
        <v>494</v>
      </c>
    </row>
    <row r="188" spans="1:17" x14ac:dyDescent="0.3">
      <c r="A188" t="s">
        <v>17</v>
      </c>
      <c r="B188" t="str">
        <f>"600216"</f>
        <v>600216</v>
      </c>
      <c r="C188" t="s">
        <v>495</v>
      </c>
      <c r="D188" t="s">
        <v>496</v>
      </c>
      <c r="F188">
        <v>8779106085</v>
      </c>
      <c r="G188">
        <v>7674560933</v>
      </c>
      <c r="H188">
        <v>7860815574</v>
      </c>
      <c r="I188">
        <v>7646790331</v>
      </c>
      <c r="J188">
        <v>7289230174</v>
      </c>
      <c r="K188">
        <v>6978220941</v>
      </c>
      <c r="L188">
        <v>6595317503</v>
      </c>
      <c r="M188">
        <v>6538251189</v>
      </c>
      <c r="N188">
        <v>6458132591</v>
      </c>
      <c r="O188">
        <v>6186443056</v>
      </c>
      <c r="P188">
        <v>461</v>
      </c>
      <c r="Q188" t="s">
        <v>497</v>
      </c>
    </row>
    <row r="189" spans="1:17" x14ac:dyDescent="0.3">
      <c r="A189" t="s">
        <v>17</v>
      </c>
      <c r="B189" t="str">
        <f>"600217"</f>
        <v>600217</v>
      </c>
      <c r="C189" t="s">
        <v>498</v>
      </c>
      <c r="D189" t="s">
        <v>499</v>
      </c>
      <c r="F189">
        <v>2414916794</v>
      </c>
      <c r="G189">
        <v>2201646988</v>
      </c>
      <c r="H189">
        <v>1805952633</v>
      </c>
      <c r="I189">
        <v>1417301158</v>
      </c>
      <c r="J189">
        <v>1682015115</v>
      </c>
      <c r="K189">
        <v>1025674401</v>
      </c>
      <c r="L189">
        <v>876118667</v>
      </c>
      <c r="M189">
        <v>-209804249</v>
      </c>
      <c r="N189">
        <v>40495357</v>
      </c>
      <c r="O189">
        <v>122279663</v>
      </c>
      <c r="P189">
        <v>439</v>
      </c>
      <c r="Q189" t="s">
        <v>500</v>
      </c>
    </row>
    <row r="190" spans="1:17" x14ac:dyDescent="0.3">
      <c r="A190" t="s">
        <v>17</v>
      </c>
      <c r="B190" t="str">
        <f>"600218"</f>
        <v>600218</v>
      </c>
      <c r="C190" t="s">
        <v>501</v>
      </c>
      <c r="D190" t="s">
        <v>348</v>
      </c>
      <c r="F190">
        <v>3041387922</v>
      </c>
      <c r="G190">
        <v>2182460463</v>
      </c>
      <c r="H190">
        <v>2034793677</v>
      </c>
      <c r="I190">
        <v>1937540172</v>
      </c>
      <c r="J190">
        <v>1916138461</v>
      </c>
      <c r="K190">
        <v>1876800108</v>
      </c>
      <c r="L190">
        <v>1806660419</v>
      </c>
      <c r="M190">
        <v>1107118218</v>
      </c>
      <c r="N190">
        <v>1063801298</v>
      </c>
      <c r="O190">
        <v>1032570393</v>
      </c>
      <c r="P190">
        <v>166</v>
      </c>
      <c r="Q190" t="s">
        <v>502</v>
      </c>
    </row>
    <row r="191" spans="1:17" x14ac:dyDescent="0.3">
      <c r="A191" t="s">
        <v>17</v>
      </c>
      <c r="B191" t="str">
        <f>"600219"</f>
        <v>600219</v>
      </c>
      <c r="C191" t="s">
        <v>503</v>
      </c>
      <c r="D191" t="s">
        <v>504</v>
      </c>
      <c r="F191">
        <v>42866695078</v>
      </c>
      <c r="G191">
        <v>40385128164</v>
      </c>
      <c r="H191">
        <v>39309110375</v>
      </c>
      <c r="I191">
        <v>38227733370</v>
      </c>
      <c r="J191">
        <v>32744304652</v>
      </c>
      <c r="K191">
        <v>31675030127</v>
      </c>
      <c r="L191">
        <v>23705179800</v>
      </c>
      <c r="M191">
        <v>18107961118</v>
      </c>
      <c r="N191">
        <v>17306698561</v>
      </c>
      <c r="O191">
        <v>16753137264</v>
      </c>
      <c r="P191">
        <v>609</v>
      </c>
      <c r="Q191" t="s">
        <v>505</v>
      </c>
    </row>
    <row r="192" spans="1:17" x14ac:dyDescent="0.3">
      <c r="A192" t="s">
        <v>17</v>
      </c>
      <c r="B192" t="str">
        <f>"600220"</f>
        <v>600220</v>
      </c>
      <c r="C192" t="s">
        <v>506</v>
      </c>
      <c r="D192" t="s">
        <v>366</v>
      </c>
      <c r="F192">
        <v>2070367234</v>
      </c>
      <c r="G192">
        <v>2042140760</v>
      </c>
      <c r="H192">
        <v>2179676800</v>
      </c>
      <c r="I192">
        <v>2191689726</v>
      </c>
      <c r="J192">
        <v>2071483168</v>
      </c>
      <c r="K192">
        <v>1953854542</v>
      </c>
      <c r="L192">
        <v>1800962284</v>
      </c>
      <c r="M192">
        <v>1689708125</v>
      </c>
      <c r="N192">
        <v>1628183019</v>
      </c>
      <c r="O192">
        <v>1521565760</v>
      </c>
      <c r="P192">
        <v>118</v>
      </c>
      <c r="Q192" t="s">
        <v>507</v>
      </c>
    </row>
    <row r="193" spans="1:17" x14ac:dyDescent="0.3">
      <c r="A193" t="s">
        <v>17</v>
      </c>
      <c r="B193" t="str">
        <f>"600221"</f>
        <v>600221</v>
      </c>
      <c r="C193" t="s">
        <v>508</v>
      </c>
      <c r="D193" t="s">
        <v>77</v>
      </c>
      <c r="F193">
        <v>8489821000</v>
      </c>
      <c r="G193">
        <v>-28371512000</v>
      </c>
      <c r="H193">
        <v>46997135000</v>
      </c>
      <c r="I193">
        <v>48419609000</v>
      </c>
      <c r="J193">
        <v>53389579000</v>
      </c>
      <c r="K193">
        <v>50874289000</v>
      </c>
      <c r="L193">
        <v>30981556000</v>
      </c>
      <c r="M193">
        <v>28651635000</v>
      </c>
      <c r="N193">
        <v>25409098000</v>
      </c>
      <c r="O193">
        <v>23797573000</v>
      </c>
      <c r="P193">
        <v>427</v>
      </c>
      <c r="Q193" t="s">
        <v>509</v>
      </c>
    </row>
    <row r="194" spans="1:17" x14ac:dyDescent="0.3">
      <c r="A194" t="s">
        <v>17</v>
      </c>
      <c r="B194" t="str">
        <f>"600222"</f>
        <v>600222</v>
      </c>
      <c r="C194" t="s">
        <v>510</v>
      </c>
      <c r="D194" t="s">
        <v>188</v>
      </c>
      <c r="F194">
        <v>1660509428</v>
      </c>
      <c r="G194">
        <v>1453415200</v>
      </c>
      <c r="H194">
        <v>1309258741</v>
      </c>
      <c r="I194">
        <v>1388624666</v>
      </c>
      <c r="J194">
        <v>1489800429</v>
      </c>
      <c r="K194">
        <v>1484744382</v>
      </c>
      <c r="L194">
        <v>1480728795</v>
      </c>
      <c r="M194">
        <v>1064430203</v>
      </c>
      <c r="N194">
        <v>1044810278</v>
      </c>
      <c r="O194">
        <v>625364776</v>
      </c>
      <c r="P194">
        <v>132</v>
      </c>
      <c r="Q194" t="s">
        <v>511</v>
      </c>
    </row>
    <row r="195" spans="1:17" x14ac:dyDescent="0.3">
      <c r="A195" t="s">
        <v>17</v>
      </c>
      <c r="B195" t="str">
        <f>"600223"</f>
        <v>600223</v>
      </c>
      <c r="C195" t="s">
        <v>512</v>
      </c>
      <c r="D195" t="s">
        <v>104</v>
      </c>
      <c r="F195">
        <v>3827128836</v>
      </c>
      <c r="G195">
        <v>3180050127</v>
      </c>
      <c r="H195">
        <v>2742146889</v>
      </c>
      <c r="I195">
        <v>2437188672</v>
      </c>
      <c r="J195">
        <v>2331537872</v>
      </c>
      <c r="K195">
        <v>2226176651</v>
      </c>
      <c r="L195">
        <v>2136190027</v>
      </c>
      <c r="M195">
        <v>2023698273</v>
      </c>
      <c r="N195">
        <v>1826281690</v>
      </c>
      <c r="O195">
        <v>1562255257</v>
      </c>
      <c r="P195">
        <v>361</v>
      </c>
      <c r="Q195" t="s">
        <v>513</v>
      </c>
    </row>
    <row r="196" spans="1:17" x14ac:dyDescent="0.3">
      <c r="A196" t="s">
        <v>17</v>
      </c>
      <c r="B196" t="str">
        <f>"600225"</f>
        <v>600225</v>
      </c>
      <c r="C196" t="s">
        <v>514</v>
      </c>
      <c r="D196" t="s">
        <v>104</v>
      </c>
      <c r="F196">
        <v>1486607704</v>
      </c>
      <c r="G196">
        <v>-3602816207</v>
      </c>
      <c r="H196">
        <v>316257120</v>
      </c>
      <c r="I196">
        <v>1237048023</v>
      </c>
      <c r="J196">
        <v>1624795070</v>
      </c>
      <c r="K196">
        <v>1429686668</v>
      </c>
      <c r="L196">
        <v>1884686871</v>
      </c>
      <c r="M196">
        <v>943631119</v>
      </c>
      <c r="N196">
        <v>929841334</v>
      </c>
      <c r="O196">
        <v>1205938570</v>
      </c>
      <c r="P196">
        <v>110</v>
      </c>
      <c r="Q196" t="s">
        <v>515</v>
      </c>
    </row>
    <row r="197" spans="1:17" x14ac:dyDescent="0.3">
      <c r="A197" t="s">
        <v>17</v>
      </c>
      <c r="B197" t="str">
        <f>"600226"</f>
        <v>600226</v>
      </c>
      <c r="C197" t="s">
        <v>516</v>
      </c>
      <c r="D197" t="s">
        <v>517</v>
      </c>
      <c r="F197">
        <v>2659499360</v>
      </c>
      <c r="G197">
        <v>2632006533</v>
      </c>
      <c r="H197">
        <v>3546130674</v>
      </c>
      <c r="I197">
        <v>4337402757</v>
      </c>
      <c r="J197">
        <v>4204504971</v>
      </c>
      <c r="K197">
        <v>1700568528</v>
      </c>
      <c r="L197">
        <v>1409126450</v>
      </c>
      <c r="M197">
        <v>1425650191</v>
      </c>
      <c r="N197">
        <v>1354661113</v>
      </c>
      <c r="O197">
        <v>1346321253</v>
      </c>
      <c r="P197">
        <v>109</v>
      </c>
      <c r="Q197" t="s">
        <v>518</v>
      </c>
    </row>
    <row r="198" spans="1:17" x14ac:dyDescent="0.3">
      <c r="A198" t="s">
        <v>17</v>
      </c>
      <c r="B198" t="str">
        <f>"600227"</f>
        <v>600227</v>
      </c>
      <c r="C198" t="s">
        <v>519</v>
      </c>
      <c r="D198" t="s">
        <v>143</v>
      </c>
      <c r="F198">
        <v>3165129157</v>
      </c>
      <c r="G198">
        <v>3220207150</v>
      </c>
      <c r="H198">
        <v>3164576125</v>
      </c>
      <c r="I198">
        <v>4859920643</v>
      </c>
      <c r="J198">
        <v>4637797939</v>
      </c>
      <c r="K198">
        <v>4611986669</v>
      </c>
      <c r="L198">
        <v>2874962445</v>
      </c>
      <c r="M198">
        <v>2850186034</v>
      </c>
      <c r="N198">
        <v>3457848155</v>
      </c>
      <c r="O198">
        <v>3454586250</v>
      </c>
      <c r="P198">
        <v>114</v>
      </c>
      <c r="Q198" t="s">
        <v>520</v>
      </c>
    </row>
    <row r="199" spans="1:17" x14ac:dyDescent="0.3">
      <c r="A199" t="s">
        <v>17</v>
      </c>
      <c r="B199" t="str">
        <f>"600228"</f>
        <v>600228</v>
      </c>
      <c r="C199" t="s">
        <v>521</v>
      </c>
      <c r="D199" t="s">
        <v>522</v>
      </c>
      <c r="F199">
        <v>877992607</v>
      </c>
      <c r="G199">
        <v>26582175</v>
      </c>
      <c r="H199">
        <v>55199781</v>
      </c>
      <c r="I199">
        <v>61209290</v>
      </c>
      <c r="J199">
        <v>52437686</v>
      </c>
      <c r="K199">
        <v>24994819</v>
      </c>
      <c r="L199">
        <v>58544761</v>
      </c>
      <c r="M199">
        <v>80919719</v>
      </c>
      <c r="N199">
        <v>-115573607</v>
      </c>
      <c r="O199">
        <v>24835320</v>
      </c>
      <c r="P199">
        <v>68</v>
      </c>
      <c r="Q199" t="s">
        <v>523</v>
      </c>
    </row>
    <row r="200" spans="1:17" x14ac:dyDescent="0.3">
      <c r="A200" t="s">
        <v>17</v>
      </c>
      <c r="B200" t="str">
        <f>"600229"</f>
        <v>600229</v>
      </c>
      <c r="C200" t="s">
        <v>524</v>
      </c>
      <c r="D200" t="s">
        <v>525</v>
      </c>
      <c r="F200">
        <v>2924157582</v>
      </c>
      <c r="G200">
        <v>2885350527</v>
      </c>
      <c r="H200">
        <v>2785577532</v>
      </c>
      <c r="I200">
        <v>2560076606</v>
      </c>
      <c r="J200">
        <v>2317385786</v>
      </c>
      <c r="K200">
        <v>2116329047</v>
      </c>
      <c r="L200">
        <v>1915448688</v>
      </c>
      <c r="M200">
        <v>1153375113</v>
      </c>
      <c r="N200">
        <v>1074519731</v>
      </c>
      <c r="O200">
        <v>1050709927</v>
      </c>
      <c r="P200">
        <v>174</v>
      </c>
      <c r="Q200" t="s">
        <v>526</v>
      </c>
    </row>
    <row r="201" spans="1:17" x14ac:dyDescent="0.3">
      <c r="A201" t="s">
        <v>17</v>
      </c>
      <c r="B201" t="str">
        <f>"600230"</f>
        <v>600230</v>
      </c>
      <c r="C201" t="s">
        <v>527</v>
      </c>
      <c r="D201" t="s">
        <v>528</v>
      </c>
      <c r="F201">
        <v>3785909134</v>
      </c>
      <c r="G201">
        <v>3573386052</v>
      </c>
      <c r="H201">
        <v>3541898915</v>
      </c>
      <c r="I201">
        <v>3587972710</v>
      </c>
      <c r="J201">
        <v>2743652692</v>
      </c>
      <c r="K201">
        <v>1508170937</v>
      </c>
      <c r="L201">
        <v>1131859017</v>
      </c>
      <c r="M201">
        <v>1727415081</v>
      </c>
      <c r="N201">
        <v>1606190916</v>
      </c>
      <c r="O201">
        <v>1516586381</v>
      </c>
      <c r="P201">
        <v>382</v>
      </c>
      <c r="Q201" t="s">
        <v>529</v>
      </c>
    </row>
    <row r="202" spans="1:17" x14ac:dyDescent="0.3">
      <c r="A202" t="s">
        <v>17</v>
      </c>
      <c r="B202" t="str">
        <f>"600231"</f>
        <v>600231</v>
      </c>
      <c r="C202" t="s">
        <v>530</v>
      </c>
      <c r="D202" t="s">
        <v>531</v>
      </c>
      <c r="F202">
        <v>9208561397</v>
      </c>
      <c r="G202">
        <v>8189966108</v>
      </c>
      <c r="H202">
        <v>7749388229</v>
      </c>
      <c r="I202">
        <v>7445760160</v>
      </c>
      <c r="J202">
        <v>6386646718</v>
      </c>
      <c r="K202">
        <v>5222467023</v>
      </c>
      <c r="L202">
        <v>5103416306</v>
      </c>
      <c r="M202">
        <v>3085839471</v>
      </c>
      <c r="N202">
        <v>3826678507</v>
      </c>
      <c r="O202">
        <v>3818773700</v>
      </c>
      <c r="P202">
        <v>187</v>
      </c>
      <c r="Q202" t="s">
        <v>532</v>
      </c>
    </row>
    <row r="203" spans="1:17" x14ac:dyDescent="0.3">
      <c r="A203" t="s">
        <v>17</v>
      </c>
      <c r="B203" t="str">
        <f>"600232"</f>
        <v>600232</v>
      </c>
      <c r="C203" t="s">
        <v>533</v>
      </c>
      <c r="D203" t="s">
        <v>534</v>
      </c>
      <c r="F203">
        <v>1044901796</v>
      </c>
      <c r="G203">
        <v>1067232675</v>
      </c>
      <c r="H203">
        <v>1107061075</v>
      </c>
      <c r="I203">
        <v>1136292393</v>
      </c>
      <c r="J203">
        <v>1164861248</v>
      </c>
      <c r="K203">
        <v>1176081671</v>
      </c>
      <c r="L203">
        <v>1176343874</v>
      </c>
      <c r="M203">
        <v>1175755628</v>
      </c>
      <c r="N203">
        <v>1179262362</v>
      </c>
      <c r="O203">
        <v>1196914724</v>
      </c>
      <c r="P203">
        <v>89</v>
      </c>
      <c r="Q203" t="s">
        <v>535</v>
      </c>
    </row>
    <row r="204" spans="1:17" x14ac:dyDescent="0.3">
      <c r="A204" t="s">
        <v>17</v>
      </c>
      <c r="B204" t="str">
        <f>"600233"</f>
        <v>600233</v>
      </c>
      <c r="C204" t="s">
        <v>536</v>
      </c>
      <c r="D204" t="s">
        <v>537</v>
      </c>
      <c r="F204">
        <v>22603547417</v>
      </c>
      <c r="G204">
        <v>17129493978</v>
      </c>
      <c r="H204">
        <v>12262829525</v>
      </c>
      <c r="I204">
        <v>10848992432</v>
      </c>
      <c r="J204">
        <v>9219163818</v>
      </c>
      <c r="K204">
        <v>8205279539</v>
      </c>
      <c r="L204">
        <v>1069960645</v>
      </c>
      <c r="M204">
        <v>1041030742</v>
      </c>
      <c r="N204">
        <v>1020805253</v>
      </c>
      <c r="O204">
        <v>991526165</v>
      </c>
      <c r="P204">
        <v>733</v>
      </c>
      <c r="Q204" t="s">
        <v>538</v>
      </c>
    </row>
    <row r="205" spans="1:17" x14ac:dyDescent="0.3">
      <c r="A205" t="s">
        <v>17</v>
      </c>
      <c r="B205" t="str">
        <f>"600234"</f>
        <v>600234</v>
      </c>
      <c r="C205" t="s">
        <v>539</v>
      </c>
      <c r="D205" t="s">
        <v>110</v>
      </c>
      <c r="F205">
        <v>615014386</v>
      </c>
      <c r="G205">
        <v>129789751</v>
      </c>
      <c r="H205">
        <v>73485719</v>
      </c>
      <c r="I205">
        <v>54059847</v>
      </c>
      <c r="J205">
        <v>71017380</v>
      </c>
      <c r="K205">
        <v>96617083</v>
      </c>
      <c r="L205">
        <v>46819700</v>
      </c>
      <c r="M205">
        <v>62928604</v>
      </c>
      <c r="N205">
        <v>44063787</v>
      </c>
      <c r="O205">
        <v>-127232909</v>
      </c>
      <c r="P205">
        <v>59</v>
      </c>
      <c r="Q205" t="s">
        <v>540</v>
      </c>
    </row>
    <row r="206" spans="1:17" x14ac:dyDescent="0.3">
      <c r="A206" t="s">
        <v>17</v>
      </c>
      <c r="B206" t="str">
        <f>"600235"</f>
        <v>600235</v>
      </c>
      <c r="C206" t="s">
        <v>541</v>
      </c>
      <c r="D206" t="s">
        <v>244</v>
      </c>
      <c r="F206">
        <v>1397358141</v>
      </c>
      <c r="G206">
        <v>1344329209</v>
      </c>
      <c r="H206">
        <v>1297759267</v>
      </c>
      <c r="I206">
        <v>1286841924</v>
      </c>
      <c r="J206">
        <v>1279065078</v>
      </c>
      <c r="K206">
        <v>1260395971</v>
      </c>
      <c r="L206">
        <v>1247631875</v>
      </c>
      <c r="M206">
        <v>1408089952</v>
      </c>
      <c r="N206">
        <v>1403837994</v>
      </c>
      <c r="O206">
        <v>952151780</v>
      </c>
      <c r="P206">
        <v>71</v>
      </c>
      <c r="Q206" t="s">
        <v>542</v>
      </c>
    </row>
    <row r="207" spans="1:17" x14ac:dyDescent="0.3">
      <c r="A207" t="s">
        <v>17</v>
      </c>
      <c r="B207" t="str">
        <f>"600236"</f>
        <v>600236</v>
      </c>
      <c r="C207" t="s">
        <v>543</v>
      </c>
      <c r="D207" t="s">
        <v>66</v>
      </c>
      <c r="F207">
        <v>14780307109</v>
      </c>
      <c r="G207">
        <v>15299754737</v>
      </c>
      <c r="H207">
        <v>14513388669</v>
      </c>
      <c r="I207">
        <v>14076719885</v>
      </c>
      <c r="J207">
        <v>14887717981</v>
      </c>
      <c r="K207">
        <v>13174645027</v>
      </c>
      <c r="L207">
        <v>12551372957</v>
      </c>
      <c r="M207">
        <v>3913239583</v>
      </c>
      <c r="N207">
        <v>3467085131</v>
      </c>
      <c r="O207">
        <v>3332965535</v>
      </c>
      <c r="P207">
        <v>651</v>
      </c>
      <c r="Q207" t="s">
        <v>544</v>
      </c>
    </row>
    <row r="208" spans="1:17" x14ac:dyDescent="0.3">
      <c r="A208" t="s">
        <v>17</v>
      </c>
      <c r="B208" t="str">
        <f>"600237"</f>
        <v>600237</v>
      </c>
      <c r="C208" t="s">
        <v>545</v>
      </c>
      <c r="D208" t="s">
        <v>546</v>
      </c>
      <c r="F208">
        <v>1150233594</v>
      </c>
      <c r="G208">
        <v>1104316409</v>
      </c>
      <c r="H208">
        <v>1096407230</v>
      </c>
      <c r="I208">
        <v>1244996251</v>
      </c>
      <c r="J208">
        <v>1235466141</v>
      </c>
      <c r="K208">
        <v>1221424742</v>
      </c>
      <c r="L208">
        <v>1431163250</v>
      </c>
      <c r="M208">
        <v>1417155126</v>
      </c>
      <c r="N208">
        <v>1506376560</v>
      </c>
      <c r="O208">
        <v>787826695</v>
      </c>
      <c r="P208">
        <v>152</v>
      </c>
      <c r="Q208" t="s">
        <v>547</v>
      </c>
    </row>
    <row r="209" spans="1:17" x14ac:dyDescent="0.3">
      <c r="A209" t="s">
        <v>17</v>
      </c>
      <c r="B209" t="str">
        <f>"600238"</f>
        <v>600238</v>
      </c>
      <c r="C209" t="s">
        <v>548</v>
      </c>
      <c r="D209" t="s">
        <v>134</v>
      </c>
      <c r="F209">
        <v>495222504</v>
      </c>
      <c r="G209">
        <v>555274891</v>
      </c>
      <c r="H209">
        <v>530702178</v>
      </c>
      <c r="I209">
        <v>798428470</v>
      </c>
      <c r="J209">
        <v>758106504</v>
      </c>
      <c r="K209">
        <v>864038444</v>
      </c>
      <c r="L209">
        <v>899505744</v>
      </c>
      <c r="M209">
        <v>886521667</v>
      </c>
      <c r="N209">
        <v>889460825</v>
      </c>
      <c r="O209">
        <v>798970090</v>
      </c>
      <c r="P209">
        <v>146</v>
      </c>
      <c r="Q209" t="s">
        <v>549</v>
      </c>
    </row>
    <row r="210" spans="1:17" x14ac:dyDescent="0.3">
      <c r="A210" t="s">
        <v>17</v>
      </c>
      <c r="B210" t="str">
        <f>"600239"</f>
        <v>600239</v>
      </c>
      <c r="C210" t="s">
        <v>550</v>
      </c>
      <c r="D210" t="s">
        <v>104</v>
      </c>
      <c r="F210">
        <v>705379027</v>
      </c>
      <c r="G210">
        <v>-377743556</v>
      </c>
      <c r="H210">
        <v>2219751398</v>
      </c>
      <c r="I210">
        <v>5150990723</v>
      </c>
      <c r="J210">
        <v>4781236518</v>
      </c>
      <c r="K210">
        <v>4629221966</v>
      </c>
      <c r="L210">
        <v>4299129740</v>
      </c>
      <c r="M210">
        <v>4030615919</v>
      </c>
      <c r="N210">
        <v>3798988174</v>
      </c>
      <c r="O210">
        <v>3575532575</v>
      </c>
      <c r="P210">
        <v>128</v>
      </c>
      <c r="Q210" t="s">
        <v>551</v>
      </c>
    </row>
    <row r="211" spans="1:17" x14ac:dyDescent="0.3">
      <c r="A211" t="s">
        <v>17</v>
      </c>
      <c r="B211" t="str">
        <f>"600240"</f>
        <v>600240</v>
      </c>
      <c r="C211" t="s">
        <v>552</v>
      </c>
      <c r="H211">
        <v>-7841741313</v>
      </c>
      <c r="I211">
        <v>228798503</v>
      </c>
      <c r="J211">
        <v>6803557360</v>
      </c>
      <c r="K211">
        <v>5664319264</v>
      </c>
      <c r="L211">
        <v>4588245958</v>
      </c>
      <c r="M211">
        <v>3848418392</v>
      </c>
      <c r="N211">
        <v>3440687696</v>
      </c>
      <c r="O211">
        <v>3040572832</v>
      </c>
      <c r="P211">
        <v>94</v>
      </c>
      <c r="Q211" t="s">
        <v>553</v>
      </c>
    </row>
    <row r="212" spans="1:17" x14ac:dyDescent="0.3">
      <c r="A212" t="s">
        <v>17</v>
      </c>
      <c r="B212" t="str">
        <f>"600241"</f>
        <v>600241</v>
      </c>
      <c r="C212" t="s">
        <v>554</v>
      </c>
      <c r="D212" t="s">
        <v>555</v>
      </c>
      <c r="F212">
        <v>993995611</v>
      </c>
      <c r="G212">
        <v>997721193</v>
      </c>
      <c r="H212">
        <v>980350437</v>
      </c>
      <c r="I212">
        <v>1258290855</v>
      </c>
      <c r="J212">
        <v>1437021522</v>
      </c>
      <c r="K212">
        <v>625406685</v>
      </c>
      <c r="L212">
        <v>712552982</v>
      </c>
      <c r="M212">
        <v>353450337</v>
      </c>
      <c r="N212">
        <v>451598770</v>
      </c>
      <c r="O212">
        <v>516897255</v>
      </c>
      <c r="P212">
        <v>51</v>
      </c>
      <c r="Q212" t="s">
        <v>556</v>
      </c>
    </row>
    <row r="213" spans="1:17" x14ac:dyDescent="0.3">
      <c r="A213" t="s">
        <v>17</v>
      </c>
      <c r="B213" t="str">
        <f>"600242"</f>
        <v>600242</v>
      </c>
      <c r="C213" t="s">
        <v>557</v>
      </c>
      <c r="D213" t="s">
        <v>207</v>
      </c>
      <c r="F213">
        <v>45804421</v>
      </c>
      <c r="G213">
        <v>524657954</v>
      </c>
      <c r="H213">
        <v>518910620</v>
      </c>
      <c r="I213">
        <v>2103140453</v>
      </c>
      <c r="J213">
        <v>1980356626</v>
      </c>
      <c r="K213">
        <v>1370609395</v>
      </c>
      <c r="L213">
        <v>64047046</v>
      </c>
      <c r="M213">
        <v>-61958332</v>
      </c>
      <c r="N213">
        <v>267941540</v>
      </c>
      <c r="O213">
        <v>349191147</v>
      </c>
      <c r="P213">
        <v>84</v>
      </c>
      <c r="Q213" t="s">
        <v>558</v>
      </c>
    </row>
    <row r="214" spans="1:17" x14ac:dyDescent="0.3">
      <c r="A214" t="s">
        <v>17</v>
      </c>
      <c r="B214" t="str">
        <f>"600243"</f>
        <v>600243</v>
      </c>
      <c r="C214" t="s">
        <v>559</v>
      </c>
      <c r="D214" t="s">
        <v>560</v>
      </c>
      <c r="F214">
        <v>1047962662</v>
      </c>
      <c r="G214">
        <v>1150947359</v>
      </c>
      <c r="H214">
        <v>1122009673</v>
      </c>
      <c r="I214">
        <v>1539999921</v>
      </c>
      <c r="J214">
        <v>1754905054</v>
      </c>
      <c r="K214">
        <v>1734709295</v>
      </c>
      <c r="L214">
        <v>1809538245</v>
      </c>
      <c r="M214">
        <v>735540323</v>
      </c>
      <c r="N214">
        <v>740927461</v>
      </c>
      <c r="O214">
        <v>725739356</v>
      </c>
      <c r="P214">
        <v>72</v>
      </c>
      <c r="Q214" t="s">
        <v>561</v>
      </c>
    </row>
    <row r="215" spans="1:17" x14ac:dyDescent="0.3">
      <c r="A215" t="s">
        <v>17</v>
      </c>
      <c r="B215" t="str">
        <f>"600246"</f>
        <v>600246</v>
      </c>
      <c r="C215" t="s">
        <v>562</v>
      </c>
      <c r="D215" t="s">
        <v>104</v>
      </c>
      <c r="F215">
        <v>7018810448</v>
      </c>
      <c r="G215">
        <v>7134322193</v>
      </c>
      <c r="H215">
        <v>7711496965</v>
      </c>
      <c r="I215">
        <v>7203125589</v>
      </c>
      <c r="J215">
        <v>6947247798</v>
      </c>
      <c r="K215">
        <v>6595689944</v>
      </c>
      <c r="L215">
        <v>2922103278</v>
      </c>
      <c r="M215">
        <v>3529012056</v>
      </c>
      <c r="N215">
        <v>3730870109</v>
      </c>
      <c r="O215">
        <v>3522907709</v>
      </c>
      <c r="P215">
        <v>122</v>
      </c>
      <c r="Q215" t="s">
        <v>563</v>
      </c>
    </row>
    <row r="216" spans="1:17" x14ac:dyDescent="0.3">
      <c r="A216" t="s">
        <v>17</v>
      </c>
      <c r="B216" t="str">
        <f>"600247"</f>
        <v>600247</v>
      </c>
      <c r="C216" t="s">
        <v>564</v>
      </c>
      <c r="H216">
        <v>-73541293</v>
      </c>
      <c r="I216">
        <v>11144437</v>
      </c>
      <c r="J216">
        <v>3726964</v>
      </c>
      <c r="K216">
        <v>74660770</v>
      </c>
      <c r="L216">
        <v>100195921</v>
      </c>
      <c r="M216">
        <v>45746372</v>
      </c>
      <c r="N216">
        <v>382209899</v>
      </c>
      <c r="O216">
        <v>520194878</v>
      </c>
      <c r="P216">
        <v>29</v>
      </c>
      <c r="Q216" t="s">
        <v>565</v>
      </c>
    </row>
    <row r="217" spans="1:17" x14ac:dyDescent="0.3">
      <c r="A217" t="s">
        <v>17</v>
      </c>
      <c r="B217" t="str">
        <f>"600248"</f>
        <v>600248</v>
      </c>
      <c r="C217" t="s">
        <v>566</v>
      </c>
      <c r="D217" t="s">
        <v>398</v>
      </c>
      <c r="F217">
        <v>15702994223</v>
      </c>
      <c r="G217">
        <v>11966532022</v>
      </c>
      <c r="H217">
        <v>2959761434</v>
      </c>
      <c r="I217">
        <v>2743624809</v>
      </c>
      <c r="J217">
        <v>2051019639</v>
      </c>
      <c r="K217">
        <v>1926658151</v>
      </c>
      <c r="L217">
        <v>1825508470</v>
      </c>
      <c r="M217">
        <v>1717304826</v>
      </c>
      <c r="N217">
        <v>1241036041</v>
      </c>
      <c r="O217">
        <v>1082041957</v>
      </c>
      <c r="P217">
        <v>143</v>
      </c>
      <c r="Q217" t="s">
        <v>567</v>
      </c>
    </row>
    <row r="218" spans="1:17" x14ac:dyDescent="0.3">
      <c r="A218" t="s">
        <v>17</v>
      </c>
      <c r="B218" t="str">
        <f>"600249"</f>
        <v>600249</v>
      </c>
      <c r="C218" t="s">
        <v>568</v>
      </c>
      <c r="D218" t="s">
        <v>569</v>
      </c>
      <c r="F218">
        <v>2135633616</v>
      </c>
      <c r="G218">
        <v>2127259567</v>
      </c>
      <c r="H218">
        <v>2068521258</v>
      </c>
      <c r="I218">
        <v>1796478311</v>
      </c>
      <c r="J218">
        <v>1861493516</v>
      </c>
      <c r="K218">
        <v>1982343389</v>
      </c>
      <c r="L218">
        <v>2135253916</v>
      </c>
      <c r="M218">
        <v>2165706292</v>
      </c>
      <c r="N218">
        <v>1791798738</v>
      </c>
      <c r="O218">
        <v>1955927741</v>
      </c>
      <c r="P218">
        <v>90</v>
      </c>
      <c r="Q218" t="s">
        <v>570</v>
      </c>
    </row>
    <row r="219" spans="1:17" x14ac:dyDescent="0.3">
      <c r="A219" t="s">
        <v>17</v>
      </c>
      <c r="B219" t="str">
        <f>"600250"</f>
        <v>600250</v>
      </c>
      <c r="C219" t="s">
        <v>571</v>
      </c>
      <c r="D219" t="s">
        <v>131</v>
      </c>
      <c r="F219">
        <v>616300740</v>
      </c>
      <c r="G219">
        <v>940008098</v>
      </c>
      <c r="H219">
        <v>1062799355</v>
      </c>
      <c r="I219">
        <v>647458075</v>
      </c>
      <c r="J219">
        <v>456773993</v>
      </c>
      <c r="K219">
        <v>333116496</v>
      </c>
      <c r="L219">
        <v>327619590</v>
      </c>
      <c r="M219">
        <v>378714505</v>
      </c>
      <c r="N219">
        <v>395623398</v>
      </c>
      <c r="O219">
        <v>293237003</v>
      </c>
      <c r="P219">
        <v>70</v>
      </c>
      <c r="Q219" t="s">
        <v>572</v>
      </c>
    </row>
    <row r="220" spans="1:17" x14ac:dyDescent="0.3">
      <c r="A220" t="s">
        <v>17</v>
      </c>
      <c r="B220" t="str">
        <f>"600251"</f>
        <v>600251</v>
      </c>
      <c r="C220" t="s">
        <v>573</v>
      </c>
      <c r="D220" t="s">
        <v>574</v>
      </c>
      <c r="F220">
        <v>2754153503</v>
      </c>
      <c r="G220">
        <v>2415173494</v>
      </c>
      <c r="H220">
        <v>2172102366</v>
      </c>
      <c r="I220">
        <v>2023747778</v>
      </c>
      <c r="J220">
        <v>1958846661</v>
      </c>
      <c r="K220">
        <v>1889511662</v>
      </c>
      <c r="L220">
        <v>1922105533</v>
      </c>
      <c r="M220">
        <v>1874924597</v>
      </c>
      <c r="N220">
        <v>1387456776</v>
      </c>
      <c r="O220">
        <v>1172866225</v>
      </c>
      <c r="P220">
        <v>148</v>
      </c>
      <c r="Q220" t="s">
        <v>575</v>
      </c>
    </row>
    <row r="221" spans="1:17" x14ac:dyDescent="0.3">
      <c r="A221" t="s">
        <v>17</v>
      </c>
      <c r="B221" t="str">
        <f>"600252"</f>
        <v>600252</v>
      </c>
      <c r="C221" t="s">
        <v>576</v>
      </c>
      <c r="D221" t="s">
        <v>188</v>
      </c>
      <c r="F221">
        <v>6623273880</v>
      </c>
      <c r="G221">
        <v>6849546947</v>
      </c>
      <c r="H221">
        <v>6393530330</v>
      </c>
      <c r="I221">
        <v>5926294876</v>
      </c>
      <c r="J221">
        <v>5592976989</v>
      </c>
      <c r="K221">
        <v>5321678507</v>
      </c>
      <c r="L221">
        <v>4950937106</v>
      </c>
      <c r="M221">
        <v>5913869657</v>
      </c>
      <c r="N221">
        <v>3685060837</v>
      </c>
      <c r="O221">
        <v>3098138589</v>
      </c>
      <c r="P221">
        <v>362</v>
      </c>
      <c r="Q221" t="s">
        <v>577</v>
      </c>
    </row>
    <row r="222" spans="1:17" x14ac:dyDescent="0.3">
      <c r="A222" t="s">
        <v>17</v>
      </c>
      <c r="B222" t="str">
        <f>"600253"</f>
        <v>600253</v>
      </c>
      <c r="C222" t="s">
        <v>578</v>
      </c>
      <c r="O222">
        <v>875718096.76999998</v>
      </c>
      <c r="P222">
        <v>3</v>
      </c>
      <c r="Q222" t="s">
        <v>579</v>
      </c>
    </row>
    <row r="223" spans="1:17" x14ac:dyDescent="0.3">
      <c r="A223" t="s">
        <v>17</v>
      </c>
      <c r="B223" t="str">
        <f>"600255"</f>
        <v>600255</v>
      </c>
      <c r="C223" t="s">
        <v>580</v>
      </c>
      <c r="D223" t="s">
        <v>581</v>
      </c>
      <c r="F223">
        <v>1259184955</v>
      </c>
      <c r="G223">
        <v>1179930354</v>
      </c>
      <c r="H223">
        <v>1037399163</v>
      </c>
      <c r="I223">
        <v>2206570594</v>
      </c>
      <c r="J223">
        <v>3462640405</v>
      </c>
      <c r="K223">
        <v>3317680430</v>
      </c>
      <c r="L223">
        <v>3229759147</v>
      </c>
      <c r="M223">
        <v>2002741997</v>
      </c>
      <c r="N223">
        <v>1988728036</v>
      </c>
      <c r="O223">
        <v>1186389488</v>
      </c>
      <c r="P223">
        <v>82</v>
      </c>
      <c r="Q223" t="s">
        <v>582</v>
      </c>
    </row>
    <row r="224" spans="1:17" x14ac:dyDescent="0.3">
      <c r="A224" t="s">
        <v>17</v>
      </c>
      <c r="B224" t="str">
        <f>"600256"</f>
        <v>600256</v>
      </c>
      <c r="C224" t="s">
        <v>583</v>
      </c>
      <c r="D224" t="s">
        <v>584</v>
      </c>
      <c r="F224">
        <v>20932211175</v>
      </c>
      <c r="G224">
        <v>16797173197</v>
      </c>
      <c r="H224">
        <v>15947615197</v>
      </c>
      <c r="I224">
        <v>15161279024</v>
      </c>
      <c r="J224">
        <v>11626459802</v>
      </c>
      <c r="K224">
        <v>11132627440</v>
      </c>
      <c r="L224">
        <v>10875922370</v>
      </c>
      <c r="M224">
        <v>10801321842</v>
      </c>
      <c r="N224">
        <v>9318729769</v>
      </c>
      <c r="O224">
        <v>8098795125</v>
      </c>
      <c r="P224">
        <v>494</v>
      </c>
      <c r="Q224" t="s">
        <v>585</v>
      </c>
    </row>
    <row r="225" spans="1:17" x14ac:dyDescent="0.3">
      <c r="A225" t="s">
        <v>17</v>
      </c>
      <c r="B225" t="str">
        <f>"600257"</f>
        <v>600257</v>
      </c>
      <c r="C225" t="s">
        <v>586</v>
      </c>
      <c r="D225" t="s">
        <v>587</v>
      </c>
      <c r="F225">
        <v>949434743</v>
      </c>
      <c r="G225">
        <v>1163502413</v>
      </c>
      <c r="H225">
        <v>1159004377</v>
      </c>
      <c r="I225">
        <v>1301946772</v>
      </c>
      <c r="J225">
        <v>1284286985</v>
      </c>
      <c r="K225">
        <v>1285647140</v>
      </c>
      <c r="L225">
        <v>745539082</v>
      </c>
      <c r="M225">
        <v>759312690</v>
      </c>
      <c r="N225">
        <v>768465411</v>
      </c>
      <c r="O225">
        <v>618677236</v>
      </c>
      <c r="P225">
        <v>96</v>
      </c>
      <c r="Q225" t="s">
        <v>588</v>
      </c>
    </row>
    <row r="226" spans="1:17" x14ac:dyDescent="0.3">
      <c r="A226" t="s">
        <v>17</v>
      </c>
      <c r="B226" t="str">
        <f>"600258"</f>
        <v>600258</v>
      </c>
      <c r="C226" t="s">
        <v>589</v>
      </c>
      <c r="D226" t="s">
        <v>590</v>
      </c>
      <c r="F226">
        <v>11101050772</v>
      </c>
      <c r="G226">
        <v>8380002205</v>
      </c>
      <c r="H226">
        <v>8947142276</v>
      </c>
      <c r="I226">
        <v>8162432575</v>
      </c>
      <c r="J226">
        <v>7338987109</v>
      </c>
      <c r="K226">
        <v>6719978398</v>
      </c>
      <c r="L226">
        <v>1185991462</v>
      </c>
      <c r="M226">
        <v>1145756108</v>
      </c>
      <c r="N226">
        <v>1068895195</v>
      </c>
      <c r="O226">
        <v>1008704762</v>
      </c>
      <c r="P226">
        <v>514</v>
      </c>
      <c r="Q226" t="s">
        <v>591</v>
      </c>
    </row>
    <row r="227" spans="1:17" x14ac:dyDescent="0.3">
      <c r="A227" t="s">
        <v>17</v>
      </c>
      <c r="B227" t="str">
        <f>"600259"</f>
        <v>600259</v>
      </c>
      <c r="C227" t="s">
        <v>592</v>
      </c>
      <c r="D227" t="s">
        <v>266</v>
      </c>
      <c r="F227">
        <v>1821889029</v>
      </c>
      <c r="G227">
        <v>1723038051</v>
      </c>
      <c r="H227">
        <v>1717557856</v>
      </c>
      <c r="I227">
        <v>1680781392</v>
      </c>
      <c r="J227">
        <v>1953916810</v>
      </c>
      <c r="K227">
        <v>1931622751</v>
      </c>
      <c r="L227">
        <v>531016216</v>
      </c>
      <c r="M227">
        <v>822897013</v>
      </c>
      <c r="N227">
        <v>453850226</v>
      </c>
      <c r="O227">
        <v>531835559</v>
      </c>
      <c r="P227">
        <v>221</v>
      </c>
      <c r="Q227" t="s">
        <v>593</v>
      </c>
    </row>
    <row r="228" spans="1:17" x14ac:dyDescent="0.3">
      <c r="A228" t="s">
        <v>17</v>
      </c>
      <c r="B228" t="str">
        <f>"600260"</f>
        <v>600260</v>
      </c>
      <c r="C228" t="s">
        <v>594</v>
      </c>
      <c r="D228" t="s">
        <v>595</v>
      </c>
      <c r="F228">
        <v>-1815383801</v>
      </c>
      <c r="G228">
        <v>6638466979</v>
      </c>
      <c r="H228">
        <v>6183146255</v>
      </c>
      <c r="I228">
        <v>5538774363</v>
      </c>
      <c r="J228">
        <v>4702384987</v>
      </c>
      <c r="K228">
        <v>2985181800</v>
      </c>
      <c r="L228">
        <v>2831569855</v>
      </c>
      <c r="M228">
        <v>1745242197</v>
      </c>
      <c r="N228">
        <v>1766823096</v>
      </c>
      <c r="O228">
        <v>1684084097</v>
      </c>
      <c r="P228">
        <v>467</v>
      </c>
      <c r="Q228" t="s">
        <v>596</v>
      </c>
    </row>
    <row r="229" spans="1:17" x14ac:dyDescent="0.3">
      <c r="A229" t="s">
        <v>17</v>
      </c>
      <c r="B229" t="str">
        <f>"600261"</f>
        <v>600261</v>
      </c>
      <c r="C229" t="s">
        <v>597</v>
      </c>
      <c r="D229" t="s">
        <v>598</v>
      </c>
      <c r="F229">
        <v>3672768162</v>
      </c>
      <c r="G229">
        <v>3919123311</v>
      </c>
      <c r="H229">
        <v>3734414995</v>
      </c>
      <c r="I229">
        <v>3557431555</v>
      </c>
      <c r="J229">
        <v>3326148826</v>
      </c>
      <c r="K229">
        <v>3160165119</v>
      </c>
      <c r="L229">
        <v>2920678128</v>
      </c>
      <c r="M229">
        <v>2690189202</v>
      </c>
      <c r="N229">
        <v>2502283679</v>
      </c>
      <c r="O229">
        <v>2350316208</v>
      </c>
      <c r="P229">
        <v>440</v>
      </c>
      <c r="Q229" t="s">
        <v>599</v>
      </c>
    </row>
    <row r="230" spans="1:17" x14ac:dyDescent="0.3">
      <c r="A230" t="s">
        <v>17</v>
      </c>
      <c r="B230" t="str">
        <f>"600262"</f>
        <v>600262</v>
      </c>
      <c r="C230" t="s">
        <v>600</v>
      </c>
      <c r="D230" t="s">
        <v>395</v>
      </c>
      <c r="F230">
        <v>1294169725</v>
      </c>
      <c r="G230">
        <v>1228551466</v>
      </c>
      <c r="H230">
        <v>1180154367</v>
      </c>
      <c r="I230">
        <v>1152297291</v>
      </c>
      <c r="J230">
        <v>1053210989</v>
      </c>
      <c r="K230">
        <v>1014023109</v>
      </c>
      <c r="L230">
        <v>994588390</v>
      </c>
      <c r="M230">
        <v>1195761289</v>
      </c>
      <c r="N230">
        <v>1104248403</v>
      </c>
      <c r="O230">
        <v>1032712804</v>
      </c>
      <c r="P230">
        <v>75</v>
      </c>
      <c r="Q230" t="s">
        <v>601</v>
      </c>
    </row>
    <row r="231" spans="1:17" x14ac:dyDescent="0.3">
      <c r="A231" t="s">
        <v>17</v>
      </c>
      <c r="B231" t="str">
        <f>"600265"</f>
        <v>600265</v>
      </c>
      <c r="C231" t="s">
        <v>602</v>
      </c>
      <c r="D231" t="s">
        <v>603</v>
      </c>
      <c r="F231">
        <v>177587934</v>
      </c>
      <c r="G231">
        <v>24203909</v>
      </c>
      <c r="H231">
        <v>39189458</v>
      </c>
      <c r="I231">
        <v>35761363</v>
      </c>
      <c r="J231">
        <v>28680306</v>
      </c>
      <c r="K231">
        <v>20289600</v>
      </c>
      <c r="L231">
        <v>-81493673</v>
      </c>
      <c r="M231">
        <v>10245085</v>
      </c>
      <c r="N231">
        <v>55972662</v>
      </c>
      <c r="O231">
        <v>41763763</v>
      </c>
      <c r="P231">
        <v>46</v>
      </c>
      <c r="Q231" t="s">
        <v>604</v>
      </c>
    </row>
    <row r="232" spans="1:17" x14ac:dyDescent="0.3">
      <c r="A232" t="s">
        <v>17</v>
      </c>
      <c r="B232" t="str">
        <f>"600266"</f>
        <v>600266</v>
      </c>
      <c r="C232" t="s">
        <v>605</v>
      </c>
      <c r="D232" t="s">
        <v>104</v>
      </c>
      <c r="F232">
        <v>21622802054</v>
      </c>
      <c r="G232">
        <v>21773672288</v>
      </c>
      <c r="H232">
        <v>21490305999</v>
      </c>
      <c r="I232">
        <v>19469928183</v>
      </c>
      <c r="J232">
        <v>19218256487</v>
      </c>
      <c r="K232">
        <v>19664345839</v>
      </c>
      <c r="L232">
        <v>19410442428</v>
      </c>
      <c r="M232">
        <v>15666043645</v>
      </c>
      <c r="N232">
        <v>8531779045</v>
      </c>
      <c r="O232">
        <v>7522939066</v>
      </c>
      <c r="P232">
        <v>338</v>
      </c>
      <c r="Q232" t="s">
        <v>606</v>
      </c>
    </row>
    <row r="233" spans="1:17" x14ac:dyDescent="0.3">
      <c r="A233" t="s">
        <v>17</v>
      </c>
      <c r="B233" t="str">
        <f>"600267"</f>
        <v>600267</v>
      </c>
      <c r="C233" t="s">
        <v>607</v>
      </c>
      <c r="D233" t="s">
        <v>496</v>
      </c>
      <c r="F233">
        <v>6874956493</v>
      </c>
      <c r="G233">
        <v>6678665195</v>
      </c>
      <c r="H233">
        <v>6274220452</v>
      </c>
      <c r="I233">
        <v>6183496942</v>
      </c>
      <c r="J233">
        <v>6722514671</v>
      </c>
      <c r="K233">
        <v>6755159904</v>
      </c>
      <c r="L233">
        <v>6919578265</v>
      </c>
      <c r="M233">
        <v>7023938160</v>
      </c>
      <c r="N233">
        <v>4886815927</v>
      </c>
      <c r="O233">
        <v>4685960726</v>
      </c>
      <c r="P233">
        <v>532</v>
      </c>
      <c r="Q233" t="s">
        <v>608</v>
      </c>
    </row>
    <row r="234" spans="1:17" x14ac:dyDescent="0.3">
      <c r="A234" t="s">
        <v>17</v>
      </c>
      <c r="B234" t="str">
        <f>"600268"</f>
        <v>600268</v>
      </c>
      <c r="C234" t="s">
        <v>609</v>
      </c>
      <c r="D234" t="s">
        <v>610</v>
      </c>
      <c r="F234">
        <v>2700214946</v>
      </c>
      <c r="G234">
        <v>2446450848</v>
      </c>
      <c r="H234">
        <v>2403158793</v>
      </c>
      <c r="I234">
        <v>2327832901</v>
      </c>
      <c r="J234">
        <v>2296483347</v>
      </c>
      <c r="K234">
        <v>1890705289</v>
      </c>
      <c r="L234">
        <v>1951890848</v>
      </c>
      <c r="M234">
        <v>1984968126</v>
      </c>
      <c r="N234">
        <v>2347701577</v>
      </c>
      <c r="O234">
        <v>2406262733</v>
      </c>
      <c r="P234">
        <v>245</v>
      </c>
      <c r="Q234" t="s">
        <v>611</v>
      </c>
    </row>
    <row r="235" spans="1:17" x14ac:dyDescent="0.3">
      <c r="A235" t="s">
        <v>17</v>
      </c>
      <c r="B235" t="str">
        <f>"600269"</f>
        <v>600269</v>
      </c>
      <c r="C235" t="s">
        <v>612</v>
      </c>
      <c r="D235" t="s">
        <v>44</v>
      </c>
      <c r="F235">
        <v>16289479358</v>
      </c>
      <c r="G235">
        <v>15896891153</v>
      </c>
      <c r="H235">
        <v>15723035812</v>
      </c>
      <c r="I235">
        <v>14844240780</v>
      </c>
      <c r="J235">
        <v>14616781497</v>
      </c>
      <c r="K235">
        <v>14199176830</v>
      </c>
      <c r="L235">
        <v>12834257182</v>
      </c>
      <c r="M235">
        <v>12346250243</v>
      </c>
      <c r="N235">
        <v>11427047512</v>
      </c>
      <c r="O235">
        <v>10976083724</v>
      </c>
      <c r="P235">
        <v>405</v>
      </c>
      <c r="Q235" t="s">
        <v>613</v>
      </c>
    </row>
    <row r="236" spans="1:17" x14ac:dyDescent="0.3">
      <c r="A236" t="s">
        <v>17</v>
      </c>
      <c r="B236" t="str">
        <f>"600270"</f>
        <v>600270</v>
      </c>
      <c r="C236" t="s">
        <v>614</v>
      </c>
      <c r="J236">
        <v>8181022819</v>
      </c>
      <c r="K236">
        <v>7428246155</v>
      </c>
      <c r="L236">
        <v>7282831091.6400003</v>
      </c>
      <c r="M236">
        <v>6524499492.8800001</v>
      </c>
      <c r="N236">
        <v>5569532908.1099997</v>
      </c>
      <c r="O236">
        <v>5256517943.5</v>
      </c>
      <c r="P236">
        <v>101</v>
      </c>
      <c r="Q236" t="s">
        <v>615</v>
      </c>
    </row>
    <row r="237" spans="1:17" x14ac:dyDescent="0.3">
      <c r="A237" t="s">
        <v>17</v>
      </c>
      <c r="B237" t="str">
        <f>"600271"</f>
        <v>600271</v>
      </c>
      <c r="C237" t="s">
        <v>616</v>
      </c>
      <c r="D237" t="s">
        <v>316</v>
      </c>
      <c r="F237">
        <v>13350858068</v>
      </c>
      <c r="G237">
        <v>12152474006</v>
      </c>
      <c r="H237">
        <v>11489619584</v>
      </c>
      <c r="I237">
        <v>10674583253</v>
      </c>
      <c r="J237">
        <v>9811113481</v>
      </c>
      <c r="K237">
        <v>8754343247</v>
      </c>
      <c r="L237">
        <v>7691099127</v>
      </c>
      <c r="M237">
        <v>6712615766</v>
      </c>
      <c r="N237">
        <v>6109788728</v>
      </c>
      <c r="O237">
        <v>5414146513</v>
      </c>
      <c r="P237">
        <v>16700</v>
      </c>
      <c r="Q237" t="s">
        <v>617</v>
      </c>
    </row>
    <row r="238" spans="1:17" x14ac:dyDescent="0.3">
      <c r="A238" t="s">
        <v>17</v>
      </c>
      <c r="B238" t="str">
        <f>"600272"</f>
        <v>600272</v>
      </c>
      <c r="C238" t="s">
        <v>618</v>
      </c>
      <c r="D238" t="s">
        <v>125</v>
      </c>
      <c r="F238">
        <v>535431490</v>
      </c>
      <c r="G238">
        <v>516308227</v>
      </c>
      <c r="H238">
        <v>514866002</v>
      </c>
      <c r="I238">
        <v>495377328</v>
      </c>
      <c r="J238">
        <v>496383321</v>
      </c>
      <c r="K238">
        <v>487950869</v>
      </c>
      <c r="L238">
        <v>511412098</v>
      </c>
      <c r="M238">
        <v>408338335</v>
      </c>
      <c r="N238">
        <v>377989440</v>
      </c>
      <c r="O238">
        <v>342890210</v>
      </c>
      <c r="P238">
        <v>66</v>
      </c>
      <c r="Q238" t="s">
        <v>619</v>
      </c>
    </row>
    <row r="239" spans="1:17" x14ac:dyDescent="0.3">
      <c r="A239" t="s">
        <v>17</v>
      </c>
      <c r="B239" t="str">
        <f>"600273"</f>
        <v>600273</v>
      </c>
      <c r="C239" t="s">
        <v>620</v>
      </c>
      <c r="D239" t="s">
        <v>386</v>
      </c>
      <c r="F239">
        <v>9013466258</v>
      </c>
      <c r="G239">
        <v>7757600147</v>
      </c>
      <c r="H239">
        <v>6964744454</v>
      </c>
      <c r="I239">
        <v>6540732475</v>
      </c>
      <c r="J239">
        <v>6466869834</v>
      </c>
      <c r="K239">
        <v>3971306467</v>
      </c>
      <c r="L239">
        <v>3434071982</v>
      </c>
      <c r="M239">
        <v>2864538207</v>
      </c>
      <c r="N239">
        <v>562129778</v>
      </c>
      <c r="O239">
        <v>599136822</v>
      </c>
      <c r="P239">
        <v>3517</v>
      </c>
      <c r="Q239" t="s">
        <v>621</v>
      </c>
    </row>
    <row r="240" spans="1:17" x14ac:dyDescent="0.3">
      <c r="A240" t="s">
        <v>17</v>
      </c>
      <c r="B240" t="str">
        <f>"600275"</f>
        <v>600275</v>
      </c>
      <c r="C240" t="s">
        <v>622</v>
      </c>
      <c r="D240" t="s">
        <v>587</v>
      </c>
      <c r="F240">
        <v>7576644</v>
      </c>
      <c r="G240">
        <v>40601926</v>
      </c>
      <c r="H240">
        <v>133021004</v>
      </c>
      <c r="I240">
        <v>151521124</v>
      </c>
      <c r="J240">
        <v>147239955</v>
      </c>
      <c r="K240">
        <v>143119586</v>
      </c>
      <c r="L240">
        <v>184274747</v>
      </c>
      <c r="M240">
        <v>220123670</v>
      </c>
      <c r="N240">
        <v>214361292</v>
      </c>
      <c r="O240">
        <v>253423343</v>
      </c>
      <c r="P240">
        <v>47</v>
      </c>
      <c r="Q240" t="s">
        <v>623</v>
      </c>
    </row>
    <row r="241" spans="1:17" x14ac:dyDescent="0.3">
      <c r="A241" t="s">
        <v>17</v>
      </c>
      <c r="B241" t="str">
        <f>"600276"</f>
        <v>600276</v>
      </c>
      <c r="C241" t="s">
        <v>624</v>
      </c>
      <c r="D241" t="s">
        <v>143</v>
      </c>
      <c r="F241">
        <v>35002961304</v>
      </c>
      <c r="G241">
        <v>30504303351</v>
      </c>
      <c r="H241">
        <v>24775324520</v>
      </c>
      <c r="I241">
        <v>19728178443</v>
      </c>
      <c r="J241">
        <v>15367821358</v>
      </c>
      <c r="K241">
        <v>12387953873</v>
      </c>
      <c r="L241">
        <v>9931364546</v>
      </c>
      <c r="M241">
        <v>7934391863</v>
      </c>
      <c r="N241">
        <v>6357231220</v>
      </c>
      <c r="O241">
        <v>5214101607</v>
      </c>
      <c r="P241">
        <v>70860</v>
      </c>
      <c r="Q241" t="s">
        <v>625</v>
      </c>
    </row>
    <row r="242" spans="1:17" x14ac:dyDescent="0.3">
      <c r="A242" t="s">
        <v>17</v>
      </c>
      <c r="B242" t="str">
        <f>"600277"</f>
        <v>600277</v>
      </c>
      <c r="C242" t="s">
        <v>626</v>
      </c>
      <c r="D242" t="s">
        <v>175</v>
      </c>
      <c r="F242">
        <v>16331851893</v>
      </c>
      <c r="G242">
        <v>15653213060</v>
      </c>
      <c r="H242">
        <v>15372743824</v>
      </c>
      <c r="I242">
        <v>14798416066</v>
      </c>
      <c r="J242">
        <v>14332490233</v>
      </c>
      <c r="K242">
        <v>9566059733</v>
      </c>
      <c r="L242">
        <v>9213109614</v>
      </c>
      <c r="M242">
        <v>9032392394</v>
      </c>
      <c r="N242">
        <v>8798927061</v>
      </c>
      <c r="O242">
        <v>5654264522</v>
      </c>
      <c r="P242">
        <v>187</v>
      </c>
      <c r="Q242" t="s">
        <v>627</v>
      </c>
    </row>
    <row r="243" spans="1:17" x14ac:dyDescent="0.3">
      <c r="A243" t="s">
        <v>17</v>
      </c>
      <c r="B243" t="str">
        <f>"600278"</f>
        <v>600278</v>
      </c>
      <c r="C243" t="s">
        <v>628</v>
      </c>
      <c r="D243" t="s">
        <v>131</v>
      </c>
      <c r="F243">
        <v>6914584205</v>
      </c>
      <c r="G243">
        <v>6943719586</v>
      </c>
      <c r="H243">
        <v>4223543422</v>
      </c>
      <c r="I243">
        <v>3667082946</v>
      </c>
      <c r="J243">
        <v>4069715317</v>
      </c>
      <c r="K243">
        <v>3178914074</v>
      </c>
      <c r="L243">
        <v>2919729097</v>
      </c>
      <c r="M243">
        <v>2964100307</v>
      </c>
      <c r="N243">
        <v>2643738256</v>
      </c>
      <c r="O243">
        <v>2584666351</v>
      </c>
      <c r="P243">
        <v>90</v>
      </c>
      <c r="Q243" t="s">
        <v>629</v>
      </c>
    </row>
    <row r="244" spans="1:17" x14ac:dyDescent="0.3">
      <c r="A244" t="s">
        <v>17</v>
      </c>
      <c r="B244" t="str">
        <f>"600279"</f>
        <v>600279</v>
      </c>
      <c r="C244" t="s">
        <v>630</v>
      </c>
      <c r="D244" t="s">
        <v>51</v>
      </c>
      <c r="F244">
        <v>5556902843</v>
      </c>
      <c r="G244">
        <v>5524719993</v>
      </c>
      <c r="H244">
        <v>5431481473</v>
      </c>
      <c r="I244">
        <v>3616942543</v>
      </c>
      <c r="J244">
        <v>3656099070</v>
      </c>
      <c r="K244">
        <v>3246874393</v>
      </c>
      <c r="L244">
        <v>3202436733</v>
      </c>
      <c r="M244">
        <v>3280776210</v>
      </c>
      <c r="N244">
        <v>2106049283</v>
      </c>
      <c r="O244">
        <v>2047747307</v>
      </c>
      <c r="P244">
        <v>125</v>
      </c>
      <c r="Q244" t="s">
        <v>631</v>
      </c>
    </row>
    <row r="245" spans="1:17" x14ac:dyDescent="0.3">
      <c r="A245" t="s">
        <v>17</v>
      </c>
      <c r="B245" t="str">
        <f>"600280"</f>
        <v>600280</v>
      </c>
      <c r="C245" t="s">
        <v>632</v>
      </c>
      <c r="D245" t="s">
        <v>633</v>
      </c>
      <c r="F245">
        <v>975026984</v>
      </c>
      <c r="G245">
        <v>929667557</v>
      </c>
      <c r="H245">
        <v>843265589</v>
      </c>
      <c r="I245">
        <v>1446653740</v>
      </c>
      <c r="J245">
        <v>1859088140</v>
      </c>
      <c r="K245">
        <v>1758087778</v>
      </c>
      <c r="L245">
        <v>1647972433</v>
      </c>
      <c r="M245">
        <v>1678678537</v>
      </c>
      <c r="N245">
        <v>1300234450</v>
      </c>
      <c r="O245">
        <v>783153229</v>
      </c>
      <c r="P245">
        <v>81</v>
      </c>
      <c r="Q245" t="s">
        <v>634</v>
      </c>
    </row>
    <row r="246" spans="1:17" x14ac:dyDescent="0.3">
      <c r="A246" t="s">
        <v>17</v>
      </c>
      <c r="B246" t="str">
        <f>"600281"</f>
        <v>600281</v>
      </c>
      <c r="C246" t="s">
        <v>635</v>
      </c>
      <c r="D246" t="s">
        <v>636</v>
      </c>
      <c r="F246">
        <v>481906215</v>
      </c>
      <c r="G246">
        <v>526632938</v>
      </c>
      <c r="H246">
        <v>485032929</v>
      </c>
      <c r="I246">
        <v>436765953</v>
      </c>
      <c r="J246">
        <v>559211321</v>
      </c>
      <c r="K246">
        <v>551429236</v>
      </c>
      <c r="L246">
        <v>518403706</v>
      </c>
      <c r="M246">
        <v>695389940</v>
      </c>
      <c r="N246">
        <v>677566647</v>
      </c>
      <c r="O246">
        <v>954952117</v>
      </c>
      <c r="P246">
        <v>68</v>
      </c>
      <c r="Q246" t="s">
        <v>637</v>
      </c>
    </row>
    <row r="247" spans="1:17" x14ac:dyDescent="0.3">
      <c r="A247" t="s">
        <v>17</v>
      </c>
      <c r="B247" t="str">
        <f>"600282"</f>
        <v>600282</v>
      </c>
      <c r="C247" t="s">
        <v>638</v>
      </c>
      <c r="D247" t="s">
        <v>38</v>
      </c>
      <c r="F247">
        <v>26387216906</v>
      </c>
      <c r="G247">
        <v>23730253012</v>
      </c>
      <c r="H247">
        <v>16776789409</v>
      </c>
      <c r="I247">
        <v>15378951064</v>
      </c>
      <c r="J247">
        <v>11575266229</v>
      </c>
      <c r="K247">
        <v>6762720600</v>
      </c>
      <c r="L247">
        <v>6305979365</v>
      </c>
      <c r="M247">
        <v>8558334902</v>
      </c>
      <c r="N247">
        <v>8273891343</v>
      </c>
      <c r="O247">
        <v>8791781764</v>
      </c>
      <c r="P247">
        <v>1311</v>
      </c>
      <c r="Q247" t="s">
        <v>639</v>
      </c>
    </row>
    <row r="248" spans="1:17" x14ac:dyDescent="0.3">
      <c r="A248" t="s">
        <v>17</v>
      </c>
      <c r="B248" t="str">
        <f>"600283"</f>
        <v>600283</v>
      </c>
      <c r="C248" t="s">
        <v>640</v>
      </c>
      <c r="D248" t="s">
        <v>33</v>
      </c>
      <c r="F248">
        <v>2081248603</v>
      </c>
      <c r="G248">
        <v>1984199581</v>
      </c>
      <c r="H248">
        <v>1856900841</v>
      </c>
      <c r="I248">
        <v>1809473636</v>
      </c>
      <c r="J248">
        <v>1824666873</v>
      </c>
      <c r="K248">
        <v>1727385485</v>
      </c>
      <c r="L248">
        <v>1775951123</v>
      </c>
      <c r="M248">
        <v>971634745</v>
      </c>
      <c r="N248">
        <v>918521311</v>
      </c>
      <c r="O248">
        <v>928199589</v>
      </c>
      <c r="P248">
        <v>122</v>
      </c>
      <c r="Q248" t="s">
        <v>641</v>
      </c>
    </row>
    <row r="249" spans="1:17" x14ac:dyDescent="0.3">
      <c r="A249" t="s">
        <v>17</v>
      </c>
      <c r="B249" t="str">
        <f>"600284"</f>
        <v>600284</v>
      </c>
      <c r="C249" t="s">
        <v>642</v>
      </c>
      <c r="D249" t="s">
        <v>101</v>
      </c>
      <c r="F249">
        <v>6812118584</v>
      </c>
      <c r="G249">
        <v>6430404245</v>
      </c>
      <c r="H249">
        <v>6126096022</v>
      </c>
      <c r="I249">
        <v>5854431276</v>
      </c>
      <c r="J249">
        <v>5523547253</v>
      </c>
      <c r="K249">
        <v>5264990307</v>
      </c>
      <c r="L249">
        <v>5021129600</v>
      </c>
      <c r="M249">
        <v>4748970823</v>
      </c>
      <c r="N249">
        <v>4620097223</v>
      </c>
      <c r="O249">
        <v>2901215625</v>
      </c>
      <c r="P249">
        <v>172</v>
      </c>
      <c r="Q249" t="s">
        <v>643</v>
      </c>
    </row>
    <row r="250" spans="1:17" x14ac:dyDescent="0.3">
      <c r="A250" t="s">
        <v>17</v>
      </c>
      <c r="B250" t="str">
        <f>"600285"</f>
        <v>600285</v>
      </c>
      <c r="C250" t="s">
        <v>644</v>
      </c>
      <c r="D250" t="s">
        <v>188</v>
      </c>
      <c r="F250">
        <v>2278989644</v>
      </c>
      <c r="G250">
        <v>2312724138</v>
      </c>
      <c r="H250">
        <v>2209888152</v>
      </c>
      <c r="I250">
        <v>2082130895</v>
      </c>
      <c r="J250">
        <v>2174308044</v>
      </c>
      <c r="K250">
        <v>2087072303</v>
      </c>
      <c r="L250">
        <v>1706138094</v>
      </c>
      <c r="M250">
        <v>1543477884</v>
      </c>
      <c r="N250">
        <v>967308238</v>
      </c>
      <c r="O250">
        <v>679254690</v>
      </c>
      <c r="P250">
        <v>606</v>
      </c>
      <c r="Q250" t="s">
        <v>645</v>
      </c>
    </row>
    <row r="251" spans="1:17" x14ac:dyDescent="0.3">
      <c r="A251" t="s">
        <v>17</v>
      </c>
      <c r="B251" t="str">
        <f>"600286"</f>
        <v>600286</v>
      </c>
      <c r="C251" t="s">
        <v>646</v>
      </c>
      <c r="K251">
        <v>151671522</v>
      </c>
      <c r="L251">
        <v>-306516039.92000002</v>
      </c>
      <c r="M251">
        <v>-1120614978.48</v>
      </c>
      <c r="N251">
        <v>-1053132638.9</v>
      </c>
      <c r="O251">
        <v>-992976991.51999998</v>
      </c>
      <c r="P251">
        <v>18</v>
      </c>
      <c r="Q251" t="s">
        <v>647</v>
      </c>
    </row>
    <row r="252" spans="1:17" x14ac:dyDescent="0.3">
      <c r="A252" t="s">
        <v>17</v>
      </c>
      <c r="B252" t="str">
        <f>"600287"</f>
        <v>600287</v>
      </c>
      <c r="C252" t="s">
        <v>648</v>
      </c>
      <c r="D252" t="s">
        <v>131</v>
      </c>
      <c r="F252">
        <v>1770692264</v>
      </c>
      <c r="G252">
        <v>2625370208</v>
      </c>
      <c r="H252">
        <v>2268132381</v>
      </c>
      <c r="I252">
        <v>1826716386</v>
      </c>
      <c r="J252">
        <v>1736953665</v>
      </c>
      <c r="K252">
        <v>2083545495</v>
      </c>
      <c r="L252">
        <v>1252299203</v>
      </c>
      <c r="M252">
        <v>1198564091</v>
      </c>
      <c r="N252">
        <v>1177719981</v>
      </c>
      <c r="O252">
        <v>865605129</v>
      </c>
      <c r="P252">
        <v>72</v>
      </c>
      <c r="Q252" t="s">
        <v>649</v>
      </c>
    </row>
    <row r="253" spans="1:17" x14ac:dyDescent="0.3">
      <c r="A253" t="s">
        <v>17</v>
      </c>
      <c r="B253" t="str">
        <f>"600288"</f>
        <v>600288</v>
      </c>
      <c r="C253" t="s">
        <v>650</v>
      </c>
      <c r="D253" t="s">
        <v>651</v>
      </c>
      <c r="F253">
        <v>1785565673</v>
      </c>
      <c r="G253">
        <v>1693957292</v>
      </c>
      <c r="H253">
        <v>1639102342</v>
      </c>
      <c r="I253">
        <v>1555832773</v>
      </c>
      <c r="J253">
        <v>1534716913</v>
      </c>
      <c r="K253">
        <v>1505808010</v>
      </c>
      <c r="L253">
        <v>1487065115</v>
      </c>
      <c r="M253">
        <v>1457957673</v>
      </c>
      <c r="N253">
        <v>1407416043</v>
      </c>
      <c r="O253">
        <v>1392598662</v>
      </c>
      <c r="P253">
        <v>95</v>
      </c>
      <c r="Q253" t="s">
        <v>652</v>
      </c>
    </row>
    <row r="254" spans="1:17" x14ac:dyDescent="0.3">
      <c r="A254" t="s">
        <v>17</v>
      </c>
      <c r="B254" t="str">
        <f>"600289"</f>
        <v>600289</v>
      </c>
      <c r="C254" t="s">
        <v>653</v>
      </c>
      <c r="D254" t="s">
        <v>654</v>
      </c>
      <c r="F254">
        <v>1689827317</v>
      </c>
      <c r="G254">
        <v>1549008053</v>
      </c>
      <c r="H254">
        <v>723237104</v>
      </c>
      <c r="I254">
        <v>-770321839</v>
      </c>
      <c r="J254">
        <v>708581967</v>
      </c>
      <c r="K254">
        <v>3229293465</v>
      </c>
      <c r="L254">
        <v>2017372539</v>
      </c>
      <c r="M254">
        <v>1939554539</v>
      </c>
      <c r="N254">
        <v>1901894904</v>
      </c>
      <c r="O254">
        <v>1887816421</v>
      </c>
      <c r="P254">
        <v>74</v>
      </c>
      <c r="Q254" t="s">
        <v>655</v>
      </c>
    </row>
    <row r="255" spans="1:17" x14ac:dyDescent="0.3">
      <c r="A255" t="s">
        <v>17</v>
      </c>
      <c r="B255" t="str">
        <f>"600290"</f>
        <v>600290</v>
      </c>
      <c r="C255" t="s">
        <v>656</v>
      </c>
      <c r="D255" t="s">
        <v>657</v>
      </c>
      <c r="F255">
        <v>340210289</v>
      </c>
      <c r="G255">
        <v>1176117709</v>
      </c>
      <c r="H255">
        <v>1145686941</v>
      </c>
      <c r="I255">
        <v>4060872268</v>
      </c>
      <c r="J255">
        <v>4168164334</v>
      </c>
      <c r="K255">
        <v>4108337858</v>
      </c>
      <c r="L255">
        <v>4179548801</v>
      </c>
      <c r="M255">
        <v>1995955322</v>
      </c>
      <c r="N255">
        <v>1918930599</v>
      </c>
      <c r="O255">
        <v>1884859301</v>
      </c>
      <c r="P255">
        <v>68</v>
      </c>
      <c r="Q255" t="s">
        <v>658</v>
      </c>
    </row>
    <row r="256" spans="1:17" x14ac:dyDescent="0.3">
      <c r="A256" t="s">
        <v>17</v>
      </c>
      <c r="B256" t="str">
        <f>"600291"</f>
        <v>600291</v>
      </c>
      <c r="C256" t="s">
        <v>659</v>
      </c>
      <c r="D256" t="s">
        <v>660</v>
      </c>
      <c r="F256">
        <v>1795082949</v>
      </c>
      <c r="G256">
        <v>1884836577</v>
      </c>
      <c r="H256">
        <v>10991850869</v>
      </c>
      <c r="I256">
        <v>12564949030</v>
      </c>
      <c r="J256">
        <v>12368894855</v>
      </c>
      <c r="K256">
        <v>11314222287</v>
      </c>
      <c r="L256">
        <v>10416753584</v>
      </c>
      <c r="N256">
        <v>2228402794.3899999</v>
      </c>
      <c r="O256">
        <v>2346716396.25</v>
      </c>
      <c r="P256">
        <v>276</v>
      </c>
      <c r="Q256" t="s">
        <v>661</v>
      </c>
    </row>
    <row r="257" spans="1:17" x14ac:dyDescent="0.3">
      <c r="A257" t="s">
        <v>17</v>
      </c>
      <c r="B257" t="str">
        <f>"600292"</f>
        <v>600292</v>
      </c>
      <c r="C257" t="s">
        <v>662</v>
      </c>
      <c r="D257" t="s">
        <v>663</v>
      </c>
      <c r="F257">
        <v>5125279400</v>
      </c>
      <c r="G257">
        <v>5070866293</v>
      </c>
      <c r="H257">
        <v>5096921877</v>
      </c>
      <c r="I257">
        <v>4927091149</v>
      </c>
      <c r="J257">
        <v>4877050003</v>
      </c>
      <c r="K257">
        <v>4871586138</v>
      </c>
      <c r="L257">
        <v>4837909643</v>
      </c>
      <c r="M257">
        <v>4765706496</v>
      </c>
      <c r="N257">
        <v>2858921628</v>
      </c>
      <c r="O257">
        <v>2754090246</v>
      </c>
      <c r="P257">
        <v>144</v>
      </c>
      <c r="Q257" t="s">
        <v>664</v>
      </c>
    </row>
    <row r="258" spans="1:17" x14ac:dyDescent="0.3">
      <c r="A258" t="s">
        <v>17</v>
      </c>
      <c r="B258" t="str">
        <f>"600293"</f>
        <v>600293</v>
      </c>
      <c r="C258" t="s">
        <v>665</v>
      </c>
      <c r="D258" t="s">
        <v>666</v>
      </c>
      <c r="F258">
        <v>1972385879</v>
      </c>
      <c r="G258">
        <v>1856548222</v>
      </c>
      <c r="H258">
        <v>3921878580</v>
      </c>
      <c r="I258">
        <v>3873558180</v>
      </c>
      <c r="J258">
        <v>3758920437</v>
      </c>
      <c r="K258">
        <v>3388339668</v>
      </c>
      <c r="L258">
        <v>674634622</v>
      </c>
      <c r="M258">
        <v>743776784</v>
      </c>
      <c r="N258">
        <v>732321081</v>
      </c>
      <c r="O258">
        <v>707885442</v>
      </c>
      <c r="P258">
        <v>126</v>
      </c>
      <c r="Q258" t="s">
        <v>667</v>
      </c>
    </row>
    <row r="259" spans="1:17" x14ac:dyDescent="0.3">
      <c r="A259" t="s">
        <v>17</v>
      </c>
      <c r="B259" t="str">
        <f>"600295"</f>
        <v>600295</v>
      </c>
      <c r="C259" t="s">
        <v>668</v>
      </c>
      <c r="D259" t="s">
        <v>669</v>
      </c>
      <c r="F259">
        <v>18561669687</v>
      </c>
      <c r="G259">
        <v>13638031000</v>
      </c>
      <c r="H259">
        <v>12634846262</v>
      </c>
      <c r="I259">
        <v>9109347647</v>
      </c>
      <c r="J259">
        <v>7836022051</v>
      </c>
      <c r="K259">
        <v>7271298569</v>
      </c>
      <c r="L259">
        <v>7070346710</v>
      </c>
      <c r="M259">
        <v>6940313480</v>
      </c>
      <c r="N259">
        <v>6638334706</v>
      </c>
      <c r="O259">
        <v>6005681964</v>
      </c>
      <c r="P259">
        <v>435</v>
      </c>
      <c r="Q259" t="s">
        <v>670</v>
      </c>
    </row>
    <row r="260" spans="1:17" x14ac:dyDescent="0.3">
      <c r="A260" t="s">
        <v>17</v>
      </c>
      <c r="B260" t="str">
        <f>"600297"</f>
        <v>600297</v>
      </c>
      <c r="C260" t="s">
        <v>671</v>
      </c>
      <c r="D260" t="s">
        <v>672</v>
      </c>
      <c r="F260">
        <v>40953372942</v>
      </c>
      <c r="G260">
        <v>39709899536</v>
      </c>
      <c r="H260">
        <v>38089701516</v>
      </c>
      <c r="I260">
        <v>36012677855</v>
      </c>
      <c r="J260">
        <v>34334811451</v>
      </c>
      <c r="K260">
        <v>23566494215</v>
      </c>
      <c r="L260">
        <v>20983087174</v>
      </c>
      <c r="M260">
        <v>962646066</v>
      </c>
      <c r="N260">
        <v>949881519</v>
      </c>
      <c r="O260">
        <v>900320538</v>
      </c>
      <c r="P260">
        <v>469</v>
      </c>
      <c r="Q260" t="s">
        <v>673</v>
      </c>
    </row>
    <row r="261" spans="1:17" x14ac:dyDescent="0.3">
      <c r="A261" t="s">
        <v>17</v>
      </c>
      <c r="B261" t="str">
        <f>"600298"</f>
        <v>600298</v>
      </c>
      <c r="C261" t="s">
        <v>674</v>
      </c>
      <c r="D261" t="s">
        <v>433</v>
      </c>
      <c r="F261">
        <v>6854060616</v>
      </c>
      <c r="G261">
        <v>5889923352</v>
      </c>
      <c r="H261">
        <v>5029839822</v>
      </c>
      <c r="I261">
        <v>4292951230</v>
      </c>
      <c r="J261">
        <v>3842817404</v>
      </c>
      <c r="K261">
        <v>3253369622</v>
      </c>
      <c r="L261">
        <v>3038986736</v>
      </c>
      <c r="M261">
        <v>2822357259</v>
      </c>
      <c r="N261">
        <v>2735902607</v>
      </c>
      <c r="O261">
        <v>2675282511</v>
      </c>
      <c r="P261">
        <v>4513</v>
      </c>
      <c r="Q261" t="s">
        <v>675</v>
      </c>
    </row>
    <row r="262" spans="1:17" x14ac:dyDescent="0.3">
      <c r="A262" t="s">
        <v>17</v>
      </c>
      <c r="B262" t="str">
        <f>"600299"</f>
        <v>600299</v>
      </c>
      <c r="C262" t="s">
        <v>676</v>
      </c>
      <c r="D262" t="s">
        <v>677</v>
      </c>
      <c r="F262">
        <v>14094301631</v>
      </c>
      <c r="G262">
        <v>13952945387</v>
      </c>
      <c r="H262">
        <v>13797572348</v>
      </c>
      <c r="I262">
        <v>13602423751</v>
      </c>
      <c r="J262">
        <v>13164279736</v>
      </c>
      <c r="K262">
        <v>12075838659</v>
      </c>
      <c r="L262">
        <v>10189335115</v>
      </c>
      <c r="M262">
        <v>994642669</v>
      </c>
      <c r="N262">
        <v>763574274</v>
      </c>
      <c r="O262">
        <v>1900010552</v>
      </c>
      <c r="P262">
        <v>497</v>
      </c>
      <c r="Q262" t="s">
        <v>678</v>
      </c>
    </row>
    <row r="263" spans="1:17" x14ac:dyDescent="0.3">
      <c r="A263" t="s">
        <v>17</v>
      </c>
      <c r="B263" t="str">
        <f>"600300"</f>
        <v>600300</v>
      </c>
      <c r="C263" t="s">
        <v>679</v>
      </c>
      <c r="D263" t="s">
        <v>440</v>
      </c>
      <c r="F263">
        <v>3031137296</v>
      </c>
      <c r="G263">
        <v>2971804096</v>
      </c>
      <c r="H263">
        <v>2464077404</v>
      </c>
      <c r="I263">
        <v>2502080575</v>
      </c>
      <c r="J263">
        <v>2719600553</v>
      </c>
      <c r="K263">
        <v>2660753319</v>
      </c>
      <c r="L263">
        <v>2689716463</v>
      </c>
      <c r="M263">
        <v>2621651695</v>
      </c>
      <c r="N263">
        <v>2445287707</v>
      </c>
      <c r="O263">
        <v>2461308991</v>
      </c>
      <c r="P263">
        <v>209</v>
      </c>
      <c r="Q263" t="s">
        <v>680</v>
      </c>
    </row>
    <row r="264" spans="1:17" x14ac:dyDescent="0.3">
      <c r="A264" t="s">
        <v>17</v>
      </c>
      <c r="B264" t="str">
        <f>"600301"</f>
        <v>600301</v>
      </c>
      <c r="C264" t="s">
        <v>681</v>
      </c>
      <c r="D264" t="s">
        <v>131</v>
      </c>
      <c r="F264">
        <v>320338501</v>
      </c>
      <c r="G264">
        <v>332027506</v>
      </c>
      <c r="H264">
        <v>322953492</v>
      </c>
      <c r="I264">
        <v>303144089</v>
      </c>
      <c r="J264">
        <v>241749391</v>
      </c>
      <c r="K264">
        <v>263846726</v>
      </c>
      <c r="L264">
        <v>250386735</v>
      </c>
      <c r="M264">
        <v>-206542892</v>
      </c>
      <c r="N264">
        <v>24630566</v>
      </c>
      <c r="O264">
        <v>-40623312</v>
      </c>
      <c r="P264">
        <v>53</v>
      </c>
      <c r="Q264" t="s">
        <v>682</v>
      </c>
    </row>
    <row r="265" spans="1:17" x14ac:dyDescent="0.3">
      <c r="A265" t="s">
        <v>17</v>
      </c>
      <c r="B265" t="str">
        <f>"600302"</f>
        <v>600302</v>
      </c>
      <c r="C265" t="s">
        <v>683</v>
      </c>
      <c r="D265" t="s">
        <v>534</v>
      </c>
      <c r="F265">
        <v>1104752433</v>
      </c>
      <c r="G265">
        <v>1211273651</v>
      </c>
      <c r="H265">
        <v>1071246162</v>
      </c>
      <c r="I265">
        <v>1238788788</v>
      </c>
      <c r="J265">
        <v>1210614935</v>
      </c>
      <c r="K265">
        <v>1215971005</v>
      </c>
      <c r="L265">
        <v>1156627191</v>
      </c>
      <c r="M265">
        <v>1109539615</v>
      </c>
      <c r="N265">
        <v>1206608938</v>
      </c>
      <c r="O265">
        <v>1194074586</v>
      </c>
      <c r="P265">
        <v>51</v>
      </c>
      <c r="Q265" t="s">
        <v>684</v>
      </c>
    </row>
    <row r="266" spans="1:17" x14ac:dyDescent="0.3">
      <c r="A266" t="s">
        <v>17</v>
      </c>
      <c r="B266" t="str">
        <f>"600303"</f>
        <v>600303</v>
      </c>
      <c r="C266" t="s">
        <v>685</v>
      </c>
      <c r="D266" t="s">
        <v>153</v>
      </c>
      <c r="F266">
        <v>2485819455</v>
      </c>
      <c r="G266">
        <v>2961430681</v>
      </c>
      <c r="H266">
        <v>2920735280</v>
      </c>
      <c r="I266">
        <v>2874098054</v>
      </c>
      <c r="J266">
        <v>3101552485</v>
      </c>
      <c r="K266">
        <v>2801492983</v>
      </c>
      <c r="L266">
        <v>2366986422</v>
      </c>
      <c r="M266">
        <v>2261649776</v>
      </c>
      <c r="N266">
        <v>2058972051</v>
      </c>
      <c r="O266">
        <v>2378026152</v>
      </c>
      <c r="P266">
        <v>131</v>
      </c>
      <c r="Q266" t="s">
        <v>686</v>
      </c>
    </row>
    <row r="267" spans="1:17" x14ac:dyDescent="0.3">
      <c r="A267" t="s">
        <v>17</v>
      </c>
      <c r="B267" t="str">
        <f>"600305"</f>
        <v>600305</v>
      </c>
      <c r="C267" t="s">
        <v>687</v>
      </c>
      <c r="D267" t="s">
        <v>433</v>
      </c>
      <c r="F267">
        <v>2170553447</v>
      </c>
      <c r="G267">
        <v>2395313493</v>
      </c>
      <c r="H267">
        <v>2251817647</v>
      </c>
      <c r="I267">
        <v>2034797567</v>
      </c>
      <c r="J267">
        <v>1800148720</v>
      </c>
      <c r="K267">
        <v>1571463982</v>
      </c>
      <c r="L267">
        <v>1473381346</v>
      </c>
      <c r="M267">
        <v>1262260456</v>
      </c>
      <c r="N267">
        <v>547789770</v>
      </c>
      <c r="O267">
        <v>506820080</v>
      </c>
      <c r="P267">
        <v>2155</v>
      </c>
      <c r="Q267" t="s">
        <v>688</v>
      </c>
    </row>
    <row r="268" spans="1:17" x14ac:dyDescent="0.3">
      <c r="A268" t="s">
        <v>17</v>
      </c>
      <c r="B268" t="str">
        <f>"600306"</f>
        <v>600306</v>
      </c>
      <c r="C268" t="s">
        <v>689</v>
      </c>
      <c r="D268" t="s">
        <v>633</v>
      </c>
      <c r="F268">
        <v>46296900</v>
      </c>
      <c r="G268">
        <v>-233625005</v>
      </c>
      <c r="H268">
        <v>-84483373</v>
      </c>
      <c r="I268">
        <v>21669611</v>
      </c>
      <c r="J268">
        <v>149334206</v>
      </c>
      <c r="K268">
        <v>66930913</v>
      </c>
      <c r="L268">
        <v>-43618683</v>
      </c>
      <c r="M268">
        <v>119650167</v>
      </c>
      <c r="N268">
        <v>67238775</v>
      </c>
      <c r="O268">
        <v>492968885</v>
      </c>
      <c r="P268">
        <v>71</v>
      </c>
      <c r="Q268" t="s">
        <v>690</v>
      </c>
    </row>
    <row r="269" spans="1:17" x14ac:dyDescent="0.3">
      <c r="A269" t="s">
        <v>17</v>
      </c>
      <c r="B269" t="str">
        <f>"600307"</f>
        <v>600307</v>
      </c>
      <c r="C269" t="s">
        <v>691</v>
      </c>
      <c r="D269" t="s">
        <v>38</v>
      </c>
      <c r="F269">
        <v>13785068140</v>
      </c>
      <c r="G269">
        <v>12317019703</v>
      </c>
      <c r="H269">
        <v>11808752785</v>
      </c>
      <c r="I269">
        <v>10535867972</v>
      </c>
      <c r="J269">
        <v>9597050289</v>
      </c>
      <c r="K269">
        <v>9156247270</v>
      </c>
      <c r="L269">
        <v>9069069025</v>
      </c>
      <c r="M269">
        <v>16406086091</v>
      </c>
      <c r="N269">
        <v>16423229102</v>
      </c>
      <c r="O269">
        <v>11938892297</v>
      </c>
      <c r="P269">
        <v>211</v>
      </c>
      <c r="Q269" t="s">
        <v>692</v>
      </c>
    </row>
    <row r="270" spans="1:17" x14ac:dyDescent="0.3">
      <c r="A270" t="s">
        <v>17</v>
      </c>
      <c r="B270" t="str">
        <f>"600308"</f>
        <v>600308</v>
      </c>
      <c r="C270" t="s">
        <v>693</v>
      </c>
      <c r="D270" t="s">
        <v>694</v>
      </c>
      <c r="F270">
        <v>9334025019</v>
      </c>
      <c r="G270">
        <v>8719311120</v>
      </c>
      <c r="H270">
        <v>8211970492</v>
      </c>
      <c r="I270">
        <v>7677803738</v>
      </c>
      <c r="J270">
        <v>7145334826</v>
      </c>
      <c r="K270">
        <v>6513848005</v>
      </c>
      <c r="L270">
        <v>6342810999</v>
      </c>
      <c r="M270">
        <v>6294114606</v>
      </c>
      <c r="N270">
        <v>6261547518</v>
      </c>
      <c r="O270">
        <v>6224135419</v>
      </c>
      <c r="P270">
        <v>644</v>
      </c>
      <c r="Q270" t="s">
        <v>695</v>
      </c>
    </row>
    <row r="271" spans="1:17" x14ac:dyDescent="0.3">
      <c r="A271" t="s">
        <v>17</v>
      </c>
      <c r="B271" t="str">
        <f>"600309"</f>
        <v>600309</v>
      </c>
      <c r="C271" t="s">
        <v>696</v>
      </c>
      <c r="D271" t="s">
        <v>528</v>
      </c>
      <c r="F271">
        <v>68498529411</v>
      </c>
      <c r="G271">
        <v>48780345139</v>
      </c>
      <c r="H271">
        <v>42364094556</v>
      </c>
      <c r="I271">
        <v>33778735673</v>
      </c>
      <c r="J271">
        <v>27279539897</v>
      </c>
      <c r="K271">
        <v>14821586071</v>
      </c>
      <c r="L271">
        <v>11570972857</v>
      </c>
      <c r="M271">
        <v>10594084393</v>
      </c>
      <c r="N271">
        <v>9677924315</v>
      </c>
      <c r="O271">
        <v>8304389812</v>
      </c>
      <c r="P271">
        <v>7475</v>
      </c>
      <c r="Q271" t="s">
        <v>697</v>
      </c>
    </row>
    <row r="272" spans="1:17" x14ac:dyDescent="0.3">
      <c r="A272" t="s">
        <v>17</v>
      </c>
      <c r="B272" t="str">
        <f>"600310"</f>
        <v>600310</v>
      </c>
      <c r="C272" t="s">
        <v>698</v>
      </c>
      <c r="D272" t="s">
        <v>239</v>
      </c>
      <c r="F272">
        <v>3139743724</v>
      </c>
      <c r="G272">
        <v>2267365256</v>
      </c>
      <c r="H272">
        <v>2037675832</v>
      </c>
      <c r="I272">
        <v>1883176536</v>
      </c>
      <c r="J272">
        <v>2038565513</v>
      </c>
      <c r="K272">
        <v>2663104846</v>
      </c>
      <c r="L272">
        <v>2677777565</v>
      </c>
      <c r="M272">
        <v>3817352340</v>
      </c>
      <c r="N272">
        <v>3285590472</v>
      </c>
      <c r="O272">
        <v>3112347390</v>
      </c>
      <c r="P272">
        <v>115</v>
      </c>
      <c r="Q272" t="s">
        <v>699</v>
      </c>
    </row>
    <row r="273" spans="1:17" x14ac:dyDescent="0.3">
      <c r="A273" t="s">
        <v>17</v>
      </c>
      <c r="B273" t="str">
        <f>"600311"</f>
        <v>600311</v>
      </c>
      <c r="C273" t="s">
        <v>700</v>
      </c>
      <c r="D273" t="s">
        <v>701</v>
      </c>
      <c r="F273">
        <v>-80421777</v>
      </c>
      <c r="G273">
        <v>208114145</v>
      </c>
      <c r="H273">
        <v>628320278</v>
      </c>
      <c r="I273">
        <v>720996287</v>
      </c>
      <c r="J273">
        <v>829696026</v>
      </c>
      <c r="K273">
        <v>827123467</v>
      </c>
      <c r="L273">
        <v>892079111</v>
      </c>
      <c r="M273">
        <v>888584814</v>
      </c>
      <c r="N273">
        <v>912835784</v>
      </c>
      <c r="O273">
        <v>908009101</v>
      </c>
      <c r="P273">
        <v>53</v>
      </c>
      <c r="Q273" t="s">
        <v>702</v>
      </c>
    </row>
    <row r="274" spans="1:17" x14ac:dyDescent="0.3">
      <c r="A274" t="s">
        <v>17</v>
      </c>
      <c r="B274" t="str">
        <f>"600312"</f>
        <v>600312</v>
      </c>
      <c r="C274" t="s">
        <v>703</v>
      </c>
      <c r="D274" t="s">
        <v>210</v>
      </c>
      <c r="F274">
        <v>9136481743</v>
      </c>
      <c r="G274">
        <v>9077852745</v>
      </c>
      <c r="H274">
        <v>9051473507</v>
      </c>
      <c r="I274">
        <v>8925677252</v>
      </c>
      <c r="J274">
        <v>8853234937</v>
      </c>
      <c r="K274">
        <v>9023514872</v>
      </c>
      <c r="L274">
        <v>6126851688</v>
      </c>
      <c r="M274">
        <v>5868838201</v>
      </c>
      <c r="N274">
        <v>3227870382</v>
      </c>
      <c r="O274">
        <v>2870215500</v>
      </c>
      <c r="P274">
        <v>634</v>
      </c>
      <c r="Q274" t="s">
        <v>704</v>
      </c>
    </row>
    <row r="275" spans="1:17" x14ac:dyDescent="0.3">
      <c r="A275" t="s">
        <v>17</v>
      </c>
      <c r="B275" t="str">
        <f>"600313"</f>
        <v>600313</v>
      </c>
      <c r="C275" t="s">
        <v>705</v>
      </c>
      <c r="D275" t="s">
        <v>706</v>
      </c>
      <c r="F275">
        <v>1503827917</v>
      </c>
      <c r="G275">
        <v>1467297044</v>
      </c>
      <c r="H275">
        <v>1440282629</v>
      </c>
      <c r="I275">
        <v>1421602605</v>
      </c>
      <c r="J275">
        <v>1389992296</v>
      </c>
      <c r="K275">
        <v>1708130883</v>
      </c>
      <c r="L275">
        <v>1743812854</v>
      </c>
      <c r="M275">
        <v>1139033678</v>
      </c>
      <c r="N275">
        <v>1025291615</v>
      </c>
      <c r="O275">
        <v>1003133724</v>
      </c>
      <c r="P275">
        <v>173</v>
      </c>
      <c r="Q275" t="s">
        <v>707</v>
      </c>
    </row>
    <row r="276" spans="1:17" x14ac:dyDescent="0.3">
      <c r="A276" t="s">
        <v>17</v>
      </c>
      <c r="B276" t="str">
        <f>"600315"</f>
        <v>600315</v>
      </c>
      <c r="C276" t="s">
        <v>708</v>
      </c>
      <c r="D276" t="s">
        <v>709</v>
      </c>
      <c r="F276">
        <v>6963277402</v>
      </c>
      <c r="G276">
        <v>6499224054</v>
      </c>
      <c r="H276">
        <v>6285750064</v>
      </c>
      <c r="I276">
        <v>5813061294</v>
      </c>
      <c r="J276">
        <v>5376551847</v>
      </c>
      <c r="K276">
        <v>5264125997</v>
      </c>
      <c r="L276">
        <v>5728747483</v>
      </c>
      <c r="M276">
        <v>3804904626</v>
      </c>
      <c r="N276">
        <v>3325319389</v>
      </c>
      <c r="O276">
        <v>2656356595</v>
      </c>
      <c r="P276">
        <v>1243</v>
      </c>
      <c r="Q276" t="s">
        <v>710</v>
      </c>
    </row>
    <row r="277" spans="1:17" x14ac:dyDescent="0.3">
      <c r="A277" t="s">
        <v>17</v>
      </c>
      <c r="B277" t="str">
        <f>"600316"</f>
        <v>600316</v>
      </c>
      <c r="C277" t="s">
        <v>711</v>
      </c>
      <c r="D277" t="s">
        <v>98</v>
      </c>
      <c r="F277">
        <v>5239886062</v>
      </c>
      <c r="G277">
        <v>5112759580</v>
      </c>
      <c r="H277">
        <v>4964263609</v>
      </c>
      <c r="I277">
        <v>4871011478</v>
      </c>
      <c r="J277">
        <v>4906405881</v>
      </c>
      <c r="K277">
        <v>5064816111</v>
      </c>
      <c r="L277">
        <v>5282015454</v>
      </c>
      <c r="M277">
        <v>4917897580</v>
      </c>
      <c r="N277">
        <v>4747580926</v>
      </c>
      <c r="O277">
        <v>4596586687</v>
      </c>
      <c r="P277">
        <v>387</v>
      </c>
      <c r="Q277" t="s">
        <v>712</v>
      </c>
    </row>
    <row r="278" spans="1:17" x14ac:dyDescent="0.3">
      <c r="A278" t="s">
        <v>17</v>
      </c>
      <c r="B278" t="str">
        <f>"600317"</f>
        <v>600317</v>
      </c>
      <c r="C278" t="s">
        <v>713</v>
      </c>
      <c r="H278">
        <v>12345269133</v>
      </c>
      <c r="I278">
        <v>11639358734</v>
      </c>
      <c r="J278">
        <v>10798870633</v>
      </c>
      <c r="K278">
        <v>10418447924</v>
      </c>
      <c r="L278">
        <v>9975158461.6000004</v>
      </c>
      <c r="M278">
        <v>9523732397.4400005</v>
      </c>
      <c r="N278">
        <v>9767054399.7900009</v>
      </c>
      <c r="O278">
        <v>9307708806.75</v>
      </c>
      <c r="P278">
        <v>92</v>
      </c>
      <c r="Q278" t="s">
        <v>714</v>
      </c>
    </row>
    <row r="279" spans="1:17" x14ac:dyDescent="0.3">
      <c r="A279" t="s">
        <v>17</v>
      </c>
      <c r="B279" t="str">
        <f>"600318"</f>
        <v>600318</v>
      </c>
      <c r="C279" t="s">
        <v>715</v>
      </c>
      <c r="D279" t="s">
        <v>140</v>
      </c>
      <c r="F279">
        <v>1141656473</v>
      </c>
      <c r="G279">
        <v>1248631640</v>
      </c>
      <c r="H279">
        <v>1258284301</v>
      </c>
      <c r="I279">
        <v>1037843363</v>
      </c>
      <c r="J279">
        <v>1007970437</v>
      </c>
      <c r="K279">
        <v>1297462690</v>
      </c>
      <c r="L279">
        <v>1130311549</v>
      </c>
      <c r="M279">
        <v>1084476920</v>
      </c>
      <c r="N279">
        <v>996091028</v>
      </c>
      <c r="O279">
        <v>862407949</v>
      </c>
      <c r="P279">
        <v>104</v>
      </c>
      <c r="Q279" t="s">
        <v>716</v>
      </c>
    </row>
    <row r="280" spans="1:17" x14ac:dyDescent="0.3">
      <c r="A280" t="s">
        <v>17</v>
      </c>
      <c r="B280" t="str">
        <f>"600319"</f>
        <v>600319</v>
      </c>
      <c r="C280" t="s">
        <v>717</v>
      </c>
      <c r="D280" t="s">
        <v>175</v>
      </c>
      <c r="F280">
        <v>231835308</v>
      </c>
      <c r="G280">
        <v>38830389</v>
      </c>
      <c r="H280">
        <v>64582907</v>
      </c>
      <c r="I280">
        <v>36771595</v>
      </c>
      <c r="J280">
        <v>32622537</v>
      </c>
      <c r="K280">
        <v>7349480</v>
      </c>
      <c r="L280">
        <v>-155534992</v>
      </c>
      <c r="M280">
        <v>176895469</v>
      </c>
      <c r="N280">
        <v>376527063</v>
      </c>
      <c r="O280">
        <v>367748076</v>
      </c>
      <c r="P280">
        <v>57</v>
      </c>
      <c r="Q280" t="s">
        <v>718</v>
      </c>
    </row>
    <row r="281" spans="1:17" x14ac:dyDescent="0.3">
      <c r="A281" t="s">
        <v>17</v>
      </c>
      <c r="B281" t="str">
        <f>"600320"</f>
        <v>600320</v>
      </c>
      <c r="C281" t="s">
        <v>719</v>
      </c>
      <c r="D281" t="s">
        <v>395</v>
      </c>
      <c r="F281">
        <v>14490218631</v>
      </c>
      <c r="G281">
        <v>14070822140</v>
      </c>
      <c r="H281">
        <v>15543404014</v>
      </c>
      <c r="I281">
        <v>15185861952</v>
      </c>
      <c r="J281">
        <v>15011306366</v>
      </c>
      <c r="K281">
        <v>15196736263</v>
      </c>
      <c r="L281">
        <v>14869572883</v>
      </c>
      <c r="M281">
        <v>14780603810</v>
      </c>
      <c r="N281">
        <v>14510604831</v>
      </c>
      <c r="O281">
        <v>14210952596</v>
      </c>
      <c r="P281">
        <v>190</v>
      </c>
      <c r="Q281" t="s">
        <v>720</v>
      </c>
    </row>
    <row r="282" spans="1:17" x14ac:dyDescent="0.3">
      <c r="A282" t="s">
        <v>17</v>
      </c>
      <c r="B282" t="str">
        <f>"600321"</f>
        <v>600321</v>
      </c>
      <c r="C282" t="s">
        <v>721</v>
      </c>
      <c r="D282" t="s">
        <v>722</v>
      </c>
      <c r="F282">
        <v>1913869012</v>
      </c>
      <c r="G282">
        <v>1927196753</v>
      </c>
      <c r="H282">
        <v>2714373435</v>
      </c>
      <c r="I282">
        <v>2690674024</v>
      </c>
      <c r="J282">
        <v>2658279227</v>
      </c>
      <c r="K282">
        <v>2678867482</v>
      </c>
      <c r="L282">
        <v>2674711383</v>
      </c>
      <c r="M282">
        <v>2143056930</v>
      </c>
      <c r="N282">
        <v>2148870115</v>
      </c>
      <c r="O282">
        <v>2082086796</v>
      </c>
      <c r="P282">
        <v>74</v>
      </c>
      <c r="Q282" t="s">
        <v>723</v>
      </c>
    </row>
    <row r="283" spans="1:17" x14ac:dyDescent="0.3">
      <c r="A283" t="s">
        <v>17</v>
      </c>
      <c r="B283" t="str">
        <f>"600322"</f>
        <v>600322</v>
      </c>
      <c r="C283" t="s">
        <v>724</v>
      </c>
      <c r="D283" t="s">
        <v>104</v>
      </c>
      <c r="F283">
        <v>490195769</v>
      </c>
      <c r="G283">
        <v>2138576649</v>
      </c>
      <c r="H283">
        <v>4656143811</v>
      </c>
      <c r="I283">
        <v>4515157632</v>
      </c>
      <c r="J283">
        <v>4380663311</v>
      </c>
      <c r="K283">
        <v>4162899529</v>
      </c>
      <c r="L283">
        <v>4542244269</v>
      </c>
      <c r="M283">
        <v>4588731494</v>
      </c>
      <c r="N283">
        <v>4464901594</v>
      </c>
      <c r="O283">
        <v>4404198504</v>
      </c>
      <c r="P283">
        <v>84</v>
      </c>
      <c r="Q283" t="s">
        <v>725</v>
      </c>
    </row>
    <row r="284" spans="1:17" x14ac:dyDescent="0.3">
      <c r="A284" t="s">
        <v>17</v>
      </c>
      <c r="B284" t="str">
        <f>"600323"</f>
        <v>600323</v>
      </c>
      <c r="C284" t="s">
        <v>726</v>
      </c>
      <c r="D284" t="s">
        <v>499</v>
      </c>
      <c r="F284">
        <v>9904595771</v>
      </c>
      <c r="G284">
        <v>7472943072</v>
      </c>
      <c r="H284">
        <v>6558101671</v>
      </c>
      <c r="I284">
        <v>5834496869</v>
      </c>
      <c r="J284">
        <v>5324683874</v>
      </c>
      <c r="K284">
        <v>4824246039</v>
      </c>
      <c r="L284">
        <v>4394401180</v>
      </c>
      <c r="M284">
        <v>3329055932</v>
      </c>
      <c r="N284">
        <v>2442593561</v>
      </c>
      <c r="O284">
        <v>2266639721</v>
      </c>
      <c r="P284">
        <v>1149</v>
      </c>
      <c r="Q284" t="s">
        <v>727</v>
      </c>
    </row>
    <row r="285" spans="1:17" x14ac:dyDescent="0.3">
      <c r="A285" t="s">
        <v>17</v>
      </c>
      <c r="B285" t="str">
        <f>"600325"</f>
        <v>600325</v>
      </c>
      <c r="C285" t="s">
        <v>728</v>
      </c>
      <c r="D285" t="s">
        <v>104</v>
      </c>
      <c r="F285">
        <v>16933137816</v>
      </c>
      <c r="G285">
        <v>14774239997</v>
      </c>
      <c r="H285">
        <v>13382825443</v>
      </c>
      <c r="I285">
        <v>11774944685</v>
      </c>
      <c r="J285">
        <v>11882683922</v>
      </c>
      <c r="K285">
        <v>12989478885</v>
      </c>
      <c r="L285">
        <v>11721065519</v>
      </c>
      <c r="M285">
        <v>6913804256</v>
      </c>
      <c r="N285">
        <v>6382322852</v>
      </c>
      <c r="O285">
        <v>6624654692</v>
      </c>
      <c r="P285">
        <v>1184</v>
      </c>
      <c r="Q285" t="s">
        <v>729</v>
      </c>
    </row>
    <row r="286" spans="1:17" x14ac:dyDescent="0.3">
      <c r="A286" t="s">
        <v>17</v>
      </c>
      <c r="B286" t="str">
        <f>"600326"</f>
        <v>600326</v>
      </c>
      <c r="C286" t="s">
        <v>730</v>
      </c>
      <c r="D286" t="s">
        <v>731</v>
      </c>
      <c r="F286">
        <v>4303754579</v>
      </c>
      <c r="G286">
        <v>4265579346</v>
      </c>
      <c r="H286">
        <v>3432030080</v>
      </c>
      <c r="I286">
        <v>3044605206</v>
      </c>
      <c r="J286">
        <v>2665374078</v>
      </c>
      <c r="K286">
        <v>2388333166</v>
      </c>
      <c r="L286">
        <v>2173908249</v>
      </c>
      <c r="M286">
        <v>1125669077</v>
      </c>
      <c r="N286">
        <v>1066905911</v>
      </c>
      <c r="O286">
        <v>1061644417</v>
      </c>
      <c r="P286">
        <v>275</v>
      </c>
      <c r="Q286" t="s">
        <v>732</v>
      </c>
    </row>
    <row r="287" spans="1:17" x14ac:dyDescent="0.3">
      <c r="A287" t="s">
        <v>17</v>
      </c>
      <c r="B287" t="str">
        <f>"600327"</f>
        <v>600327</v>
      </c>
      <c r="C287" t="s">
        <v>733</v>
      </c>
      <c r="D287" t="s">
        <v>672</v>
      </c>
      <c r="F287">
        <v>3599088860</v>
      </c>
      <c r="G287">
        <v>3416403795</v>
      </c>
      <c r="H287">
        <v>3374119595</v>
      </c>
      <c r="I287">
        <v>2714139469</v>
      </c>
      <c r="J287">
        <v>2815826131</v>
      </c>
      <c r="K287">
        <v>2898179286</v>
      </c>
      <c r="L287">
        <v>2181174078</v>
      </c>
      <c r="M287">
        <v>1452501934</v>
      </c>
      <c r="N287">
        <v>1373341572</v>
      </c>
      <c r="O287">
        <v>1229002596</v>
      </c>
      <c r="P287">
        <v>221</v>
      </c>
      <c r="Q287" t="s">
        <v>734</v>
      </c>
    </row>
    <row r="288" spans="1:17" x14ac:dyDescent="0.3">
      <c r="A288" t="s">
        <v>17</v>
      </c>
      <c r="B288" t="str">
        <f>"600328"</f>
        <v>600328</v>
      </c>
      <c r="C288" t="s">
        <v>735</v>
      </c>
      <c r="D288" t="s">
        <v>736</v>
      </c>
      <c r="F288">
        <v>7731831844</v>
      </c>
      <c r="G288">
        <v>6495404597</v>
      </c>
      <c r="H288">
        <v>5423251084</v>
      </c>
      <c r="I288">
        <v>2408120067</v>
      </c>
      <c r="J288">
        <v>2203356711</v>
      </c>
      <c r="K288">
        <v>1999020545</v>
      </c>
      <c r="L288">
        <v>1212874862</v>
      </c>
      <c r="M288">
        <v>1255398625</v>
      </c>
      <c r="N288">
        <v>1260576422</v>
      </c>
      <c r="O288">
        <v>1200440821</v>
      </c>
      <c r="P288">
        <v>263</v>
      </c>
      <c r="Q288" t="s">
        <v>737</v>
      </c>
    </row>
    <row r="289" spans="1:17" x14ac:dyDescent="0.3">
      <c r="A289" t="s">
        <v>17</v>
      </c>
      <c r="B289" t="str">
        <f>"600329"</f>
        <v>600329</v>
      </c>
      <c r="C289" t="s">
        <v>738</v>
      </c>
      <c r="D289" t="s">
        <v>188</v>
      </c>
      <c r="F289">
        <v>6364477575</v>
      </c>
      <c r="G289">
        <v>5808408894</v>
      </c>
      <c r="H289">
        <v>5388173827</v>
      </c>
      <c r="I289">
        <v>4926990477</v>
      </c>
      <c r="J289">
        <v>4476757551</v>
      </c>
      <c r="K289">
        <v>4139628554</v>
      </c>
      <c r="L289">
        <v>3921707967</v>
      </c>
      <c r="M289">
        <v>2763776535</v>
      </c>
      <c r="N289">
        <v>2417381111</v>
      </c>
      <c r="O289">
        <v>2136896180</v>
      </c>
      <c r="P289">
        <v>553</v>
      </c>
      <c r="Q289" t="s">
        <v>739</v>
      </c>
    </row>
    <row r="290" spans="1:17" x14ac:dyDescent="0.3">
      <c r="A290" t="s">
        <v>17</v>
      </c>
      <c r="B290" t="str">
        <f>"600330"</f>
        <v>600330</v>
      </c>
      <c r="C290" t="s">
        <v>740</v>
      </c>
      <c r="D290" t="s">
        <v>741</v>
      </c>
      <c r="F290">
        <v>5037314551</v>
      </c>
      <c r="G290">
        <v>4716139084</v>
      </c>
      <c r="H290">
        <v>4066829257</v>
      </c>
      <c r="I290">
        <v>3826675430</v>
      </c>
      <c r="J290">
        <v>3727373790</v>
      </c>
      <c r="K290">
        <v>3607148740</v>
      </c>
      <c r="L290">
        <v>3509132566</v>
      </c>
      <c r="M290">
        <v>1482602149</v>
      </c>
      <c r="N290">
        <v>1171175362</v>
      </c>
      <c r="O290">
        <v>1163439332</v>
      </c>
      <c r="P290">
        <v>3157</v>
      </c>
      <c r="Q290" t="s">
        <v>742</v>
      </c>
    </row>
    <row r="291" spans="1:17" x14ac:dyDescent="0.3">
      <c r="A291" t="s">
        <v>17</v>
      </c>
      <c r="B291" t="str">
        <f>"600331"</f>
        <v>600331</v>
      </c>
      <c r="C291" t="s">
        <v>743</v>
      </c>
      <c r="D291" t="s">
        <v>744</v>
      </c>
      <c r="F291">
        <v>348757384</v>
      </c>
      <c r="G291">
        <v>48490044</v>
      </c>
      <c r="H291">
        <v>2296369390</v>
      </c>
      <c r="I291">
        <v>2217810693</v>
      </c>
      <c r="J291">
        <v>4931326018</v>
      </c>
      <c r="K291">
        <v>4724259333</v>
      </c>
      <c r="L291">
        <v>4598488642</v>
      </c>
      <c r="M291">
        <v>4567154540</v>
      </c>
      <c r="N291">
        <v>1026032042</v>
      </c>
      <c r="O291">
        <v>930972198</v>
      </c>
      <c r="P291">
        <v>117</v>
      </c>
      <c r="Q291" t="s">
        <v>745</v>
      </c>
    </row>
    <row r="292" spans="1:17" x14ac:dyDescent="0.3">
      <c r="A292" t="s">
        <v>17</v>
      </c>
      <c r="B292" t="str">
        <f>"600332"</f>
        <v>600332</v>
      </c>
      <c r="C292" t="s">
        <v>746</v>
      </c>
      <c r="D292" t="s">
        <v>188</v>
      </c>
      <c r="F292">
        <v>29062184459</v>
      </c>
      <c r="G292">
        <v>26144842969</v>
      </c>
      <c r="H292">
        <v>24184796664</v>
      </c>
      <c r="I292">
        <v>21684909209</v>
      </c>
      <c r="J292">
        <v>18871520572</v>
      </c>
      <c r="K292">
        <v>17345079740</v>
      </c>
      <c r="L292">
        <v>8450814433</v>
      </c>
      <c r="M292">
        <v>7739300532</v>
      </c>
      <c r="N292">
        <v>6831767892</v>
      </c>
      <c r="O292">
        <v>4096589435</v>
      </c>
      <c r="P292">
        <v>2231</v>
      </c>
      <c r="Q292" t="s">
        <v>747</v>
      </c>
    </row>
    <row r="293" spans="1:17" x14ac:dyDescent="0.3">
      <c r="A293" t="s">
        <v>17</v>
      </c>
      <c r="B293" t="str">
        <f>"600333"</f>
        <v>600333</v>
      </c>
      <c r="C293" t="s">
        <v>748</v>
      </c>
      <c r="D293" t="s">
        <v>749</v>
      </c>
      <c r="F293">
        <v>2115587357</v>
      </c>
      <c r="G293">
        <v>2124216832</v>
      </c>
      <c r="H293">
        <v>2104452464</v>
      </c>
      <c r="I293">
        <v>2087287555</v>
      </c>
      <c r="J293">
        <v>2177789933</v>
      </c>
      <c r="K293">
        <v>1611438426</v>
      </c>
      <c r="L293">
        <v>1574269488</v>
      </c>
      <c r="M293">
        <v>1899437489</v>
      </c>
      <c r="N293">
        <v>1893107482</v>
      </c>
      <c r="O293">
        <v>1398000836</v>
      </c>
      <c r="P293">
        <v>103</v>
      </c>
      <c r="Q293" t="s">
        <v>750</v>
      </c>
    </row>
    <row r="294" spans="1:17" x14ac:dyDescent="0.3">
      <c r="A294" t="s">
        <v>17</v>
      </c>
      <c r="B294" t="str">
        <f>"600335"</f>
        <v>600335</v>
      </c>
      <c r="C294" t="s">
        <v>751</v>
      </c>
      <c r="D294" t="s">
        <v>672</v>
      </c>
      <c r="F294">
        <v>10583350458</v>
      </c>
      <c r="G294">
        <v>10538669852</v>
      </c>
      <c r="H294">
        <v>10130795772</v>
      </c>
      <c r="I294">
        <v>7928293562</v>
      </c>
      <c r="J294">
        <v>7484066745</v>
      </c>
      <c r="K294">
        <v>7020591269</v>
      </c>
      <c r="L294">
        <v>5502837828</v>
      </c>
      <c r="M294">
        <v>5085891547</v>
      </c>
      <c r="N294">
        <v>3568245709</v>
      </c>
      <c r="O294">
        <v>2966750268</v>
      </c>
      <c r="P294">
        <v>150</v>
      </c>
      <c r="Q294" t="s">
        <v>752</v>
      </c>
    </row>
    <row r="295" spans="1:17" x14ac:dyDescent="0.3">
      <c r="A295" t="s">
        <v>17</v>
      </c>
      <c r="B295" t="str">
        <f>"600336"</f>
        <v>600336</v>
      </c>
      <c r="C295" t="s">
        <v>753</v>
      </c>
      <c r="D295" t="s">
        <v>754</v>
      </c>
      <c r="F295">
        <v>2388749348</v>
      </c>
      <c r="G295">
        <v>2288159580</v>
      </c>
      <c r="H295">
        <v>2018989530</v>
      </c>
      <c r="I295">
        <v>1842806824</v>
      </c>
      <c r="J295">
        <v>1795010787</v>
      </c>
      <c r="K295">
        <v>1762320601</v>
      </c>
      <c r="L295">
        <v>1010268824</v>
      </c>
      <c r="M295">
        <v>991048799</v>
      </c>
      <c r="N295">
        <v>919515091</v>
      </c>
      <c r="O295">
        <v>766210328</v>
      </c>
      <c r="P295">
        <v>223</v>
      </c>
      <c r="Q295" t="s">
        <v>755</v>
      </c>
    </row>
    <row r="296" spans="1:17" x14ac:dyDescent="0.3">
      <c r="A296" t="s">
        <v>17</v>
      </c>
      <c r="B296" t="str">
        <f>"600337"</f>
        <v>600337</v>
      </c>
      <c r="C296" t="s">
        <v>756</v>
      </c>
      <c r="D296" t="s">
        <v>757</v>
      </c>
      <c r="F296">
        <v>4403726886</v>
      </c>
      <c r="G296">
        <v>4249953374</v>
      </c>
      <c r="H296">
        <v>4621242377</v>
      </c>
      <c r="I296">
        <v>768996397</v>
      </c>
      <c r="J296">
        <v>4931813960</v>
      </c>
      <c r="K296">
        <v>3204541254</v>
      </c>
      <c r="L296">
        <v>3054951266</v>
      </c>
      <c r="M296">
        <v>2850672782</v>
      </c>
      <c r="N296">
        <v>2707756318</v>
      </c>
      <c r="O296">
        <v>2510286787</v>
      </c>
      <c r="P296">
        <v>226</v>
      </c>
      <c r="Q296" t="s">
        <v>758</v>
      </c>
    </row>
    <row r="297" spans="1:17" x14ac:dyDescent="0.3">
      <c r="A297" t="s">
        <v>17</v>
      </c>
      <c r="B297" t="str">
        <f>"600338"</f>
        <v>600338</v>
      </c>
      <c r="C297" t="s">
        <v>759</v>
      </c>
      <c r="D297" t="s">
        <v>744</v>
      </c>
      <c r="F297">
        <v>2787160637</v>
      </c>
      <c r="G297">
        <v>2096000367</v>
      </c>
      <c r="H297">
        <v>2739773739</v>
      </c>
      <c r="I297">
        <v>2172240958</v>
      </c>
      <c r="J297">
        <v>1703997353</v>
      </c>
      <c r="K297">
        <v>1297709157</v>
      </c>
      <c r="L297">
        <v>666374528</v>
      </c>
      <c r="M297">
        <v>37763937</v>
      </c>
      <c r="N297">
        <v>27212537</v>
      </c>
      <c r="O297">
        <v>3201234</v>
      </c>
      <c r="P297">
        <v>4533</v>
      </c>
      <c r="Q297" t="s">
        <v>760</v>
      </c>
    </row>
    <row r="298" spans="1:17" x14ac:dyDescent="0.3">
      <c r="A298" t="s">
        <v>17</v>
      </c>
      <c r="B298" t="str">
        <f>"600339"</f>
        <v>600339</v>
      </c>
      <c r="C298" t="s">
        <v>761</v>
      </c>
      <c r="D298" t="s">
        <v>762</v>
      </c>
      <c r="F298">
        <v>24814549604</v>
      </c>
      <c r="G298">
        <v>24620247075</v>
      </c>
      <c r="H298">
        <v>23752256946</v>
      </c>
      <c r="I298">
        <v>23479724996</v>
      </c>
      <c r="J298">
        <v>22734035638</v>
      </c>
      <c r="K298">
        <v>16547595654</v>
      </c>
      <c r="L298">
        <v>56572132</v>
      </c>
      <c r="M298">
        <v>1003916344</v>
      </c>
      <c r="N298">
        <v>1173750345</v>
      </c>
      <c r="O298">
        <v>1175699380</v>
      </c>
      <c r="P298">
        <v>232</v>
      </c>
      <c r="Q298" t="s">
        <v>763</v>
      </c>
    </row>
    <row r="299" spans="1:17" x14ac:dyDescent="0.3">
      <c r="A299" t="s">
        <v>17</v>
      </c>
      <c r="B299" t="str">
        <f>"600340"</f>
        <v>600340</v>
      </c>
      <c r="C299" t="s">
        <v>764</v>
      </c>
      <c r="D299" t="s">
        <v>194</v>
      </c>
      <c r="F299">
        <v>6307451390</v>
      </c>
      <c r="G299">
        <v>45548029482</v>
      </c>
      <c r="H299">
        <v>44236273358</v>
      </c>
      <c r="I299">
        <v>34776499526</v>
      </c>
      <c r="J299">
        <v>28095019967</v>
      </c>
      <c r="K299">
        <v>24360912644</v>
      </c>
      <c r="L299">
        <v>13526785246</v>
      </c>
      <c r="M299">
        <v>9793565161</v>
      </c>
      <c r="N299">
        <v>6650423919</v>
      </c>
      <c r="O299">
        <v>4316441934</v>
      </c>
      <c r="P299">
        <v>22451</v>
      </c>
      <c r="Q299" t="s">
        <v>765</v>
      </c>
    </row>
    <row r="300" spans="1:17" x14ac:dyDescent="0.3">
      <c r="A300" t="s">
        <v>17</v>
      </c>
      <c r="B300" t="str">
        <f>"600343"</f>
        <v>600343</v>
      </c>
      <c r="C300" t="s">
        <v>766</v>
      </c>
      <c r="D300" t="s">
        <v>284</v>
      </c>
      <c r="F300">
        <v>1889875757</v>
      </c>
      <c r="G300">
        <v>2149623521</v>
      </c>
      <c r="H300">
        <v>2093986630</v>
      </c>
      <c r="I300">
        <v>2206640741</v>
      </c>
      <c r="J300">
        <v>2183082701</v>
      </c>
      <c r="K300">
        <v>2193128813</v>
      </c>
      <c r="L300">
        <v>2222874400</v>
      </c>
      <c r="M300">
        <v>2171421294</v>
      </c>
      <c r="N300">
        <v>2180043293</v>
      </c>
      <c r="O300">
        <v>1136025001</v>
      </c>
      <c r="P300">
        <v>128</v>
      </c>
      <c r="Q300" t="s">
        <v>767</v>
      </c>
    </row>
    <row r="301" spans="1:17" x14ac:dyDescent="0.3">
      <c r="A301" t="s">
        <v>17</v>
      </c>
      <c r="B301" t="str">
        <f>"600345"</f>
        <v>600345</v>
      </c>
      <c r="C301" t="s">
        <v>768</v>
      </c>
      <c r="D301" t="s">
        <v>595</v>
      </c>
      <c r="F301">
        <v>2110296208</v>
      </c>
      <c r="G301">
        <v>1998096258</v>
      </c>
      <c r="H301">
        <v>1957137282</v>
      </c>
      <c r="I301">
        <v>1901561947</v>
      </c>
      <c r="J301">
        <v>1558276323</v>
      </c>
      <c r="K301">
        <v>1297335188</v>
      </c>
      <c r="L301">
        <v>1252646738</v>
      </c>
      <c r="M301">
        <v>1185718098</v>
      </c>
      <c r="N301">
        <v>1075752104</v>
      </c>
      <c r="O301">
        <v>1192673222</v>
      </c>
      <c r="P301">
        <v>208</v>
      </c>
      <c r="Q301" t="s">
        <v>769</v>
      </c>
    </row>
    <row r="302" spans="1:17" x14ac:dyDescent="0.3">
      <c r="A302" t="s">
        <v>17</v>
      </c>
      <c r="B302" t="str">
        <f>"600346"</f>
        <v>600346</v>
      </c>
      <c r="C302" t="s">
        <v>770</v>
      </c>
      <c r="D302" t="s">
        <v>74</v>
      </c>
      <c r="F302">
        <v>57231382961</v>
      </c>
      <c r="G302">
        <v>46905076877</v>
      </c>
      <c r="H302">
        <v>36333003146</v>
      </c>
      <c r="I302">
        <v>27587673445</v>
      </c>
      <c r="J302">
        <v>7155219325</v>
      </c>
      <c r="K302">
        <v>5859741851</v>
      </c>
      <c r="L302">
        <v>412661404</v>
      </c>
      <c r="M302">
        <v>662237578</v>
      </c>
      <c r="N302">
        <v>573218343</v>
      </c>
      <c r="O302">
        <v>568898926</v>
      </c>
      <c r="P302">
        <v>1652</v>
      </c>
      <c r="Q302" t="s">
        <v>771</v>
      </c>
    </row>
    <row r="303" spans="1:17" x14ac:dyDescent="0.3">
      <c r="A303" t="s">
        <v>17</v>
      </c>
      <c r="B303" t="str">
        <f>"600348"</f>
        <v>600348</v>
      </c>
      <c r="C303" t="s">
        <v>772</v>
      </c>
      <c r="D303" t="s">
        <v>298</v>
      </c>
      <c r="F303">
        <v>19406430419</v>
      </c>
      <c r="G303">
        <v>16735259844</v>
      </c>
      <c r="H303">
        <v>16579384267</v>
      </c>
      <c r="I303">
        <v>16198463666</v>
      </c>
      <c r="J303">
        <v>14987096378</v>
      </c>
      <c r="K303">
        <v>13512282791</v>
      </c>
      <c r="L303">
        <v>12854530326</v>
      </c>
      <c r="M303">
        <v>12925270977</v>
      </c>
      <c r="N303">
        <v>12847558458</v>
      </c>
      <c r="O303">
        <v>12988895122</v>
      </c>
      <c r="P303">
        <v>1285</v>
      </c>
      <c r="Q303" t="s">
        <v>773</v>
      </c>
    </row>
    <row r="304" spans="1:17" x14ac:dyDescent="0.3">
      <c r="A304" t="s">
        <v>17</v>
      </c>
      <c r="B304" t="str">
        <f>"600350"</f>
        <v>600350</v>
      </c>
      <c r="C304" t="s">
        <v>774</v>
      </c>
      <c r="D304" t="s">
        <v>44</v>
      </c>
      <c r="F304">
        <v>28998086734</v>
      </c>
      <c r="G304">
        <v>28250761771</v>
      </c>
      <c r="H304">
        <v>30121191628</v>
      </c>
      <c r="I304">
        <v>27261133947</v>
      </c>
      <c r="J304">
        <v>26608127118</v>
      </c>
      <c r="K304">
        <v>24919049792</v>
      </c>
      <c r="L304">
        <v>22945951408</v>
      </c>
      <c r="M304">
        <v>21181412879</v>
      </c>
      <c r="N304">
        <v>19333661039</v>
      </c>
      <c r="O304">
        <v>17617720213</v>
      </c>
      <c r="P304">
        <v>1230</v>
      </c>
      <c r="Q304" t="s">
        <v>775</v>
      </c>
    </row>
    <row r="305" spans="1:17" x14ac:dyDescent="0.3">
      <c r="A305" t="s">
        <v>17</v>
      </c>
      <c r="B305" t="str">
        <f>"600351"</f>
        <v>600351</v>
      </c>
      <c r="C305" t="s">
        <v>776</v>
      </c>
      <c r="D305" t="s">
        <v>188</v>
      </c>
      <c r="F305">
        <v>2926964821</v>
      </c>
      <c r="G305">
        <v>2778411394</v>
      </c>
      <c r="H305">
        <v>2688967595</v>
      </c>
      <c r="I305">
        <v>2896431180</v>
      </c>
      <c r="J305">
        <v>2808770304</v>
      </c>
      <c r="K305">
        <v>2624308352</v>
      </c>
      <c r="L305">
        <v>2680490635</v>
      </c>
      <c r="M305">
        <v>1812088338</v>
      </c>
      <c r="N305">
        <v>1683486443</v>
      </c>
      <c r="O305">
        <v>1599890924</v>
      </c>
      <c r="P305">
        <v>234</v>
      </c>
      <c r="Q305" t="s">
        <v>777</v>
      </c>
    </row>
    <row r="306" spans="1:17" x14ac:dyDescent="0.3">
      <c r="A306" t="s">
        <v>17</v>
      </c>
      <c r="B306" t="str">
        <f>"600352"</f>
        <v>600352</v>
      </c>
      <c r="C306" t="s">
        <v>778</v>
      </c>
      <c r="D306" t="s">
        <v>779</v>
      </c>
      <c r="F306">
        <v>30363837288</v>
      </c>
      <c r="G306">
        <v>27726122766</v>
      </c>
      <c r="H306">
        <v>24536691158</v>
      </c>
      <c r="I306">
        <v>19969920523</v>
      </c>
      <c r="J306">
        <v>16943895181</v>
      </c>
      <c r="K306">
        <v>15621773761</v>
      </c>
      <c r="L306">
        <v>13811936815</v>
      </c>
      <c r="M306">
        <v>11187652091</v>
      </c>
      <c r="N306">
        <v>9163897965</v>
      </c>
      <c r="O306">
        <v>7649289600</v>
      </c>
      <c r="P306">
        <v>1666</v>
      </c>
      <c r="Q306" t="s">
        <v>780</v>
      </c>
    </row>
    <row r="307" spans="1:17" x14ac:dyDescent="0.3">
      <c r="A307" t="s">
        <v>17</v>
      </c>
      <c r="B307" t="str">
        <f>"600353"</f>
        <v>600353</v>
      </c>
      <c r="C307" t="s">
        <v>781</v>
      </c>
      <c r="D307" t="s">
        <v>651</v>
      </c>
      <c r="F307">
        <v>1198575079</v>
      </c>
      <c r="G307">
        <v>1137853256</v>
      </c>
      <c r="H307">
        <v>1114658669</v>
      </c>
      <c r="I307">
        <v>1027050529</v>
      </c>
      <c r="J307">
        <v>1078177770</v>
      </c>
      <c r="K307">
        <v>1064193701</v>
      </c>
      <c r="L307">
        <v>1035298861</v>
      </c>
      <c r="M307">
        <v>981432859</v>
      </c>
      <c r="N307">
        <v>962129126</v>
      </c>
      <c r="O307">
        <v>942092965</v>
      </c>
      <c r="P307">
        <v>141</v>
      </c>
      <c r="Q307" t="s">
        <v>782</v>
      </c>
    </row>
    <row r="308" spans="1:17" x14ac:dyDescent="0.3">
      <c r="A308" t="s">
        <v>17</v>
      </c>
      <c r="B308" t="str">
        <f>"600354"</f>
        <v>600354</v>
      </c>
      <c r="C308" t="s">
        <v>783</v>
      </c>
      <c r="D308" t="s">
        <v>706</v>
      </c>
      <c r="F308">
        <v>616058754</v>
      </c>
      <c r="G308">
        <v>610685913</v>
      </c>
      <c r="H308">
        <v>530681376</v>
      </c>
      <c r="I308">
        <v>698785600</v>
      </c>
      <c r="J308">
        <v>916362770</v>
      </c>
      <c r="K308">
        <v>895733995</v>
      </c>
      <c r="L308">
        <v>1148083911</v>
      </c>
      <c r="M308">
        <v>660443408</v>
      </c>
      <c r="N308">
        <v>993452035</v>
      </c>
      <c r="O308">
        <v>983429726</v>
      </c>
      <c r="P308">
        <v>121</v>
      </c>
      <c r="Q308" t="s">
        <v>784</v>
      </c>
    </row>
    <row r="309" spans="1:17" x14ac:dyDescent="0.3">
      <c r="A309" t="s">
        <v>17</v>
      </c>
      <c r="B309" t="str">
        <f>"600355"</f>
        <v>600355</v>
      </c>
      <c r="C309" t="s">
        <v>785</v>
      </c>
      <c r="D309" t="s">
        <v>786</v>
      </c>
      <c r="F309">
        <v>250227503</v>
      </c>
      <c r="G309">
        <v>259567139</v>
      </c>
      <c r="H309">
        <v>295049910</v>
      </c>
      <c r="I309">
        <v>361566157</v>
      </c>
      <c r="J309">
        <v>350554536</v>
      </c>
      <c r="K309">
        <v>410001734</v>
      </c>
      <c r="L309">
        <v>398707312</v>
      </c>
      <c r="M309">
        <v>418671473</v>
      </c>
      <c r="N309">
        <v>412594672</v>
      </c>
      <c r="O309">
        <v>469614673</v>
      </c>
      <c r="P309">
        <v>109</v>
      </c>
      <c r="Q309" t="s">
        <v>787</v>
      </c>
    </row>
    <row r="310" spans="1:17" x14ac:dyDescent="0.3">
      <c r="A310" t="s">
        <v>17</v>
      </c>
      <c r="B310" t="str">
        <f>"600356"</f>
        <v>600356</v>
      </c>
      <c r="C310" t="s">
        <v>788</v>
      </c>
      <c r="D310" t="s">
        <v>244</v>
      </c>
      <c r="F310">
        <v>2302475047</v>
      </c>
      <c r="G310">
        <v>2240832337</v>
      </c>
      <c r="H310">
        <v>2179393964</v>
      </c>
      <c r="I310">
        <v>2110285182</v>
      </c>
      <c r="J310">
        <v>2073065026</v>
      </c>
      <c r="K310">
        <v>2004012614</v>
      </c>
      <c r="L310">
        <v>1936228437</v>
      </c>
      <c r="M310">
        <v>1591933667</v>
      </c>
      <c r="N310">
        <v>1532691495</v>
      </c>
      <c r="O310">
        <v>1370079330</v>
      </c>
      <c r="P310">
        <v>116</v>
      </c>
      <c r="Q310" t="s">
        <v>789</v>
      </c>
    </row>
    <row r="311" spans="1:17" x14ac:dyDescent="0.3">
      <c r="A311" t="s">
        <v>17</v>
      </c>
      <c r="B311" t="str">
        <f>"600358"</f>
        <v>600358</v>
      </c>
      <c r="C311" t="s">
        <v>790</v>
      </c>
      <c r="D311" t="s">
        <v>207</v>
      </c>
      <c r="F311">
        <v>185008498</v>
      </c>
      <c r="G311">
        <v>145337648</v>
      </c>
      <c r="H311">
        <v>233633028</v>
      </c>
      <c r="I311">
        <v>453567494</v>
      </c>
      <c r="J311">
        <v>531209282</v>
      </c>
      <c r="K311">
        <v>509534627</v>
      </c>
      <c r="L311">
        <v>305443303</v>
      </c>
      <c r="M311">
        <v>292711531</v>
      </c>
      <c r="N311">
        <v>458607801</v>
      </c>
      <c r="O311">
        <v>448146073</v>
      </c>
      <c r="P311">
        <v>64</v>
      </c>
      <c r="Q311" t="s">
        <v>791</v>
      </c>
    </row>
    <row r="312" spans="1:17" x14ac:dyDescent="0.3">
      <c r="A312" t="s">
        <v>17</v>
      </c>
      <c r="B312" t="str">
        <f>"600359"</f>
        <v>600359</v>
      </c>
      <c r="C312" t="s">
        <v>792</v>
      </c>
      <c r="D312" t="s">
        <v>258</v>
      </c>
      <c r="F312">
        <v>515783622</v>
      </c>
      <c r="G312">
        <v>493959150</v>
      </c>
      <c r="H312">
        <v>443022536</v>
      </c>
      <c r="I312">
        <v>466039701</v>
      </c>
      <c r="J312">
        <v>694128315</v>
      </c>
      <c r="K312">
        <v>660347219</v>
      </c>
      <c r="L312">
        <v>816035856</v>
      </c>
      <c r="M312">
        <v>987896841</v>
      </c>
      <c r="N312">
        <v>409008970</v>
      </c>
      <c r="O312">
        <v>411136801</v>
      </c>
      <c r="P312">
        <v>111</v>
      </c>
      <c r="Q312" t="s">
        <v>793</v>
      </c>
    </row>
    <row r="313" spans="1:17" x14ac:dyDescent="0.3">
      <c r="A313" t="s">
        <v>17</v>
      </c>
      <c r="B313" t="str">
        <f>"600360"</f>
        <v>600360</v>
      </c>
      <c r="C313" t="s">
        <v>794</v>
      </c>
      <c r="D313" t="s">
        <v>795</v>
      </c>
      <c r="F313">
        <v>3220794796</v>
      </c>
      <c r="G313">
        <v>3119512761</v>
      </c>
      <c r="H313">
        <v>3107831716</v>
      </c>
      <c r="I313">
        <v>2248472237</v>
      </c>
      <c r="J313">
        <v>2121113584</v>
      </c>
      <c r="K313">
        <v>2026430804</v>
      </c>
      <c r="L313">
        <v>1995194388</v>
      </c>
      <c r="M313">
        <v>1963461053</v>
      </c>
      <c r="N313">
        <v>1942557367</v>
      </c>
      <c r="O313">
        <v>1663680259</v>
      </c>
      <c r="P313">
        <v>318</v>
      </c>
      <c r="Q313" t="s">
        <v>796</v>
      </c>
    </row>
    <row r="314" spans="1:17" x14ac:dyDescent="0.3">
      <c r="A314" t="s">
        <v>17</v>
      </c>
      <c r="B314" t="str">
        <f>"600361"</f>
        <v>600361</v>
      </c>
      <c r="C314" t="s">
        <v>797</v>
      </c>
      <c r="D314" t="s">
        <v>798</v>
      </c>
      <c r="F314">
        <v>1976667810</v>
      </c>
      <c r="G314">
        <v>2804920387</v>
      </c>
      <c r="H314">
        <v>2751629235</v>
      </c>
      <c r="I314">
        <v>2713931041</v>
      </c>
      <c r="J314">
        <v>2702082360</v>
      </c>
      <c r="K314">
        <v>2615334666</v>
      </c>
      <c r="L314">
        <v>3075840320</v>
      </c>
      <c r="M314">
        <v>3091929065</v>
      </c>
      <c r="N314">
        <v>3030537620</v>
      </c>
      <c r="O314">
        <v>3036585095</v>
      </c>
      <c r="P314">
        <v>134</v>
      </c>
      <c r="Q314" t="s">
        <v>799</v>
      </c>
    </row>
    <row r="315" spans="1:17" x14ac:dyDescent="0.3">
      <c r="A315" t="s">
        <v>17</v>
      </c>
      <c r="B315" t="str">
        <f>"600362"</f>
        <v>600362</v>
      </c>
      <c r="C315" t="s">
        <v>800</v>
      </c>
      <c r="D315" t="s">
        <v>263</v>
      </c>
      <c r="F315">
        <v>69798852884</v>
      </c>
      <c r="G315">
        <v>59910393466</v>
      </c>
      <c r="H315">
        <v>52745619575</v>
      </c>
      <c r="I315">
        <v>49766311772</v>
      </c>
      <c r="J315">
        <v>47532426878</v>
      </c>
      <c r="K315">
        <v>46597873215</v>
      </c>
      <c r="L315">
        <v>45906380055</v>
      </c>
      <c r="M315">
        <v>45733876161</v>
      </c>
      <c r="N315">
        <v>44522786074</v>
      </c>
      <c r="O315">
        <v>42819959840</v>
      </c>
      <c r="P315">
        <v>911</v>
      </c>
      <c r="Q315" t="s">
        <v>801</v>
      </c>
    </row>
    <row r="316" spans="1:17" x14ac:dyDescent="0.3">
      <c r="A316" t="s">
        <v>17</v>
      </c>
      <c r="B316" t="str">
        <f>"600363"</f>
        <v>600363</v>
      </c>
      <c r="C316" t="s">
        <v>802</v>
      </c>
      <c r="D316" t="s">
        <v>803</v>
      </c>
      <c r="F316">
        <v>3344935670</v>
      </c>
      <c r="G316">
        <v>2886137988</v>
      </c>
      <c r="H316">
        <v>2617552422</v>
      </c>
      <c r="I316">
        <v>2446120860</v>
      </c>
      <c r="J316">
        <v>2238516442</v>
      </c>
      <c r="K316">
        <v>2057226345</v>
      </c>
      <c r="L316">
        <v>1910472854</v>
      </c>
      <c r="M316">
        <v>1782583498</v>
      </c>
      <c r="N316">
        <v>1662898237</v>
      </c>
      <c r="O316">
        <v>1526954004</v>
      </c>
      <c r="P316">
        <v>202</v>
      </c>
      <c r="Q316" t="s">
        <v>804</v>
      </c>
    </row>
    <row r="317" spans="1:17" x14ac:dyDescent="0.3">
      <c r="A317" t="s">
        <v>17</v>
      </c>
      <c r="B317" t="str">
        <f>"600365"</f>
        <v>600365</v>
      </c>
      <c r="C317" t="s">
        <v>805</v>
      </c>
      <c r="D317" t="s">
        <v>134</v>
      </c>
      <c r="F317">
        <v>364914983</v>
      </c>
      <c r="G317">
        <v>594126019</v>
      </c>
      <c r="H317">
        <v>662047882</v>
      </c>
      <c r="I317">
        <v>693362596</v>
      </c>
      <c r="J317">
        <v>689164759</v>
      </c>
      <c r="K317">
        <v>683101085</v>
      </c>
      <c r="L317">
        <v>684950389</v>
      </c>
      <c r="M317">
        <v>684474137</v>
      </c>
      <c r="N317">
        <v>682225846</v>
      </c>
      <c r="O317">
        <v>150007889</v>
      </c>
      <c r="P317">
        <v>90</v>
      </c>
      <c r="Q317" t="s">
        <v>806</v>
      </c>
    </row>
    <row r="318" spans="1:17" x14ac:dyDescent="0.3">
      <c r="A318" t="s">
        <v>17</v>
      </c>
      <c r="B318" t="str">
        <f>"600366"</f>
        <v>600366</v>
      </c>
      <c r="C318" t="s">
        <v>807</v>
      </c>
      <c r="D318" t="s">
        <v>808</v>
      </c>
      <c r="F318">
        <v>4856346304</v>
      </c>
      <c r="G318">
        <v>4384201860</v>
      </c>
      <c r="H318">
        <v>4260966385</v>
      </c>
      <c r="I318">
        <v>4417549135</v>
      </c>
      <c r="J318">
        <v>4716562636</v>
      </c>
      <c r="K318">
        <v>4522782674</v>
      </c>
      <c r="L318">
        <v>3569567359</v>
      </c>
      <c r="M318">
        <v>3091724424</v>
      </c>
      <c r="N318">
        <v>2970821107</v>
      </c>
      <c r="O318">
        <v>2777705561</v>
      </c>
      <c r="P318">
        <v>236</v>
      </c>
      <c r="Q318" t="s">
        <v>809</v>
      </c>
    </row>
    <row r="319" spans="1:17" x14ac:dyDescent="0.3">
      <c r="A319" t="s">
        <v>17</v>
      </c>
      <c r="B319" t="str">
        <f>"600367"</f>
        <v>600367</v>
      </c>
      <c r="C319" t="s">
        <v>810</v>
      </c>
      <c r="D319" t="s">
        <v>736</v>
      </c>
      <c r="F319">
        <v>1641048161</v>
      </c>
      <c r="G319">
        <v>1379961777</v>
      </c>
      <c r="H319">
        <v>1340860683</v>
      </c>
      <c r="I319">
        <v>1274646120</v>
      </c>
      <c r="J319">
        <v>1162713923</v>
      </c>
      <c r="K319">
        <v>1070716362</v>
      </c>
      <c r="L319">
        <v>1025334294</v>
      </c>
      <c r="M319">
        <v>1222170956</v>
      </c>
      <c r="N319">
        <v>1199708330</v>
      </c>
      <c r="O319">
        <v>1206294775</v>
      </c>
      <c r="P319">
        <v>115</v>
      </c>
      <c r="Q319" t="s">
        <v>811</v>
      </c>
    </row>
    <row r="320" spans="1:17" x14ac:dyDescent="0.3">
      <c r="A320" t="s">
        <v>17</v>
      </c>
      <c r="B320" t="str">
        <f>"600368"</f>
        <v>600368</v>
      </c>
      <c r="C320" t="s">
        <v>812</v>
      </c>
      <c r="D320" t="s">
        <v>44</v>
      </c>
      <c r="F320">
        <v>5332193108</v>
      </c>
      <c r="G320">
        <v>4800424923</v>
      </c>
      <c r="H320">
        <v>4321162919</v>
      </c>
      <c r="I320">
        <v>3571785577</v>
      </c>
      <c r="J320">
        <v>3272724522</v>
      </c>
      <c r="K320">
        <v>2993463232</v>
      </c>
      <c r="L320">
        <v>2861881723</v>
      </c>
      <c r="M320">
        <v>2957530051</v>
      </c>
      <c r="N320">
        <v>2992197147</v>
      </c>
      <c r="O320">
        <v>2825400668</v>
      </c>
      <c r="P320">
        <v>302</v>
      </c>
      <c r="Q320" t="s">
        <v>813</v>
      </c>
    </row>
    <row r="321" spans="1:17" x14ac:dyDescent="0.3">
      <c r="A321" t="s">
        <v>17</v>
      </c>
      <c r="B321" t="str">
        <f>"600369"</f>
        <v>600369</v>
      </c>
      <c r="C321" t="s">
        <v>814</v>
      </c>
      <c r="D321" t="s">
        <v>80</v>
      </c>
      <c r="F321">
        <v>25357779156</v>
      </c>
      <c r="G321">
        <v>25143360134</v>
      </c>
      <c r="H321">
        <v>19593568754</v>
      </c>
      <c r="I321">
        <v>18595408453</v>
      </c>
      <c r="J321">
        <v>19383827899</v>
      </c>
      <c r="K321">
        <v>19001272143</v>
      </c>
      <c r="L321">
        <v>19017736046</v>
      </c>
      <c r="M321">
        <v>16750487091</v>
      </c>
      <c r="N321">
        <v>10819205903</v>
      </c>
      <c r="O321">
        <v>10404770859</v>
      </c>
      <c r="P321">
        <v>930</v>
      </c>
      <c r="Q321" t="s">
        <v>815</v>
      </c>
    </row>
    <row r="322" spans="1:17" x14ac:dyDescent="0.3">
      <c r="A322" t="s">
        <v>17</v>
      </c>
      <c r="B322" t="str">
        <f>"600370"</f>
        <v>600370</v>
      </c>
      <c r="C322" t="s">
        <v>816</v>
      </c>
      <c r="D322" t="s">
        <v>817</v>
      </c>
      <c r="F322">
        <v>6512397766</v>
      </c>
      <c r="G322">
        <v>5737788515</v>
      </c>
      <c r="H322">
        <v>1343057982</v>
      </c>
      <c r="I322">
        <v>1308055715</v>
      </c>
      <c r="J322">
        <v>1270374826</v>
      </c>
      <c r="K322">
        <v>1242230835</v>
      </c>
      <c r="L322">
        <v>1202072303</v>
      </c>
      <c r="M322">
        <v>1188297711</v>
      </c>
      <c r="N322">
        <v>1189191030</v>
      </c>
      <c r="O322">
        <v>1180291880</v>
      </c>
      <c r="P322">
        <v>101</v>
      </c>
      <c r="Q322" t="s">
        <v>818</v>
      </c>
    </row>
    <row r="323" spans="1:17" x14ac:dyDescent="0.3">
      <c r="A323" t="s">
        <v>17</v>
      </c>
      <c r="B323" t="str">
        <f>"600371"</f>
        <v>600371</v>
      </c>
      <c r="C323" t="s">
        <v>819</v>
      </c>
      <c r="D323" t="s">
        <v>706</v>
      </c>
      <c r="F323">
        <v>530556031</v>
      </c>
      <c r="G323">
        <v>522165236</v>
      </c>
      <c r="H323">
        <v>489760782</v>
      </c>
      <c r="I323">
        <v>476456758</v>
      </c>
      <c r="J323">
        <v>469436474</v>
      </c>
      <c r="K323">
        <v>428518361</v>
      </c>
      <c r="L323">
        <v>379459328</v>
      </c>
      <c r="M323">
        <v>382615855</v>
      </c>
      <c r="N323">
        <v>354585189</v>
      </c>
      <c r="O323">
        <v>424078586</v>
      </c>
      <c r="P323">
        <v>174</v>
      </c>
      <c r="Q323" t="s">
        <v>820</v>
      </c>
    </row>
    <row r="324" spans="1:17" x14ac:dyDescent="0.3">
      <c r="A324" t="s">
        <v>17</v>
      </c>
      <c r="B324" t="str">
        <f>"600372"</f>
        <v>600372</v>
      </c>
      <c r="C324" t="s">
        <v>821</v>
      </c>
      <c r="D324" t="s">
        <v>98</v>
      </c>
      <c r="F324">
        <v>11236846295</v>
      </c>
      <c r="G324">
        <v>10626330584</v>
      </c>
      <c r="H324">
        <v>7395950395</v>
      </c>
      <c r="I324">
        <v>7116294191</v>
      </c>
      <c r="J324">
        <v>6654997610</v>
      </c>
      <c r="K324">
        <v>6004710713</v>
      </c>
      <c r="L324">
        <v>5652431641</v>
      </c>
      <c r="M324">
        <v>5157777062</v>
      </c>
      <c r="N324">
        <v>4891285295</v>
      </c>
      <c r="O324">
        <v>4657827518</v>
      </c>
      <c r="P324">
        <v>433</v>
      </c>
      <c r="Q324" t="s">
        <v>822</v>
      </c>
    </row>
    <row r="325" spans="1:17" x14ac:dyDescent="0.3">
      <c r="A325" t="s">
        <v>17</v>
      </c>
      <c r="B325" t="str">
        <f>"600373"</f>
        <v>600373</v>
      </c>
      <c r="C325" t="s">
        <v>823</v>
      </c>
      <c r="D325" t="s">
        <v>525</v>
      </c>
      <c r="F325">
        <v>16453418332</v>
      </c>
      <c r="G325">
        <v>15158981165</v>
      </c>
      <c r="H325">
        <v>14031524985</v>
      </c>
      <c r="I325">
        <v>13289481742</v>
      </c>
      <c r="J325">
        <v>12193382251</v>
      </c>
      <c r="K325">
        <v>11005047862</v>
      </c>
      <c r="L325">
        <v>9759574123</v>
      </c>
      <c r="M325">
        <v>6412432772</v>
      </c>
      <c r="N325">
        <v>5735008384</v>
      </c>
      <c r="O325">
        <v>3905879639</v>
      </c>
      <c r="P325">
        <v>776</v>
      </c>
      <c r="Q325" t="s">
        <v>824</v>
      </c>
    </row>
    <row r="326" spans="1:17" x14ac:dyDescent="0.3">
      <c r="A326" t="s">
        <v>17</v>
      </c>
      <c r="B326" t="str">
        <f>"600375"</f>
        <v>600375</v>
      </c>
      <c r="C326" t="s">
        <v>825</v>
      </c>
      <c r="D326" t="s">
        <v>83</v>
      </c>
      <c r="F326">
        <v>1654456004</v>
      </c>
      <c r="G326">
        <v>2387775773</v>
      </c>
      <c r="H326">
        <v>2853610015</v>
      </c>
      <c r="I326">
        <v>2807986795</v>
      </c>
      <c r="J326">
        <v>2749294836</v>
      </c>
      <c r="K326">
        <v>2692232084</v>
      </c>
      <c r="L326">
        <v>2621388905</v>
      </c>
      <c r="M326">
        <v>3564815719</v>
      </c>
      <c r="N326">
        <v>4107929046</v>
      </c>
      <c r="O326">
        <v>2681802418</v>
      </c>
      <c r="P326">
        <v>87</v>
      </c>
      <c r="Q326" t="s">
        <v>826</v>
      </c>
    </row>
    <row r="327" spans="1:17" x14ac:dyDescent="0.3">
      <c r="A327" t="s">
        <v>17</v>
      </c>
      <c r="B327" t="str">
        <f>"600376"</f>
        <v>600376</v>
      </c>
      <c r="C327" t="s">
        <v>827</v>
      </c>
      <c r="D327" t="s">
        <v>104</v>
      </c>
      <c r="F327">
        <v>26084238664</v>
      </c>
      <c r="G327">
        <v>26593928295</v>
      </c>
      <c r="H327">
        <v>24491075417</v>
      </c>
      <c r="I327">
        <v>22901304187</v>
      </c>
      <c r="J327">
        <v>21768848950</v>
      </c>
      <c r="K327">
        <v>20756491454</v>
      </c>
      <c r="L327">
        <v>16045270497</v>
      </c>
      <c r="M327">
        <v>14576777503</v>
      </c>
      <c r="N327">
        <v>13955435113</v>
      </c>
      <c r="O327">
        <v>13058882413</v>
      </c>
      <c r="P327">
        <v>1101</v>
      </c>
      <c r="Q327" t="s">
        <v>828</v>
      </c>
    </row>
    <row r="328" spans="1:17" x14ac:dyDescent="0.3">
      <c r="A328" t="s">
        <v>17</v>
      </c>
      <c r="B328" t="str">
        <f>"600377"</f>
        <v>600377</v>
      </c>
      <c r="C328" t="s">
        <v>829</v>
      </c>
      <c r="D328" t="s">
        <v>44</v>
      </c>
      <c r="F328">
        <v>30230283751</v>
      </c>
      <c r="G328">
        <v>28209961099</v>
      </c>
      <c r="H328">
        <v>28546983607</v>
      </c>
      <c r="I328">
        <v>26137197732</v>
      </c>
      <c r="J328">
        <v>23520283963</v>
      </c>
      <c r="K328">
        <v>22209756185</v>
      </c>
      <c r="L328">
        <v>20476159276</v>
      </c>
      <c r="M328">
        <v>20348338531</v>
      </c>
      <c r="N328">
        <v>19596483889</v>
      </c>
      <c r="O328">
        <v>18688861700</v>
      </c>
      <c r="P328">
        <v>1722</v>
      </c>
      <c r="Q328" t="s">
        <v>830</v>
      </c>
    </row>
    <row r="329" spans="1:17" x14ac:dyDescent="0.3">
      <c r="A329" t="s">
        <v>17</v>
      </c>
      <c r="B329" t="str">
        <f>"600378"</f>
        <v>600378</v>
      </c>
      <c r="C329" t="s">
        <v>831</v>
      </c>
      <c r="D329" t="s">
        <v>375</v>
      </c>
      <c r="F329">
        <v>7206635016</v>
      </c>
      <c r="G329">
        <v>6427914177</v>
      </c>
      <c r="H329">
        <v>5950573123</v>
      </c>
      <c r="I329">
        <v>4865668174</v>
      </c>
      <c r="J329">
        <v>795471516</v>
      </c>
      <c r="K329">
        <v>745880509</v>
      </c>
      <c r="L329">
        <v>733825831</v>
      </c>
      <c r="M329">
        <v>716971690</v>
      </c>
      <c r="N329">
        <v>667287521</v>
      </c>
      <c r="O329">
        <v>629961281</v>
      </c>
      <c r="P329">
        <v>229</v>
      </c>
      <c r="Q329" t="s">
        <v>832</v>
      </c>
    </row>
    <row r="330" spans="1:17" x14ac:dyDescent="0.3">
      <c r="A330" t="s">
        <v>17</v>
      </c>
      <c r="B330" t="str">
        <f>"600379"</f>
        <v>600379</v>
      </c>
      <c r="C330" t="s">
        <v>833</v>
      </c>
      <c r="D330" t="s">
        <v>210</v>
      </c>
      <c r="F330">
        <v>611305508</v>
      </c>
      <c r="G330">
        <v>568239192</v>
      </c>
      <c r="H330">
        <v>546229914</v>
      </c>
      <c r="I330">
        <v>520147924</v>
      </c>
      <c r="J330">
        <v>496067724</v>
      </c>
      <c r="K330">
        <v>470945411</v>
      </c>
      <c r="L330">
        <v>434706281</v>
      </c>
      <c r="M330">
        <v>407100299</v>
      </c>
      <c r="N330">
        <v>392360783</v>
      </c>
      <c r="O330">
        <v>376790094</v>
      </c>
      <c r="P330">
        <v>83</v>
      </c>
      <c r="Q330" t="s">
        <v>834</v>
      </c>
    </row>
    <row r="331" spans="1:17" x14ac:dyDescent="0.3">
      <c r="A331" t="s">
        <v>17</v>
      </c>
      <c r="B331" t="str">
        <f>"600380"</f>
        <v>600380</v>
      </c>
      <c r="C331" t="s">
        <v>835</v>
      </c>
      <c r="D331" t="s">
        <v>143</v>
      </c>
      <c r="F331">
        <v>11820293657</v>
      </c>
      <c r="G331">
        <v>11096125891</v>
      </c>
      <c r="H331">
        <v>10355964661</v>
      </c>
      <c r="I331">
        <v>9643518715</v>
      </c>
      <c r="J331">
        <v>7385217625</v>
      </c>
      <c r="K331">
        <v>5382825289</v>
      </c>
      <c r="L331">
        <v>4704629531</v>
      </c>
      <c r="M331">
        <v>4353065918</v>
      </c>
      <c r="N331">
        <v>4083773603</v>
      </c>
      <c r="O331">
        <v>3873974710</v>
      </c>
      <c r="P331">
        <v>966</v>
      </c>
      <c r="Q331" t="s">
        <v>836</v>
      </c>
    </row>
    <row r="332" spans="1:17" x14ac:dyDescent="0.3">
      <c r="A332" t="s">
        <v>17</v>
      </c>
      <c r="B332" t="str">
        <f>"600381"</f>
        <v>600381</v>
      </c>
      <c r="C332" t="s">
        <v>837</v>
      </c>
      <c r="D332" t="s">
        <v>838</v>
      </c>
      <c r="F332">
        <v>1820480501</v>
      </c>
      <c r="G332">
        <v>2069091421</v>
      </c>
      <c r="H332">
        <v>2388635592</v>
      </c>
      <c r="I332">
        <v>2379874548</v>
      </c>
      <c r="J332">
        <v>2311420012</v>
      </c>
      <c r="K332">
        <v>1999735466</v>
      </c>
      <c r="L332">
        <v>1754774539</v>
      </c>
      <c r="M332">
        <v>242772686</v>
      </c>
      <c r="N332">
        <v>-34238495</v>
      </c>
      <c r="O332">
        <v>-286792339</v>
      </c>
      <c r="P332">
        <v>131</v>
      </c>
      <c r="Q332" t="s">
        <v>839</v>
      </c>
    </row>
    <row r="333" spans="1:17" x14ac:dyDescent="0.3">
      <c r="A333" t="s">
        <v>17</v>
      </c>
      <c r="B333" t="str">
        <f>"600382"</f>
        <v>600382</v>
      </c>
      <c r="C333" t="s">
        <v>840</v>
      </c>
      <c r="D333" t="s">
        <v>110</v>
      </c>
      <c r="F333">
        <v>4141732975</v>
      </c>
      <c r="G333">
        <v>6360029155</v>
      </c>
      <c r="H333">
        <v>6000413839</v>
      </c>
      <c r="I333">
        <v>5470541583</v>
      </c>
      <c r="J333">
        <v>5098738084</v>
      </c>
      <c r="K333">
        <v>4782964639</v>
      </c>
      <c r="L333">
        <v>2642217692</v>
      </c>
      <c r="M333">
        <v>2495297514</v>
      </c>
      <c r="N333">
        <v>1661632168</v>
      </c>
      <c r="O333">
        <v>1470516595</v>
      </c>
      <c r="P333">
        <v>156</v>
      </c>
      <c r="Q333" t="s">
        <v>841</v>
      </c>
    </row>
    <row r="334" spans="1:17" x14ac:dyDescent="0.3">
      <c r="A334" t="s">
        <v>17</v>
      </c>
      <c r="B334" t="str">
        <f>"600383"</f>
        <v>600383</v>
      </c>
      <c r="C334" t="s">
        <v>842</v>
      </c>
      <c r="D334" t="s">
        <v>104</v>
      </c>
      <c r="F334">
        <v>62932614467</v>
      </c>
      <c r="G334">
        <v>57420597468</v>
      </c>
      <c r="H334">
        <v>54013866547</v>
      </c>
      <c r="I334">
        <v>46367234539</v>
      </c>
      <c r="J334">
        <v>40679422779</v>
      </c>
      <c r="K334">
        <v>37335580895</v>
      </c>
      <c r="L334">
        <v>33474087962</v>
      </c>
      <c r="M334">
        <v>31484307902</v>
      </c>
      <c r="N334">
        <v>29114331819</v>
      </c>
      <c r="O334">
        <v>23516518491</v>
      </c>
      <c r="P334">
        <v>2482</v>
      </c>
      <c r="Q334" t="s">
        <v>843</v>
      </c>
    </row>
    <row r="335" spans="1:17" x14ac:dyDescent="0.3">
      <c r="A335" t="s">
        <v>17</v>
      </c>
      <c r="B335" t="str">
        <f>"600385"</f>
        <v>600385</v>
      </c>
      <c r="C335" t="s">
        <v>844</v>
      </c>
      <c r="D335" t="s">
        <v>143</v>
      </c>
      <c r="F335">
        <v>19367224</v>
      </c>
      <c r="G335">
        <v>13633197</v>
      </c>
      <c r="H335">
        <v>23471475</v>
      </c>
      <c r="I335">
        <v>59676098</v>
      </c>
      <c r="J335">
        <v>63565765</v>
      </c>
      <c r="K335">
        <v>78907125</v>
      </c>
      <c r="L335">
        <v>67492830</v>
      </c>
      <c r="M335">
        <v>53426945</v>
      </c>
      <c r="N335">
        <v>17059349</v>
      </c>
      <c r="O335">
        <v>-280006644</v>
      </c>
      <c r="P335">
        <v>51</v>
      </c>
      <c r="Q335" t="s">
        <v>845</v>
      </c>
    </row>
    <row r="336" spans="1:17" x14ac:dyDescent="0.3">
      <c r="A336" t="s">
        <v>17</v>
      </c>
      <c r="B336" t="str">
        <f>"600386"</f>
        <v>600386</v>
      </c>
      <c r="C336" t="s">
        <v>846</v>
      </c>
      <c r="D336" t="s">
        <v>672</v>
      </c>
      <c r="F336">
        <v>1838213318</v>
      </c>
      <c r="G336">
        <v>1783705019</v>
      </c>
      <c r="H336">
        <v>1756345513</v>
      </c>
      <c r="I336">
        <v>1774929148</v>
      </c>
      <c r="J336">
        <v>1802711476</v>
      </c>
      <c r="K336">
        <v>1762908116</v>
      </c>
      <c r="L336">
        <v>1759876353</v>
      </c>
      <c r="M336">
        <v>1691256854</v>
      </c>
      <c r="N336">
        <v>1571935108</v>
      </c>
      <c r="O336">
        <v>1491369875</v>
      </c>
      <c r="P336">
        <v>96</v>
      </c>
      <c r="Q336" t="s">
        <v>847</v>
      </c>
    </row>
    <row r="337" spans="1:17" x14ac:dyDescent="0.3">
      <c r="A337" t="s">
        <v>17</v>
      </c>
      <c r="B337" t="str">
        <f>"600387"</f>
        <v>600387</v>
      </c>
      <c r="C337" t="s">
        <v>848</v>
      </c>
      <c r="D337" t="s">
        <v>584</v>
      </c>
      <c r="F337">
        <v>3215802759</v>
      </c>
      <c r="G337">
        <v>3160714533</v>
      </c>
      <c r="H337">
        <v>3032126323</v>
      </c>
      <c r="I337">
        <v>2590976076</v>
      </c>
      <c r="J337">
        <v>2241732889</v>
      </c>
      <c r="K337">
        <v>1174900985</v>
      </c>
      <c r="L337">
        <v>1349157038</v>
      </c>
      <c r="M337">
        <v>1189329652</v>
      </c>
      <c r="N337">
        <v>1120304007</v>
      </c>
      <c r="O337">
        <v>1034856340</v>
      </c>
      <c r="P337">
        <v>116</v>
      </c>
      <c r="Q337" t="s">
        <v>849</v>
      </c>
    </row>
    <row r="338" spans="1:17" x14ac:dyDescent="0.3">
      <c r="A338" t="s">
        <v>17</v>
      </c>
      <c r="B338" t="str">
        <f>"600388"</f>
        <v>600388</v>
      </c>
      <c r="C338" t="s">
        <v>850</v>
      </c>
      <c r="D338" t="s">
        <v>663</v>
      </c>
      <c r="F338">
        <v>6617054280</v>
      </c>
      <c r="G338">
        <v>5926180484</v>
      </c>
      <c r="H338">
        <v>5709424504</v>
      </c>
      <c r="I338">
        <v>5049294821</v>
      </c>
      <c r="J338">
        <v>4525100654</v>
      </c>
      <c r="K338">
        <v>4003507311</v>
      </c>
      <c r="L338">
        <v>3565159780</v>
      </c>
      <c r="M338">
        <v>3145726299</v>
      </c>
      <c r="N338">
        <v>2783242302</v>
      </c>
      <c r="O338">
        <v>2552831186</v>
      </c>
      <c r="P338">
        <v>815</v>
      </c>
      <c r="Q338" t="s">
        <v>851</v>
      </c>
    </row>
    <row r="339" spans="1:17" x14ac:dyDescent="0.3">
      <c r="A339" t="s">
        <v>17</v>
      </c>
      <c r="B339" t="str">
        <f>"600389"</f>
        <v>600389</v>
      </c>
      <c r="C339" t="s">
        <v>852</v>
      </c>
      <c r="D339" t="s">
        <v>853</v>
      </c>
      <c r="F339">
        <v>2347782339</v>
      </c>
      <c r="G339">
        <v>1978368884</v>
      </c>
      <c r="H339">
        <v>2015003957</v>
      </c>
      <c r="I339">
        <v>1822479094</v>
      </c>
      <c r="J339">
        <v>1565646107</v>
      </c>
      <c r="K339">
        <v>1374670426</v>
      </c>
      <c r="L339">
        <v>1292028725</v>
      </c>
      <c r="M339">
        <v>1333205088</v>
      </c>
      <c r="N339">
        <v>1210240367</v>
      </c>
      <c r="O339">
        <v>938521453</v>
      </c>
      <c r="P339">
        <v>426</v>
      </c>
      <c r="Q339" t="s">
        <v>854</v>
      </c>
    </row>
    <row r="340" spans="1:17" x14ac:dyDescent="0.3">
      <c r="A340" t="s">
        <v>17</v>
      </c>
      <c r="B340" t="str">
        <f>"600390"</f>
        <v>600390</v>
      </c>
      <c r="C340" t="s">
        <v>855</v>
      </c>
      <c r="D340" t="s">
        <v>140</v>
      </c>
      <c r="F340">
        <v>39234028981</v>
      </c>
      <c r="G340">
        <v>37728182672</v>
      </c>
      <c r="H340">
        <v>34451762197</v>
      </c>
      <c r="I340">
        <v>32500711137</v>
      </c>
      <c r="J340">
        <v>31337862356</v>
      </c>
      <c r="K340">
        <v>14160344179</v>
      </c>
      <c r="L340">
        <v>1170716419</v>
      </c>
      <c r="M340">
        <v>890913870</v>
      </c>
      <c r="N340">
        <v>925524901</v>
      </c>
      <c r="O340">
        <v>543863902</v>
      </c>
      <c r="P340">
        <v>300</v>
      </c>
      <c r="Q340" t="s">
        <v>856</v>
      </c>
    </row>
    <row r="341" spans="1:17" x14ac:dyDescent="0.3">
      <c r="A341" t="s">
        <v>17</v>
      </c>
      <c r="B341" t="str">
        <f>"600391"</f>
        <v>600391</v>
      </c>
      <c r="C341" t="s">
        <v>857</v>
      </c>
      <c r="D341" t="s">
        <v>98</v>
      </c>
      <c r="F341">
        <v>1482691146</v>
      </c>
      <c r="G341">
        <v>1458256502</v>
      </c>
      <c r="H341">
        <v>1464366106</v>
      </c>
      <c r="I341">
        <v>1435405799</v>
      </c>
      <c r="J341">
        <v>1785203959</v>
      </c>
      <c r="K341">
        <v>1733880444</v>
      </c>
      <c r="L341">
        <v>1695815611</v>
      </c>
      <c r="M341">
        <v>1670128856</v>
      </c>
      <c r="N341">
        <v>1653286617</v>
      </c>
      <c r="O341">
        <v>1628926077</v>
      </c>
      <c r="P341">
        <v>233</v>
      </c>
      <c r="Q341" t="s">
        <v>858</v>
      </c>
    </row>
    <row r="342" spans="1:17" x14ac:dyDescent="0.3">
      <c r="A342" t="s">
        <v>17</v>
      </c>
      <c r="B342" t="str">
        <f>"600392"</f>
        <v>600392</v>
      </c>
      <c r="C342" t="s">
        <v>859</v>
      </c>
      <c r="D342" t="s">
        <v>266</v>
      </c>
      <c r="F342">
        <v>9361844396</v>
      </c>
      <c r="G342">
        <v>7567353351</v>
      </c>
      <c r="H342">
        <v>5278090727</v>
      </c>
      <c r="I342">
        <v>5192696150</v>
      </c>
      <c r="J342">
        <v>4982924814</v>
      </c>
      <c r="K342">
        <v>1192910070</v>
      </c>
      <c r="L342">
        <v>1207483922</v>
      </c>
      <c r="M342">
        <v>1254694622</v>
      </c>
      <c r="N342">
        <v>1061941853</v>
      </c>
      <c r="O342">
        <v>909948646</v>
      </c>
      <c r="P342">
        <v>439</v>
      </c>
      <c r="Q342" t="s">
        <v>860</v>
      </c>
    </row>
    <row r="343" spans="1:17" x14ac:dyDescent="0.3">
      <c r="A343" t="s">
        <v>17</v>
      </c>
      <c r="B343" t="str">
        <f>"600393"</f>
        <v>600393</v>
      </c>
      <c r="C343" t="s">
        <v>861</v>
      </c>
      <c r="D343" t="s">
        <v>104</v>
      </c>
      <c r="F343">
        <v>4198252572</v>
      </c>
      <c r="G343">
        <v>5039886225</v>
      </c>
      <c r="H343">
        <v>6078552786</v>
      </c>
      <c r="I343">
        <v>5879369946</v>
      </c>
      <c r="J343">
        <v>5894767745</v>
      </c>
      <c r="K343">
        <v>4845934178</v>
      </c>
      <c r="L343">
        <v>1218693439</v>
      </c>
      <c r="M343">
        <v>990000107</v>
      </c>
      <c r="N343">
        <v>958456207</v>
      </c>
      <c r="O343">
        <v>931787006</v>
      </c>
      <c r="P343">
        <v>131</v>
      </c>
      <c r="Q343" t="s">
        <v>862</v>
      </c>
    </row>
    <row r="344" spans="1:17" x14ac:dyDescent="0.3">
      <c r="A344" t="s">
        <v>17</v>
      </c>
      <c r="B344" t="str">
        <f>"600395"</f>
        <v>600395</v>
      </c>
      <c r="C344" t="s">
        <v>863</v>
      </c>
      <c r="D344" t="s">
        <v>298</v>
      </c>
      <c r="F344">
        <v>6922448325</v>
      </c>
      <c r="G344">
        <v>7026156377</v>
      </c>
      <c r="H344">
        <v>7341750916</v>
      </c>
      <c r="I344">
        <v>6571448402</v>
      </c>
      <c r="J344">
        <v>6441720300</v>
      </c>
      <c r="K344">
        <v>6148054900</v>
      </c>
      <c r="L344">
        <v>5660341200</v>
      </c>
      <c r="M344">
        <v>6049871593</v>
      </c>
      <c r="N344">
        <v>7217197993</v>
      </c>
      <c r="O344">
        <v>7609289437</v>
      </c>
      <c r="P344">
        <v>517</v>
      </c>
      <c r="Q344" t="s">
        <v>864</v>
      </c>
    </row>
    <row r="345" spans="1:17" x14ac:dyDescent="0.3">
      <c r="A345" t="s">
        <v>17</v>
      </c>
      <c r="B345" t="str">
        <f>"600396"</f>
        <v>600396</v>
      </c>
      <c r="C345" t="s">
        <v>865</v>
      </c>
      <c r="D345" t="s">
        <v>41</v>
      </c>
      <c r="F345">
        <v>199679231</v>
      </c>
      <c r="G345">
        <v>2115996969</v>
      </c>
      <c r="H345">
        <v>2037435098</v>
      </c>
      <c r="I345">
        <v>1964212874</v>
      </c>
      <c r="J345">
        <v>2698126688</v>
      </c>
      <c r="K345">
        <v>3601855433</v>
      </c>
      <c r="L345">
        <v>3650897543</v>
      </c>
      <c r="M345">
        <v>2106321874</v>
      </c>
      <c r="N345">
        <v>1319941476</v>
      </c>
      <c r="O345">
        <v>1136863532</v>
      </c>
      <c r="P345">
        <v>107</v>
      </c>
      <c r="Q345" t="s">
        <v>866</v>
      </c>
    </row>
    <row r="346" spans="1:17" x14ac:dyDescent="0.3">
      <c r="A346" t="s">
        <v>17</v>
      </c>
      <c r="B346" t="str">
        <f>"600397"</f>
        <v>600397</v>
      </c>
      <c r="C346" t="s">
        <v>867</v>
      </c>
      <c r="D346" t="s">
        <v>292</v>
      </c>
      <c r="F346">
        <v>679250135</v>
      </c>
      <c r="G346">
        <v>624743213</v>
      </c>
      <c r="H346">
        <v>854687639</v>
      </c>
      <c r="I346">
        <v>856828018</v>
      </c>
      <c r="J346">
        <v>793595207</v>
      </c>
      <c r="K346">
        <v>1481085575</v>
      </c>
      <c r="L346">
        <v>3523024334</v>
      </c>
      <c r="M346">
        <v>3497431729</v>
      </c>
      <c r="N346">
        <v>3891136584</v>
      </c>
      <c r="O346">
        <v>3615269199</v>
      </c>
      <c r="P346">
        <v>91</v>
      </c>
      <c r="Q346" t="s">
        <v>868</v>
      </c>
    </row>
    <row r="347" spans="1:17" x14ac:dyDescent="0.3">
      <c r="A347" t="s">
        <v>17</v>
      </c>
      <c r="B347" t="str">
        <f>"600398"</f>
        <v>600398</v>
      </c>
      <c r="C347" t="s">
        <v>869</v>
      </c>
      <c r="D347" t="s">
        <v>255</v>
      </c>
      <c r="F347">
        <v>14445956601</v>
      </c>
      <c r="G347">
        <v>13160285857</v>
      </c>
      <c r="H347">
        <v>13060877502</v>
      </c>
      <c r="I347">
        <v>12408024420</v>
      </c>
      <c r="J347">
        <v>11177340227</v>
      </c>
      <c r="K347">
        <v>10044013958</v>
      </c>
      <c r="L347">
        <v>8289167772</v>
      </c>
      <c r="M347">
        <v>7040849480</v>
      </c>
      <c r="N347">
        <v>2158670599</v>
      </c>
      <c r="O347">
        <v>2049265841</v>
      </c>
      <c r="P347">
        <v>2674</v>
      </c>
      <c r="Q347" t="s">
        <v>870</v>
      </c>
    </row>
    <row r="348" spans="1:17" x14ac:dyDescent="0.3">
      <c r="A348" t="s">
        <v>17</v>
      </c>
      <c r="B348" t="str">
        <f>"600399"</f>
        <v>600399</v>
      </c>
      <c r="C348" t="s">
        <v>871</v>
      </c>
      <c r="D348" t="s">
        <v>281</v>
      </c>
      <c r="F348">
        <v>5858984034</v>
      </c>
      <c r="G348">
        <v>5030345256</v>
      </c>
      <c r="H348">
        <v>4475770126</v>
      </c>
      <c r="I348">
        <v>4169882170</v>
      </c>
      <c r="J348">
        <v>-1126717266</v>
      </c>
      <c r="K348">
        <v>210868010</v>
      </c>
      <c r="L348">
        <v>300470034</v>
      </c>
      <c r="M348">
        <v>274653115</v>
      </c>
      <c r="N348">
        <v>1711993928</v>
      </c>
      <c r="O348">
        <v>1699204559</v>
      </c>
      <c r="P348">
        <v>256</v>
      </c>
      <c r="Q348" t="s">
        <v>872</v>
      </c>
    </row>
    <row r="349" spans="1:17" x14ac:dyDescent="0.3">
      <c r="A349" t="s">
        <v>17</v>
      </c>
      <c r="B349" t="str">
        <f>"600400"</f>
        <v>600400</v>
      </c>
      <c r="C349" t="s">
        <v>873</v>
      </c>
      <c r="D349" t="s">
        <v>255</v>
      </c>
      <c r="F349">
        <v>3135007564</v>
      </c>
      <c r="G349">
        <v>3592947166</v>
      </c>
      <c r="H349">
        <v>3975640096</v>
      </c>
      <c r="I349">
        <v>3981247581</v>
      </c>
      <c r="J349">
        <v>4535340379</v>
      </c>
      <c r="K349">
        <v>4098445010</v>
      </c>
      <c r="L349">
        <v>2188332956</v>
      </c>
      <c r="M349">
        <v>1445489074</v>
      </c>
      <c r="N349">
        <v>1396767051</v>
      </c>
      <c r="O349">
        <v>1359951816</v>
      </c>
      <c r="P349">
        <v>165</v>
      </c>
      <c r="Q349" t="s">
        <v>874</v>
      </c>
    </row>
    <row r="350" spans="1:17" x14ac:dyDescent="0.3">
      <c r="A350" t="s">
        <v>17</v>
      </c>
      <c r="B350" t="str">
        <f>"600401"</f>
        <v>600401</v>
      </c>
      <c r="C350" t="s">
        <v>875</v>
      </c>
      <c r="I350">
        <v>-2540554275</v>
      </c>
      <c r="J350">
        <v>1192493590</v>
      </c>
      <c r="K350">
        <v>3806329787</v>
      </c>
      <c r="L350">
        <v>4939468400.5900002</v>
      </c>
      <c r="M350">
        <v>4842954821.9099998</v>
      </c>
      <c r="N350">
        <v>2257563341.04</v>
      </c>
      <c r="O350">
        <v>2761299010.52</v>
      </c>
      <c r="P350">
        <v>22</v>
      </c>
      <c r="Q350" t="s">
        <v>876</v>
      </c>
    </row>
    <row r="351" spans="1:17" x14ac:dyDescent="0.3">
      <c r="A351" t="s">
        <v>17</v>
      </c>
      <c r="B351" t="str">
        <f>"600403"</f>
        <v>600403</v>
      </c>
      <c r="C351" t="s">
        <v>877</v>
      </c>
      <c r="D351" t="s">
        <v>292</v>
      </c>
      <c r="F351">
        <v>7267402099</v>
      </c>
      <c r="G351">
        <v>6300789928</v>
      </c>
      <c r="H351">
        <v>7357442956</v>
      </c>
      <c r="I351">
        <v>7476537930</v>
      </c>
      <c r="J351">
        <v>7035318506</v>
      </c>
      <c r="K351">
        <v>6614535639</v>
      </c>
      <c r="L351">
        <v>8491419274</v>
      </c>
      <c r="M351">
        <v>9851619303</v>
      </c>
      <c r="N351">
        <v>10381438652</v>
      </c>
      <c r="O351">
        <v>10007815856</v>
      </c>
      <c r="P351">
        <v>221</v>
      </c>
      <c r="Q351" t="s">
        <v>878</v>
      </c>
    </row>
    <row r="352" spans="1:17" x14ac:dyDescent="0.3">
      <c r="A352" t="s">
        <v>17</v>
      </c>
      <c r="B352" t="str">
        <f>"600405"</f>
        <v>600405</v>
      </c>
      <c r="C352" t="s">
        <v>879</v>
      </c>
      <c r="D352" t="s">
        <v>880</v>
      </c>
      <c r="F352">
        <v>895001307</v>
      </c>
      <c r="G352">
        <v>1037514405</v>
      </c>
      <c r="H352">
        <v>1046877686</v>
      </c>
      <c r="I352">
        <v>1072403394</v>
      </c>
      <c r="J352">
        <v>1387539063</v>
      </c>
      <c r="K352">
        <v>859339230</v>
      </c>
      <c r="L352">
        <v>800034861</v>
      </c>
      <c r="M352">
        <v>745554761</v>
      </c>
      <c r="N352">
        <v>713989173</v>
      </c>
      <c r="O352">
        <v>490163047</v>
      </c>
      <c r="P352">
        <v>255</v>
      </c>
      <c r="Q352" t="s">
        <v>881</v>
      </c>
    </row>
    <row r="353" spans="1:17" x14ac:dyDescent="0.3">
      <c r="A353" t="s">
        <v>17</v>
      </c>
      <c r="B353" t="str">
        <f>"600406"</f>
        <v>600406</v>
      </c>
      <c r="C353" t="s">
        <v>882</v>
      </c>
      <c r="D353" t="s">
        <v>610</v>
      </c>
      <c r="F353">
        <v>37996904562</v>
      </c>
      <c r="G353">
        <v>34145551909</v>
      </c>
      <c r="H353">
        <v>30523061262</v>
      </c>
      <c r="I353">
        <v>27784282972</v>
      </c>
      <c r="J353">
        <v>19379694591</v>
      </c>
      <c r="K353">
        <v>8850442453</v>
      </c>
      <c r="L353">
        <v>8057908576</v>
      </c>
      <c r="M353">
        <v>7147324553</v>
      </c>
      <c r="N353">
        <v>6072125636</v>
      </c>
      <c r="O353">
        <v>3882191298</v>
      </c>
      <c r="P353">
        <v>2124</v>
      </c>
      <c r="Q353" t="s">
        <v>883</v>
      </c>
    </row>
    <row r="354" spans="1:17" x14ac:dyDescent="0.3">
      <c r="A354" t="s">
        <v>17</v>
      </c>
      <c r="B354" t="str">
        <f>"600408"</f>
        <v>600408</v>
      </c>
      <c r="C354" t="s">
        <v>884</v>
      </c>
      <c r="D354" t="s">
        <v>885</v>
      </c>
      <c r="F354">
        <v>2813232679</v>
      </c>
      <c r="G354">
        <v>2543748128</v>
      </c>
      <c r="H354">
        <v>1948469067</v>
      </c>
      <c r="I354">
        <v>1492600202</v>
      </c>
      <c r="J354">
        <v>683354307</v>
      </c>
      <c r="K354">
        <v>964970322</v>
      </c>
      <c r="L354">
        <v>1546320390</v>
      </c>
      <c r="M354">
        <v>1500843422</v>
      </c>
      <c r="N354">
        <v>2178814616</v>
      </c>
      <c r="O354">
        <v>2424004551</v>
      </c>
      <c r="P354">
        <v>93</v>
      </c>
      <c r="Q354" t="s">
        <v>886</v>
      </c>
    </row>
    <row r="355" spans="1:17" x14ac:dyDescent="0.3">
      <c r="A355" t="s">
        <v>17</v>
      </c>
      <c r="B355" t="str">
        <f>"600409"</f>
        <v>600409</v>
      </c>
      <c r="C355" t="s">
        <v>887</v>
      </c>
      <c r="D355" t="s">
        <v>888</v>
      </c>
      <c r="F355">
        <v>12802687533</v>
      </c>
      <c r="G355">
        <v>11641865549</v>
      </c>
      <c r="H355">
        <v>11260903039</v>
      </c>
      <c r="I355">
        <v>11049237533</v>
      </c>
      <c r="J355">
        <v>10010798193</v>
      </c>
      <c r="K355">
        <v>6959268295</v>
      </c>
      <c r="L355">
        <v>6349723801</v>
      </c>
      <c r="M355">
        <v>6088979801</v>
      </c>
      <c r="N355">
        <v>5694508876</v>
      </c>
      <c r="O355">
        <v>5283902119</v>
      </c>
      <c r="P355">
        <v>733</v>
      </c>
      <c r="Q355" t="s">
        <v>889</v>
      </c>
    </row>
    <row r="356" spans="1:17" x14ac:dyDescent="0.3">
      <c r="A356" t="s">
        <v>17</v>
      </c>
      <c r="B356" t="str">
        <f>"600410"</f>
        <v>600410</v>
      </c>
      <c r="C356" t="s">
        <v>890</v>
      </c>
      <c r="D356" t="s">
        <v>316</v>
      </c>
      <c r="F356">
        <v>4668734215</v>
      </c>
      <c r="G356">
        <v>4794758907</v>
      </c>
      <c r="H356">
        <v>4816938611</v>
      </c>
      <c r="I356">
        <v>4654433561</v>
      </c>
      <c r="J356">
        <v>4868009643</v>
      </c>
      <c r="K356">
        <v>4786243560</v>
      </c>
      <c r="L356">
        <v>2357248560</v>
      </c>
      <c r="M356">
        <v>2315615632</v>
      </c>
      <c r="N356">
        <v>2318432122</v>
      </c>
      <c r="O356">
        <v>2369552647</v>
      </c>
      <c r="P356">
        <v>514</v>
      </c>
      <c r="Q356" t="s">
        <v>891</v>
      </c>
    </row>
    <row r="357" spans="1:17" x14ac:dyDescent="0.3">
      <c r="A357" t="s">
        <v>17</v>
      </c>
      <c r="B357" t="str">
        <f>"600415"</f>
        <v>600415</v>
      </c>
      <c r="C357" t="s">
        <v>892</v>
      </c>
      <c r="D357" t="s">
        <v>271</v>
      </c>
      <c r="F357">
        <v>14610845868</v>
      </c>
      <c r="G357">
        <v>13558228377</v>
      </c>
      <c r="H357">
        <v>13020619449</v>
      </c>
      <c r="I357">
        <v>11762025061</v>
      </c>
      <c r="J357">
        <v>11190200453</v>
      </c>
      <c r="K357">
        <v>10140210812</v>
      </c>
      <c r="L357">
        <v>9473134293</v>
      </c>
      <c r="M357">
        <v>8817626787</v>
      </c>
      <c r="N357">
        <v>8680781519</v>
      </c>
      <c r="O357">
        <v>8245480760</v>
      </c>
      <c r="P357">
        <v>327</v>
      </c>
      <c r="Q357" t="s">
        <v>893</v>
      </c>
    </row>
    <row r="358" spans="1:17" x14ac:dyDescent="0.3">
      <c r="A358" t="s">
        <v>17</v>
      </c>
      <c r="B358" t="str">
        <f>"600416"</f>
        <v>600416</v>
      </c>
      <c r="C358" t="s">
        <v>894</v>
      </c>
      <c r="D358" t="s">
        <v>895</v>
      </c>
      <c r="F358">
        <v>3884968312</v>
      </c>
      <c r="G358">
        <v>2738788204</v>
      </c>
      <c r="H358">
        <v>2644091444</v>
      </c>
      <c r="I358">
        <v>4541871253</v>
      </c>
      <c r="J358">
        <v>6481868046</v>
      </c>
      <c r="K358">
        <v>6438520079</v>
      </c>
      <c r="L358">
        <v>3842671097</v>
      </c>
      <c r="M358">
        <v>2131857582</v>
      </c>
      <c r="N358">
        <v>2112226627</v>
      </c>
      <c r="O358">
        <v>2060702071</v>
      </c>
      <c r="P358">
        <v>149</v>
      </c>
      <c r="Q358" t="s">
        <v>896</v>
      </c>
    </row>
    <row r="359" spans="1:17" x14ac:dyDescent="0.3">
      <c r="A359" t="s">
        <v>17</v>
      </c>
      <c r="B359" t="str">
        <f>"600418"</f>
        <v>600418</v>
      </c>
      <c r="C359" t="s">
        <v>897</v>
      </c>
      <c r="D359" t="s">
        <v>27</v>
      </c>
      <c r="F359">
        <v>15241921573</v>
      </c>
      <c r="G359">
        <v>13052996342</v>
      </c>
      <c r="H359">
        <v>12952281752</v>
      </c>
      <c r="I359">
        <v>12856391904</v>
      </c>
      <c r="J359">
        <v>13870081151</v>
      </c>
      <c r="K359">
        <v>13794191160</v>
      </c>
      <c r="L359">
        <v>8415486624</v>
      </c>
      <c r="M359">
        <v>7000095361</v>
      </c>
      <c r="N359">
        <v>6839779431</v>
      </c>
      <c r="O359">
        <v>5986818449</v>
      </c>
      <c r="P359">
        <v>429</v>
      </c>
      <c r="Q359" t="s">
        <v>898</v>
      </c>
    </row>
    <row r="360" spans="1:17" x14ac:dyDescent="0.3">
      <c r="A360" t="s">
        <v>17</v>
      </c>
      <c r="B360" t="str">
        <f>"600419"</f>
        <v>600419</v>
      </c>
      <c r="C360" t="s">
        <v>899</v>
      </c>
      <c r="D360" t="s">
        <v>900</v>
      </c>
      <c r="F360">
        <v>2218943007</v>
      </c>
      <c r="G360">
        <v>1568334707</v>
      </c>
      <c r="H360">
        <v>1026346120</v>
      </c>
      <c r="I360">
        <v>921212269</v>
      </c>
      <c r="J360">
        <v>837060693</v>
      </c>
      <c r="K360">
        <v>737672535</v>
      </c>
      <c r="L360">
        <v>659656666</v>
      </c>
      <c r="M360">
        <v>266458482</v>
      </c>
      <c r="N360">
        <v>253898320</v>
      </c>
      <c r="O360">
        <v>103667034</v>
      </c>
      <c r="P360">
        <v>626</v>
      </c>
      <c r="Q360" t="s">
        <v>901</v>
      </c>
    </row>
    <row r="361" spans="1:17" x14ac:dyDescent="0.3">
      <c r="A361" t="s">
        <v>17</v>
      </c>
      <c r="B361" t="str">
        <f>"600420"</f>
        <v>600420</v>
      </c>
      <c r="C361" t="s">
        <v>902</v>
      </c>
      <c r="D361" t="s">
        <v>143</v>
      </c>
      <c r="F361">
        <v>8332213497</v>
      </c>
      <c r="G361">
        <v>7870650383</v>
      </c>
      <c r="H361">
        <v>7326880943</v>
      </c>
      <c r="I361">
        <v>6806254317</v>
      </c>
      <c r="J361">
        <v>6173378378</v>
      </c>
      <c r="K361">
        <v>5436485006</v>
      </c>
      <c r="L361">
        <v>1328421679</v>
      </c>
      <c r="M361">
        <v>1167096042</v>
      </c>
      <c r="N361">
        <v>995182253</v>
      </c>
      <c r="O361">
        <v>903641953</v>
      </c>
      <c r="P361">
        <v>381</v>
      </c>
      <c r="Q361" t="s">
        <v>903</v>
      </c>
    </row>
    <row r="362" spans="1:17" x14ac:dyDescent="0.3">
      <c r="A362" t="s">
        <v>17</v>
      </c>
      <c r="B362" t="str">
        <f>"600421"</f>
        <v>600421</v>
      </c>
      <c r="C362" t="s">
        <v>904</v>
      </c>
      <c r="D362" t="s">
        <v>274</v>
      </c>
      <c r="F362">
        <v>27452970</v>
      </c>
      <c r="G362">
        <v>36126366</v>
      </c>
      <c r="H362">
        <v>25208641</v>
      </c>
      <c r="I362">
        <v>2132426</v>
      </c>
      <c r="J362">
        <v>5992978</v>
      </c>
      <c r="K362">
        <v>8853749</v>
      </c>
      <c r="L362">
        <v>5643726</v>
      </c>
      <c r="M362">
        <v>5456801</v>
      </c>
      <c r="N362">
        <v>3287128</v>
      </c>
      <c r="O362">
        <v>-48666751</v>
      </c>
      <c r="P362">
        <v>44</v>
      </c>
      <c r="Q362" t="s">
        <v>905</v>
      </c>
    </row>
    <row r="363" spans="1:17" x14ac:dyDescent="0.3">
      <c r="A363" t="s">
        <v>17</v>
      </c>
      <c r="B363" t="str">
        <f>"600422"</f>
        <v>600422</v>
      </c>
      <c r="C363" t="s">
        <v>906</v>
      </c>
      <c r="D363" t="s">
        <v>188</v>
      </c>
      <c r="F363">
        <v>4783336322</v>
      </c>
      <c r="G363">
        <v>4450662334</v>
      </c>
      <c r="H363">
        <v>4196201237</v>
      </c>
      <c r="I363">
        <v>3820539408</v>
      </c>
      <c r="J363">
        <v>3665882579</v>
      </c>
      <c r="K363">
        <v>3557533377</v>
      </c>
      <c r="L363">
        <v>3311760598</v>
      </c>
      <c r="M363">
        <v>1924253888</v>
      </c>
      <c r="N363">
        <v>1757991413</v>
      </c>
      <c r="O363">
        <v>938680101</v>
      </c>
      <c r="P363">
        <v>452</v>
      </c>
      <c r="Q363" t="s">
        <v>907</v>
      </c>
    </row>
    <row r="364" spans="1:17" x14ac:dyDescent="0.3">
      <c r="A364" t="s">
        <v>17</v>
      </c>
      <c r="B364" t="str">
        <f>"600423"</f>
        <v>600423</v>
      </c>
      <c r="C364" t="s">
        <v>908</v>
      </c>
      <c r="D364" t="s">
        <v>909</v>
      </c>
      <c r="F364">
        <v>422518809</v>
      </c>
      <c r="G364">
        <v>392921963</v>
      </c>
      <c r="H364">
        <v>379327904</v>
      </c>
      <c r="I364">
        <v>2189038725</v>
      </c>
      <c r="J364">
        <v>38634067</v>
      </c>
      <c r="K364">
        <v>-24508697</v>
      </c>
      <c r="L364">
        <v>787099633</v>
      </c>
      <c r="M364">
        <v>1302607061</v>
      </c>
      <c r="N364">
        <v>1332344175</v>
      </c>
      <c r="O364">
        <v>1507370797</v>
      </c>
      <c r="P364">
        <v>74</v>
      </c>
      <c r="Q364" t="s">
        <v>910</v>
      </c>
    </row>
    <row r="365" spans="1:17" x14ac:dyDescent="0.3">
      <c r="A365" t="s">
        <v>17</v>
      </c>
      <c r="B365" t="str">
        <f>"600425"</f>
        <v>600425</v>
      </c>
      <c r="C365" t="s">
        <v>911</v>
      </c>
      <c r="D365" t="s">
        <v>731</v>
      </c>
      <c r="F365">
        <v>5032089749</v>
      </c>
      <c r="G365">
        <v>4704961922</v>
      </c>
      <c r="H365">
        <v>4652190924</v>
      </c>
      <c r="I365">
        <v>4415423481</v>
      </c>
      <c r="J365">
        <v>4047030288</v>
      </c>
      <c r="K365">
        <v>3996426093</v>
      </c>
      <c r="L365">
        <v>4571971304</v>
      </c>
      <c r="M365">
        <v>5307487773</v>
      </c>
      <c r="N365">
        <v>5388675012</v>
      </c>
      <c r="O365">
        <v>5366292987</v>
      </c>
      <c r="P365">
        <v>167</v>
      </c>
      <c r="Q365" t="s">
        <v>912</v>
      </c>
    </row>
    <row r="366" spans="1:17" x14ac:dyDescent="0.3">
      <c r="A366" t="s">
        <v>17</v>
      </c>
      <c r="B366" t="str">
        <f>"600426"</f>
        <v>600426</v>
      </c>
      <c r="C366" t="s">
        <v>913</v>
      </c>
      <c r="D366" t="s">
        <v>914</v>
      </c>
      <c r="F366">
        <v>22255822620</v>
      </c>
      <c r="G366">
        <v>15468616784</v>
      </c>
      <c r="H366">
        <v>14231190947</v>
      </c>
      <c r="I366">
        <v>12067947919</v>
      </c>
      <c r="J366">
        <v>9289259245</v>
      </c>
      <c r="K366">
        <v>8161145541</v>
      </c>
      <c r="L366">
        <v>7374528155</v>
      </c>
      <c r="M366">
        <v>6612796922</v>
      </c>
      <c r="N366">
        <v>5868658930</v>
      </c>
      <c r="O366">
        <v>5522179903</v>
      </c>
      <c r="P366">
        <v>1013</v>
      </c>
      <c r="Q366" t="s">
        <v>915</v>
      </c>
    </row>
    <row r="367" spans="1:17" x14ac:dyDescent="0.3">
      <c r="A367" t="s">
        <v>17</v>
      </c>
      <c r="B367" t="str">
        <f>"600428"</f>
        <v>600428</v>
      </c>
      <c r="C367" t="s">
        <v>916</v>
      </c>
      <c r="D367" t="s">
        <v>69</v>
      </c>
      <c r="F367">
        <v>9627718847</v>
      </c>
      <c r="G367">
        <v>9542794005</v>
      </c>
      <c r="H367">
        <v>9642177377</v>
      </c>
      <c r="I367">
        <v>9578070446</v>
      </c>
      <c r="J367">
        <v>9503310165</v>
      </c>
      <c r="K367">
        <v>9367200139</v>
      </c>
      <c r="L367">
        <v>6666192474</v>
      </c>
      <c r="M367">
        <v>6528478522</v>
      </c>
      <c r="N367">
        <v>6482464689</v>
      </c>
      <c r="O367">
        <v>6577525413</v>
      </c>
      <c r="P367">
        <v>199</v>
      </c>
      <c r="Q367" t="s">
        <v>917</v>
      </c>
    </row>
    <row r="368" spans="1:17" x14ac:dyDescent="0.3">
      <c r="A368" t="s">
        <v>17</v>
      </c>
      <c r="B368" t="str">
        <f>"600429"</f>
        <v>600429</v>
      </c>
      <c r="C368" t="s">
        <v>918</v>
      </c>
      <c r="D368" t="s">
        <v>900</v>
      </c>
      <c r="F368">
        <v>5129605473</v>
      </c>
      <c r="G368">
        <v>4962047398</v>
      </c>
      <c r="H368">
        <v>5016306223</v>
      </c>
      <c r="I368">
        <v>4965757644</v>
      </c>
      <c r="J368">
        <v>4815593956</v>
      </c>
      <c r="K368">
        <v>4736594101</v>
      </c>
      <c r="L368">
        <v>5604976265</v>
      </c>
      <c r="M368">
        <v>1600421711</v>
      </c>
      <c r="N368">
        <v>1577598266</v>
      </c>
      <c r="O368">
        <v>1804484538</v>
      </c>
      <c r="P368">
        <v>494</v>
      </c>
      <c r="Q368" t="s">
        <v>919</v>
      </c>
    </row>
    <row r="369" spans="1:17" x14ac:dyDescent="0.3">
      <c r="A369" t="s">
        <v>17</v>
      </c>
      <c r="B369" t="str">
        <f>"600432"</f>
        <v>600432</v>
      </c>
      <c r="C369" t="s">
        <v>920</v>
      </c>
      <c r="J369">
        <v>-198328278</v>
      </c>
      <c r="K369">
        <v>2078560225</v>
      </c>
      <c r="L369">
        <v>5227023165.96</v>
      </c>
      <c r="M369">
        <v>8200678561.1599998</v>
      </c>
      <c r="N369">
        <v>2965511354.4699998</v>
      </c>
      <c r="O369">
        <v>3229939842.0300002</v>
      </c>
      <c r="P369">
        <v>14</v>
      </c>
      <c r="Q369" t="s">
        <v>921</v>
      </c>
    </row>
    <row r="370" spans="1:17" x14ac:dyDescent="0.3">
      <c r="A370" t="s">
        <v>17</v>
      </c>
      <c r="B370" t="str">
        <f>"600433"</f>
        <v>600433</v>
      </c>
      <c r="C370" t="s">
        <v>922</v>
      </c>
      <c r="D370" t="s">
        <v>244</v>
      </c>
      <c r="F370">
        <v>5010681985</v>
      </c>
      <c r="G370">
        <v>2805224440</v>
      </c>
      <c r="H370">
        <v>2665883602</v>
      </c>
      <c r="I370">
        <v>2627383819</v>
      </c>
      <c r="J370">
        <v>2534695272</v>
      </c>
      <c r="K370">
        <v>2529959943</v>
      </c>
      <c r="L370">
        <v>2434148050</v>
      </c>
      <c r="M370">
        <v>1752769461</v>
      </c>
      <c r="N370">
        <v>1674440049</v>
      </c>
      <c r="O370">
        <v>1592027511</v>
      </c>
      <c r="P370">
        <v>105</v>
      </c>
      <c r="Q370" t="s">
        <v>923</v>
      </c>
    </row>
    <row r="371" spans="1:17" x14ac:dyDescent="0.3">
      <c r="A371" t="s">
        <v>17</v>
      </c>
      <c r="B371" t="str">
        <f>"600435"</f>
        <v>600435</v>
      </c>
      <c r="C371" t="s">
        <v>924</v>
      </c>
      <c r="D371" t="s">
        <v>428</v>
      </c>
      <c r="F371">
        <v>2337591106</v>
      </c>
      <c r="G371">
        <v>2219728745</v>
      </c>
      <c r="H371">
        <v>2156386062</v>
      </c>
      <c r="I371">
        <v>2124863942</v>
      </c>
      <c r="J371">
        <v>2093530992</v>
      </c>
      <c r="K371">
        <v>2071781113</v>
      </c>
      <c r="L371">
        <v>2059100802</v>
      </c>
      <c r="M371">
        <v>2018967269</v>
      </c>
      <c r="N371">
        <v>2094278879</v>
      </c>
      <c r="O371">
        <v>2145397115</v>
      </c>
      <c r="P371">
        <v>230</v>
      </c>
      <c r="Q371" t="s">
        <v>925</v>
      </c>
    </row>
    <row r="372" spans="1:17" x14ac:dyDescent="0.3">
      <c r="A372" t="s">
        <v>17</v>
      </c>
      <c r="B372" t="str">
        <f>"600436"</f>
        <v>600436</v>
      </c>
      <c r="C372" t="s">
        <v>926</v>
      </c>
      <c r="D372" t="s">
        <v>188</v>
      </c>
      <c r="F372">
        <v>9705010876</v>
      </c>
      <c r="G372">
        <v>7862170024</v>
      </c>
      <c r="H372">
        <v>6631350694</v>
      </c>
      <c r="I372">
        <v>5016487608</v>
      </c>
      <c r="J372">
        <v>4136041637</v>
      </c>
      <c r="K372">
        <v>3493402148</v>
      </c>
      <c r="L372">
        <v>3155385463</v>
      </c>
      <c r="M372">
        <v>2908439328</v>
      </c>
      <c r="N372">
        <v>2506237336</v>
      </c>
      <c r="O372">
        <v>1500236897</v>
      </c>
      <c r="P372">
        <v>64361</v>
      </c>
      <c r="Q372" t="s">
        <v>927</v>
      </c>
    </row>
    <row r="373" spans="1:17" x14ac:dyDescent="0.3">
      <c r="A373" t="s">
        <v>17</v>
      </c>
      <c r="B373" t="str">
        <f>"600438"</f>
        <v>600438</v>
      </c>
      <c r="C373" t="s">
        <v>928</v>
      </c>
      <c r="D373" t="s">
        <v>929</v>
      </c>
      <c r="F373">
        <v>37502570958</v>
      </c>
      <c r="G373">
        <v>30541405030</v>
      </c>
      <c r="H373">
        <v>16722811023</v>
      </c>
      <c r="I373">
        <v>14737718118</v>
      </c>
      <c r="J373">
        <v>13339358094</v>
      </c>
      <c r="K373">
        <v>11678051257</v>
      </c>
      <c r="L373">
        <v>2499989449</v>
      </c>
      <c r="M373">
        <v>2329345986</v>
      </c>
      <c r="N373">
        <v>2264731119</v>
      </c>
      <c r="O373">
        <v>1479602439</v>
      </c>
      <c r="P373">
        <v>2549</v>
      </c>
      <c r="Q373" t="s">
        <v>930</v>
      </c>
    </row>
    <row r="374" spans="1:17" x14ac:dyDescent="0.3">
      <c r="A374" t="s">
        <v>17</v>
      </c>
      <c r="B374" t="str">
        <f>"600439"</f>
        <v>600439</v>
      </c>
      <c r="C374" t="s">
        <v>931</v>
      </c>
      <c r="D374" t="s">
        <v>932</v>
      </c>
      <c r="F374">
        <v>2786845988</v>
      </c>
      <c r="G374">
        <v>2770141438</v>
      </c>
      <c r="H374">
        <v>2863802659</v>
      </c>
      <c r="I374">
        <v>2856519062</v>
      </c>
      <c r="J374">
        <v>2665727067</v>
      </c>
      <c r="K374">
        <v>2333682314</v>
      </c>
      <c r="L374">
        <v>2342059194</v>
      </c>
      <c r="M374">
        <v>2261879830</v>
      </c>
      <c r="N374">
        <v>2250326770</v>
      </c>
      <c r="O374">
        <v>2175958891</v>
      </c>
      <c r="P374">
        <v>186</v>
      </c>
      <c r="Q374" t="s">
        <v>933</v>
      </c>
    </row>
    <row r="375" spans="1:17" x14ac:dyDescent="0.3">
      <c r="A375" t="s">
        <v>17</v>
      </c>
      <c r="B375" t="str">
        <f>"600444"</f>
        <v>600444</v>
      </c>
      <c r="C375" t="s">
        <v>934</v>
      </c>
      <c r="D375" t="s">
        <v>741</v>
      </c>
      <c r="F375">
        <v>637752963</v>
      </c>
      <c r="G375">
        <v>611403215</v>
      </c>
      <c r="H375">
        <v>587303761</v>
      </c>
      <c r="I375">
        <v>557755084</v>
      </c>
      <c r="J375">
        <v>510013668</v>
      </c>
      <c r="K375">
        <v>342453436</v>
      </c>
      <c r="L375">
        <v>327048775</v>
      </c>
      <c r="M375">
        <v>-23632641</v>
      </c>
      <c r="N375">
        <v>4882378</v>
      </c>
      <c r="O375">
        <v>-34728822</v>
      </c>
      <c r="P375">
        <v>69</v>
      </c>
      <c r="Q375" t="s">
        <v>935</v>
      </c>
    </row>
    <row r="376" spans="1:17" x14ac:dyDescent="0.3">
      <c r="A376" t="s">
        <v>17</v>
      </c>
      <c r="B376" t="str">
        <f>"600446"</f>
        <v>600446</v>
      </c>
      <c r="C376" t="s">
        <v>936</v>
      </c>
      <c r="D376" t="s">
        <v>316</v>
      </c>
      <c r="F376">
        <v>3532611984</v>
      </c>
      <c r="G376">
        <v>2287469144</v>
      </c>
      <c r="H376">
        <v>1923378063</v>
      </c>
      <c r="I376">
        <v>1626265442</v>
      </c>
      <c r="J376">
        <v>1888054212</v>
      </c>
      <c r="K376">
        <v>1469925049</v>
      </c>
      <c r="L376">
        <v>1283260473</v>
      </c>
      <c r="M376">
        <v>837957000</v>
      </c>
      <c r="N376">
        <v>683041197</v>
      </c>
      <c r="O376">
        <v>567079136</v>
      </c>
      <c r="P376">
        <v>334</v>
      </c>
      <c r="Q376" t="s">
        <v>937</v>
      </c>
    </row>
    <row r="377" spans="1:17" x14ac:dyDescent="0.3">
      <c r="A377" t="s">
        <v>17</v>
      </c>
      <c r="B377" t="str">
        <f>"600448"</f>
        <v>600448</v>
      </c>
      <c r="C377" t="s">
        <v>938</v>
      </c>
      <c r="D377" t="s">
        <v>817</v>
      </c>
      <c r="F377">
        <v>1351935352</v>
      </c>
      <c r="G377">
        <v>1424570337</v>
      </c>
      <c r="H377">
        <v>1480844330</v>
      </c>
      <c r="I377">
        <v>1469439040</v>
      </c>
      <c r="J377">
        <v>1448632292</v>
      </c>
      <c r="K377">
        <v>847094921</v>
      </c>
      <c r="L377">
        <v>837825267</v>
      </c>
      <c r="M377">
        <v>825947301</v>
      </c>
      <c r="N377">
        <v>420839947</v>
      </c>
      <c r="O377">
        <v>403862086</v>
      </c>
      <c r="P377">
        <v>97</v>
      </c>
      <c r="Q377" t="s">
        <v>939</v>
      </c>
    </row>
    <row r="378" spans="1:17" x14ac:dyDescent="0.3">
      <c r="A378" t="s">
        <v>17</v>
      </c>
      <c r="B378" t="str">
        <f>"600449"</f>
        <v>600449</v>
      </c>
      <c r="C378" t="s">
        <v>940</v>
      </c>
      <c r="D378" t="s">
        <v>731</v>
      </c>
      <c r="F378">
        <v>6759237296</v>
      </c>
      <c r="G378">
        <v>6316651124</v>
      </c>
      <c r="H378">
        <v>5583172139</v>
      </c>
      <c r="I378">
        <v>4848907636</v>
      </c>
      <c r="J378">
        <v>4534809691</v>
      </c>
      <c r="K378">
        <v>4222946018</v>
      </c>
      <c r="L378">
        <v>4165468611</v>
      </c>
      <c r="M378">
        <v>4236111207</v>
      </c>
      <c r="N378">
        <v>4076822928</v>
      </c>
      <c r="O378">
        <v>3802425867</v>
      </c>
      <c r="P378">
        <v>558</v>
      </c>
      <c r="Q378" t="s">
        <v>941</v>
      </c>
    </row>
    <row r="379" spans="1:17" x14ac:dyDescent="0.3">
      <c r="A379" t="s">
        <v>17</v>
      </c>
      <c r="B379" t="str">
        <f>"600452"</f>
        <v>600452</v>
      </c>
      <c r="C379" t="s">
        <v>942</v>
      </c>
      <c r="D379" t="s">
        <v>239</v>
      </c>
      <c r="F379">
        <v>4108562398</v>
      </c>
      <c r="G379">
        <v>1924048525</v>
      </c>
      <c r="H379">
        <v>1854633748</v>
      </c>
      <c r="I379">
        <v>1466418917</v>
      </c>
      <c r="J379">
        <v>1134443713</v>
      </c>
      <c r="K379">
        <v>891409397</v>
      </c>
      <c r="L379">
        <v>694289669</v>
      </c>
      <c r="M379">
        <v>525504436</v>
      </c>
      <c r="N379">
        <v>428880871</v>
      </c>
      <c r="O379">
        <v>363056330</v>
      </c>
      <c r="P379">
        <v>4515</v>
      </c>
      <c r="Q379" t="s">
        <v>943</v>
      </c>
    </row>
    <row r="380" spans="1:17" x14ac:dyDescent="0.3">
      <c r="A380" t="s">
        <v>17</v>
      </c>
      <c r="B380" t="str">
        <f>"600455"</f>
        <v>600455</v>
      </c>
      <c r="C380" t="s">
        <v>944</v>
      </c>
      <c r="D380" t="s">
        <v>945</v>
      </c>
      <c r="F380">
        <v>213747401</v>
      </c>
      <c r="G380">
        <v>178226098</v>
      </c>
      <c r="H380">
        <v>149279437</v>
      </c>
      <c r="I380">
        <v>131797864</v>
      </c>
      <c r="J380">
        <v>128632540</v>
      </c>
      <c r="K380">
        <v>124238013</v>
      </c>
      <c r="L380">
        <v>134228265</v>
      </c>
      <c r="M380">
        <v>131049587</v>
      </c>
      <c r="N380">
        <v>125048430</v>
      </c>
      <c r="O380">
        <v>114510891</v>
      </c>
      <c r="P380">
        <v>103</v>
      </c>
      <c r="Q380" t="s">
        <v>946</v>
      </c>
    </row>
    <row r="381" spans="1:17" x14ac:dyDescent="0.3">
      <c r="A381" t="s">
        <v>17</v>
      </c>
      <c r="B381" t="str">
        <f>"600456"</f>
        <v>600456</v>
      </c>
      <c r="C381" t="s">
        <v>947</v>
      </c>
      <c r="D381" t="s">
        <v>636</v>
      </c>
      <c r="F381">
        <v>6038407627</v>
      </c>
      <c r="G381">
        <v>4010838575</v>
      </c>
      <c r="H381">
        <v>3734248205</v>
      </c>
      <c r="I381">
        <v>3544527717</v>
      </c>
      <c r="J381">
        <v>3424921018</v>
      </c>
      <c r="K381">
        <v>3425559224</v>
      </c>
      <c r="L381">
        <v>3410214275</v>
      </c>
      <c r="M381">
        <v>3617873249</v>
      </c>
      <c r="N381">
        <v>3619589115</v>
      </c>
      <c r="O381">
        <v>3629438380</v>
      </c>
      <c r="P381">
        <v>330</v>
      </c>
      <c r="Q381" t="s">
        <v>948</v>
      </c>
    </row>
    <row r="382" spans="1:17" x14ac:dyDescent="0.3">
      <c r="A382" t="s">
        <v>17</v>
      </c>
      <c r="B382" t="str">
        <f>"600458"</f>
        <v>600458</v>
      </c>
      <c r="C382" t="s">
        <v>949</v>
      </c>
      <c r="D382" t="s">
        <v>950</v>
      </c>
      <c r="F382">
        <v>4840382959</v>
      </c>
      <c r="G382">
        <v>4779334502</v>
      </c>
      <c r="H382">
        <v>4486860498</v>
      </c>
      <c r="I382">
        <v>4700857683</v>
      </c>
      <c r="J382">
        <v>4877620378</v>
      </c>
      <c r="K382">
        <v>4836310837</v>
      </c>
      <c r="L382">
        <v>4668760812</v>
      </c>
      <c r="M382">
        <v>2889126445</v>
      </c>
      <c r="N382">
        <v>3066791005</v>
      </c>
      <c r="O382">
        <v>1787488098</v>
      </c>
      <c r="P382">
        <v>244</v>
      </c>
      <c r="Q382" t="s">
        <v>951</v>
      </c>
    </row>
    <row r="383" spans="1:17" x14ac:dyDescent="0.3">
      <c r="A383" t="s">
        <v>17</v>
      </c>
      <c r="B383" t="str">
        <f>"600459"</f>
        <v>600459</v>
      </c>
      <c r="C383" t="s">
        <v>952</v>
      </c>
      <c r="D383" t="s">
        <v>636</v>
      </c>
      <c r="F383">
        <v>3724302115</v>
      </c>
      <c r="G383">
        <v>3427139069</v>
      </c>
      <c r="H383">
        <v>3218359584</v>
      </c>
      <c r="I383">
        <v>2075622802</v>
      </c>
      <c r="J383">
        <v>1945219649</v>
      </c>
      <c r="K383">
        <v>1845811890</v>
      </c>
      <c r="L383">
        <v>1784930646</v>
      </c>
      <c r="M383">
        <v>1746048235</v>
      </c>
      <c r="N383">
        <v>1685599923</v>
      </c>
      <c r="O383">
        <v>932782553</v>
      </c>
      <c r="P383">
        <v>308</v>
      </c>
      <c r="Q383" t="s">
        <v>953</v>
      </c>
    </row>
    <row r="384" spans="1:17" x14ac:dyDescent="0.3">
      <c r="A384" t="s">
        <v>17</v>
      </c>
      <c r="B384" t="str">
        <f>"600460"</f>
        <v>600460</v>
      </c>
      <c r="C384" t="s">
        <v>954</v>
      </c>
      <c r="D384" t="s">
        <v>795</v>
      </c>
      <c r="F384">
        <v>6410496754</v>
      </c>
      <c r="G384">
        <v>3448034206</v>
      </c>
      <c r="H384">
        <v>3378978407</v>
      </c>
      <c r="I384">
        <v>3427867218</v>
      </c>
      <c r="J384">
        <v>2625597743</v>
      </c>
      <c r="K384">
        <v>2486791260</v>
      </c>
      <c r="L384">
        <v>2401733361</v>
      </c>
      <c r="M384">
        <v>2398724432</v>
      </c>
      <c r="N384">
        <v>2257460987</v>
      </c>
      <c r="O384">
        <v>1696892031</v>
      </c>
      <c r="P384">
        <v>1167</v>
      </c>
      <c r="Q384" t="s">
        <v>955</v>
      </c>
    </row>
    <row r="385" spans="1:17" x14ac:dyDescent="0.3">
      <c r="A385" t="s">
        <v>17</v>
      </c>
      <c r="B385" t="str">
        <f>"600461"</f>
        <v>600461</v>
      </c>
      <c r="C385" t="s">
        <v>956</v>
      </c>
      <c r="D385" t="s">
        <v>33</v>
      </c>
      <c r="F385">
        <v>5606239500</v>
      </c>
      <c r="G385">
        <v>5147208993</v>
      </c>
      <c r="H385">
        <v>4750230008</v>
      </c>
      <c r="I385">
        <v>3528959295</v>
      </c>
      <c r="J385">
        <v>3212589201</v>
      </c>
      <c r="K385">
        <v>3081783844</v>
      </c>
      <c r="L385">
        <v>2032306288</v>
      </c>
      <c r="M385">
        <v>1854724077</v>
      </c>
      <c r="N385">
        <v>1745723767</v>
      </c>
      <c r="O385">
        <v>1675527110</v>
      </c>
      <c r="P385">
        <v>366</v>
      </c>
      <c r="Q385" t="s">
        <v>957</v>
      </c>
    </row>
    <row r="386" spans="1:17" x14ac:dyDescent="0.3">
      <c r="A386" t="s">
        <v>17</v>
      </c>
      <c r="B386" t="str">
        <f>"600462"</f>
        <v>600462</v>
      </c>
      <c r="C386" t="s">
        <v>958</v>
      </c>
      <c r="D386" t="s">
        <v>786</v>
      </c>
      <c r="F386">
        <v>60849869</v>
      </c>
      <c r="G386">
        <v>41385503</v>
      </c>
      <c r="H386">
        <v>-25002293</v>
      </c>
      <c r="I386">
        <v>12631422</v>
      </c>
      <c r="J386">
        <v>298752941</v>
      </c>
      <c r="K386">
        <v>291435708</v>
      </c>
      <c r="L386">
        <v>284750542</v>
      </c>
      <c r="M386">
        <v>320495646</v>
      </c>
      <c r="N386">
        <v>318294670</v>
      </c>
      <c r="O386">
        <v>311097648</v>
      </c>
      <c r="P386">
        <v>51</v>
      </c>
      <c r="Q386" t="s">
        <v>959</v>
      </c>
    </row>
    <row r="387" spans="1:17" x14ac:dyDescent="0.3">
      <c r="A387" t="s">
        <v>17</v>
      </c>
      <c r="B387" t="str">
        <f>"600463"</f>
        <v>600463</v>
      </c>
      <c r="C387" t="s">
        <v>960</v>
      </c>
      <c r="D387" t="s">
        <v>194</v>
      </c>
      <c r="F387">
        <v>1219677824</v>
      </c>
      <c r="G387">
        <v>1245658746</v>
      </c>
      <c r="H387">
        <v>1258516816</v>
      </c>
      <c r="I387">
        <v>1410953162</v>
      </c>
      <c r="J387">
        <v>1400446984</v>
      </c>
      <c r="K387">
        <v>1396721779</v>
      </c>
      <c r="L387">
        <v>1384061238</v>
      </c>
      <c r="M387">
        <v>798783449</v>
      </c>
      <c r="N387">
        <v>781440096</v>
      </c>
      <c r="O387">
        <v>731250545</v>
      </c>
      <c r="P387">
        <v>66</v>
      </c>
      <c r="Q387" t="s">
        <v>961</v>
      </c>
    </row>
    <row r="388" spans="1:17" x14ac:dyDescent="0.3">
      <c r="A388" t="s">
        <v>17</v>
      </c>
      <c r="B388" t="str">
        <f>"600466"</f>
        <v>600466</v>
      </c>
      <c r="C388" t="s">
        <v>962</v>
      </c>
      <c r="D388" t="s">
        <v>104</v>
      </c>
      <c r="F388">
        <v>1357052614</v>
      </c>
      <c r="G388">
        <v>16381380130</v>
      </c>
      <c r="H388">
        <v>15245502698</v>
      </c>
      <c r="I388">
        <v>11797607045</v>
      </c>
      <c r="J388">
        <v>9991455830</v>
      </c>
      <c r="K388">
        <v>9191568385</v>
      </c>
      <c r="L388">
        <v>8890691692</v>
      </c>
      <c r="M388">
        <v>598154144</v>
      </c>
      <c r="N388">
        <v>585572958</v>
      </c>
      <c r="O388">
        <v>563044325</v>
      </c>
      <c r="P388">
        <v>844</v>
      </c>
      <c r="Q388" t="s">
        <v>963</v>
      </c>
    </row>
    <row r="389" spans="1:17" x14ac:dyDescent="0.3">
      <c r="A389" t="s">
        <v>17</v>
      </c>
      <c r="B389" t="str">
        <f>"600467"</f>
        <v>600467</v>
      </c>
      <c r="C389" t="s">
        <v>964</v>
      </c>
      <c r="D389" t="s">
        <v>587</v>
      </c>
      <c r="F389">
        <v>3313494942</v>
      </c>
      <c r="G389">
        <v>3268933104</v>
      </c>
      <c r="H389">
        <v>3232068596</v>
      </c>
      <c r="I389">
        <v>3042732851</v>
      </c>
      <c r="J389">
        <v>3000308435</v>
      </c>
      <c r="K389">
        <v>2961387504</v>
      </c>
      <c r="L389">
        <v>2929228695</v>
      </c>
      <c r="M389">
        <v>2900609270</v>
      </c>
      <c r="N389">
        <v>2918272735</v>
      </c>
      <c r="O389">
        <v>2869068187</v>
      </c>
      <c r="P389">
        <v>119</v>
      </c>
      <c r="Q389" t="s">
        <v>965</v>
      </c>
    </row>
    <row r="390" spans="1:17" x14ac:dyDescent="0.3">
      <c r="A390" t="s">
        <v>17</v>
      </c>
      <c r="B390" t="str">
        <f>"600468"</f>
        <v>600468</v>
      </c>
      <c r="C390" t="s">
        <v>966</v>
      </c>
      <c r="D390" t="s">
        <v>657</v>
      </c>
      <c r="F390">
        <v>1888502668</v>
      </c>
      <c r="G390">
        <v>1813200972</v>
      </c>
      <c r="H390">
        <v>1683071586</v>
      </c>
      <c r="I390">
        <v>1750477452</v>
      </c>
      <c r="J390">
        <v>1810320389</v>
      </c>
      <c r="K390">
        <v>1751013005</v>
      </c>
      <c r="L390">
        <v>637028259</v>
      </c>
      <c r="M390">
        <v>638190069</v>
      </c>
      <c r="N390">
        <v>600060322</v>
      </c>
      <c r="O390">
        <v>568635274</v>
      </c>
      <c r="P390">
        <v>89</v>
      </c>
      <c r="Q390" t="s">
        <v>967</v>
      </c>
    </row>
    <row r="391" spans="1:17" x14ac:dyDescent="0.3">
      <c r="A391" t="s">
        <v>17</v>
      </c>
      <c r="B391" t="str">
        <f>"600469"</f>
        <v>600469</v>
      </c>
      <c r="C391" t="s">
        <v>968</v>
      </c>
      <c r="D391" t="s">
        <v>422</v>
      </c>
      <c r="F391">
        <v>2689535021</v>
      </c>
      <c r="G391">
        <v>2891259596</v>
      </c>
      <c r="H391">
        <v>2096740453</v>
      </c>
      <c r="I391">
        <v>2017432480</v>
      </c>
      <c r="J391">
        <v>1919042619</v>
      </c>
      <c r="K391">
        <v>2451314117</v>
      </c>
      <c r="L391">
        <v>2969072255</v>
      </c>
      <c r="M391">
        <v>2795361823</v>
      </c>
      <c r="N391">
        <v>2472255533</v>
      </c>
      <c r="O391">
        <v>2203371729</v>
      </c>
      <c r="P391">
        <v>99</v>
      </c>
      <c r="Q391" t="s">
        <v>969</v>
      </c>
    </row>
    <row r="392" spans="1:17" x14ac:dyDescent="0.3">
      <c r="A392" t="s">
        <v>17</v>
      </c>
      <c r="B392" t="str">
        <f>"600470"</f>
        <v>600470</v>
      </c>
      <c r="C392" t="s">
        <v>970</v>
      </c>
      <c r="D392" t="s">
        <v>183</v>
      </c>
      <c r="F392">
        <v>1611320034</v>
      </c>
      <c r="G392">
        <v>1374018366</v>
      </c>
      <c r="H392">
        <v>1175906881</v>
      </c>
      <c r="I392">
        <v>1436118131</v>
      </c>
      <c r="J392">
        <v>2072964787</v>
      </c>
      <c r="K392">
        <v>2003334257</v>
      </c>
      <c r="L392">
        <v>2164649669</v>
      </c>
      <c r="M392">
        <v>2009245610</v>
      </c>
      <c r="N392">
        <v>2264854332</v>
      </c>
      <c r="O392">
        <v>2302346271</v>
      </c>
      <c r="P392">
        <v>91</v>
      </c>
      <c r="Q392" t="s">
        <v>971</v>
      </c>
    </row>
    <row r="393" spans="1:17" x14ac:dyDescent="0.3">
      <c r="A393" t="s">
        <v>17</v>
      </c>
      <c r="B393" t="str">
        <f>"600475"</f>
        <v>600475</v>
      </c>
      <c r="C393" t="s">
        <v>972</v>
      </c>
      <c r="D393" t="s">
        <v>973</v>
      </c>
      <c r="F393">
        <v>7267288979</v>
      </c>
      <c r="G393">
        <v>7208500728</v>
      </c>
      <c r="H393">
        <v>5967031207</v>
      </c>
      <c r="I393">
        <v>4774243953</v>
      </c>
      <c r="J393">
        <v>4463375044</v>
      </c>
      <c r="K393">
        <v>1588571105</v>
      </c>
      <c r="L393">
        <v>1452580167</v>
      </c>
      <c r="M393">
        <v>1366724570</v>
      </c>
      <c r="N393">
        <v>1309097289</v>
      </c>
      <c r="O393">
        <v>1285485360</v>
      </c>
      <c r="P393">
        <v>169</v>
      </c>
      <c r="Q393" t="s">
        <v>974</v>
      </c>
    </row>
    <row r="394" spans="1:17" x14ac:dyDescent="0.3">
      <c r="A394" t="s">
        <v>17</v>
      </c>
      <c r="B394" t="str">
        <f>"600476"</f>
        <v>600476</v>
      </c>
      <c r="C394" t="s">
        <v>975</v>
      </c>
      <c r="D394" t="s">
        <v>316</v>
      </c>
      <c r="F394">
        <v>163974891</v>
      </c>
      <c r="G394">
        <v>158642994</v>
      </c>
      <c r="H394">
        <v>167392836</v>
      </c>
      <c r="I394">
        <v>231628746</v>
      </c>
      <c r="J394">
        <v>200167588</v>
      </c>
      <c r="K394">
        <v>198038780</v>
      </c>
      <c r="L394">
        <v>191227758</v>
      </c>
      <c r="M394">
        <v>230757529</v>
      </c>
      <c r="N394">
        <v>223237671</v>
      </c>
      <c r="O394">
        <v>285205825</v>
      </c>
      <c r="P394">
        <v>85</v>
      </c>
      <c r="Q394" t="s">
        <v>976</v>
      </c>
    </row>
    <row r="395" spans="1:17" x14ac:dyDescent="0.3">
      <c r="A395" t="s">
        <v>17</v>
      </c>
      <c r="B395" t="str">
        <f>"600477"</f>
        <v>600477</v>
      </c>
      <c r="C395" t="s">
        <v>977</v>
      </c>
      <c r="D395" t="s">
        <v>978</v>
      </c>
      <c r="F395">
        <v>4302068503</v>
      </c>
      <c r="G395">
        <v>4054802485</v>
      </c>
      <c r="H395">
        <v>3494915694</v>
      </c>
      <c r="I395">
        <v>3237996322</v>
      </c>
      <c r="J395">
        <v>2895820487</v>
      </c>
      <c r="K395">
        <v>2168721521</v>
      </c>
      <c r="L395">
        <v>1656018460</v>
      </c>
      <c r="M395">
        <v>1173261635</v>
      </c>
      <c r="N395">
        <v>788647230</v>
      </c>
      <c r="O395">
        <v>744114618</v>
      </c>
      <c r="P395">
        <v>347</v>
      </c>
      <c r="Q395" t="s">
        <v>979</v>
      </c>
    </row>
    <row r="396" spans="1:17" x14ac:dyDescent="0.3">
      <c r="A396" t="s">
        <v>17</v>
      </c>
      <c r="B396" t="str">
        <f>"600478"</f>
        <v>600478</v>
      </c>
      <c r="C396" t="s">
        <v>980</v>
      </c>
      <c r="D396" t="s">
        <v>359</v>
      </c>
      <c r="F396">
        <v>2609433936</v>
      </c>
      <c r="G396">
        <v>2560821157</v>
      </c>
      <c r="H396">
        <v>2509682456</v>
      </c>
      <c r="I396">
        <v>2097988191</v>
      </c>
      <c r="J396">
        <v>2078214457</v>
      </c>
      <c r="K396">
        <v>1307129988</v>
      </c>
      <c r="L396">
        <v>1491160813</v>
      </c>
      <c r="M396">
        <v>877552996</v>
      </c>
      <c r="N396">
        <v>955976109</v>
      </c>
      <c r="O396">
        <v>983088643</v>
      </c>
      <c r="P396">
        <v>160</v>
      </c>
      <c r="Q396" t="s">
        <v>981</v>
      </c>
    </row>
    <row r="397" spans="1:17" x14ac:dyDescent="0.3">
      <c r="A397" t="s">
        <v>17</v>
      </c>
      <c r="B397" t="str">
        <f>"600479"</f>
        <v>600479</v>
      </c>
      <c r="C397" t="s">
        <v>982</v>
      </c>
      <c r="D397" t="s">
        <v>188</v>
      </c>
      <c r="F397">
        <v>2150385210</v>
      </c>
      <c r="G397">
        <v>2266771589</v>
      </c>
      <c r="H397">
        <v>2178081788</v>
      </c>
      <c r="I397">
        <v>2028833841</v>
      </c>
      <c r="J397">
        <v>1877407343</v>
      </c>
      <c r="K397">
        <v>1745666244</v>
      </c>
      <c r="L397">
        <v>1646817727</v>
      </c>
      <c r="M397">
        <v>1121452171</v>
      </c>
      <c r="N397">
        <v>1008209217</v>
      </c>
      <c r="O397">
        <v>966035213</v>
      </c>
      <c r="P397">
        <v>605</v>
      </c>
      <c r="Q397" t="s">
        <v>983</v>
      </c>
    </row>
    <row r="398" spans="1:17" x14ac:dyDescent="0.3">
      <c r="A398" t="s">
        <v>17</v>
      </c>
      <c r="B398" t="str">
        <f>"600480"</f>
        <v>600480</v>
      </c>
      <c r="C398" t="s">
        <v>984</v>
      </c>
      <c r="D398" t="s">
        <v>985</v>
      </c>
      <c r="F398">
        <v>4831728976</v>
      </c>
      <c r="G398">
        <v>4717127070</v>
      </c>
      <c r="H398">
        <v>4615434891</v>
      </c>
      <c r="I398">
        <v>3974923638</v>
      </c>
      <c r="J398">
        <v>3786736551</v>
      </c>
      <c r="K398">
        <v>3498973777</v>
      </c>
      <c r="L398">
        <v>3310198280</v>
      </c>
      <c r="M398">
        <v>2016990642</v>
      </c>
      <c r="N398">
        <v>1923403581</v>
      </c>
      <c r="O398">
        <v>1820221876</v>
      </c>
      <c r="P398">
        <v>171</v>
      </c>
      <c r="Q398" t="s">
        <v>986</v>
      </c>
    </row>
    <row r="399" spans="1:17" x14ac:dyDescent="0.3">
      <c r="A399" t="s">
        <v>17</v>
      </c>
      <c r="B399" t="str">
        <f>"600481"</f>
        <v>600481</v>
      </c>
      <c r="C399" t="s">
        <v>987</v>
      </c>
      <c r="D399" t="s">
        <v>988</v>
      </c>
      <c r="F399">
        <v>2406027427</v>
      </c>
      <c r="G399">
        <v>2198434309</v>
      </c>
      <c r="H399">
        <v>2279249345</v>
      </c>
      <c r="I399">
        <v>2248843067</v>
      </c>
      <c r="J399">
        <v>2064830353</v>
      </c>
      <c r="K399">
        <v>2115667429</v>
      </c>
      <c r="L399">
        <v>2117965609</v>
      </c>
      <c r="M399">
        <v>2235385857</v>
      </c>
      <c r="N399">
        <v>2493506609</v>
      </c>
      <c r="O399">
        <v>2173686683</v>
      </c>
      <c r="P399">
        <v>185</v>
      </c>
      <c r="Q399" t="s">
        <v>989</v>
      </c>
    </row>
    <row r="400" spans="1:17" x14ac:dyDescent="0.3">
      <c r="A400" t="s">
        <v>17</v>
      </c>
      <c r="B400" t="str">
        <f>"600482"</f>
        <v>600482</v>
      </c>
      <c r="C400" t="s">
        <v>990</v>
      </c>
      <c r="D400" t="s">
        <v>167</v>
      </c>
      <c r="F400">
        <v>36105870609</v>
      </c>
      <c r="G400">
        <v>35692986948</v>
      </c>
      <c r="H400">
        <v>27328526572</v>
      </c>
      <c r="I400">
        <v>25923167171</v>
      </c>
      <c r="J400">
        <v>26077653619</v>
      </c>
      <c r="K400">
        <v>25451267559</v>
      </c>
      <c r="L400">
        <v>2195133224</v>
      </c>
      <c r="M400">
        <v>2084253096</v>
      </c>
      <c r="N400">
        <v>1947166634</v>
      </c>
      <c r="O400">
        <v>1262862702</v>
      </c>
      <c r="P400">
        <v>339</v>
      </c>
      <c r="Q400" t="s">
        <v>991</v>
      </c>
    </row>
    <row r="401" spans="1:17" x14ac:dyDescent="0.3">
      <c r="A401" t="s">
        <v>17</v>
      </c>
      <c r="B401" t="str">
        <f>"600483"</f>
        <v>600483</v>
      </c>
      <c r="C401" t="s">
        <v>992</v>
      </c>
      <c r="D401" t="s">
        <v>239</v>
      </c>
      <c r="F401">
        <v>17463344806</v>
      </c>
      <c r="G401">
        <v>15001835094</v>
      </c>
      <c r="H401">
        <v>12161513598</v>
      </c>
      <c r="I401">
        <v>11244182174</v>
      </c>
      <c r="J401">
        <v>10511408242</v>
      </c>
      <c r="K401">
        <v>9982973293</v>
      </c>
      <c r="L401">
        <v>6609707576</v>
      </c>
      <c r="M401">
        <v>5791728842</v>
      </c>
      <c r="N401">
        <v>742157350</v>
      </c>
      <c r="O401">
        <v>752356996</v>
      </c>
      <c r="P401">
        <v>331</v>
      </c>
      <c r="Q401" t="s">
        <v>993</v>
      </c>
    </row>
    <row r="402" spans="1:17" x14ac:dyDescent="0.3">
      <c r="A402" t="s">
        <v>17</v>
      </c>
      <c r="B402" t="str">
        <f>"600485"</f>
        <v>600485</v>
      </c>
      <c r="C402" t="s">
        <v>994</v>
      </c>
      <c r="G402">
        <v>-14710786466</v>
      </c>
      <c r="H402">
        <v>-11330046106</v>
      </c>
      <c r="I402">
        <v>7135187794</v>
      </c>
      <c r="J402">
        <v>9989823452</v>
      </c>
      <c r="K402">
        <v>11827747445</v>
      </c>
      <c r="L402">
        <v>12217833246</v>
      </c>
      <c r="M402">
        <v>10326237041</v>
      </c>
      <c r="N402">
        <v>461359268</v>
      </c>
      <c r="O402">
        <v>446561161</v>
      </c>
      <c r="P402">
        <v>124</v>
      </c>
      <c r="Q402" t="s">
        <v>995</v>
      </c>
    </row>
    <row r="403" spans="1:17" x14ac:dyDescent="0.3">
      <c r="A403" t="s">
        <v>17</v>
      </c>
      <c r="B403" t="str">
        <f>"600486"</f>
        <v>600486</v>
      </c>
      <c r="C403" t="s">
        <v>996</v>
      </c>
      <c r="D403" t="s">
        <v>853</v>
      </c>
      <c r="F403">
        <v>6943617664</v>
      </c>
      <c r="G403">
        <v>5947576471</v>
      </c>
      <c r="H403">
        <v>5054374474</v>
      </c>
      <c r="I403">
        <v>4628249566</v>
      </c>
      <c r="J403">
        <v>3896392043</v>
      </c>
      <c r="K403">
        <v>3445218627</v>
      </c>
      <c r="L403">
        <v>3136591330</v>
      </c>
      <c r="M403">
        <v>2717880660</v>
      </c>
      <c r="N403">
        <v>2289484328</v>
      </c>
      <c r="O403">
        <v>1960365114</v>
      </c>
      <c r="P403">
        <v>1252</v>
      </c>
      <c r="Q403" t="s">
        <v>997</v>
      </c>
    </row>
    <row r="404" spans="1:17" x14ac:dyDescent="0.3">
      <c r="A404" t="s">
        <v>17</v>
      </c>
      <c r="B404" t="str">
        <f>"600487"</f>
        <v>600487</v>
      </c>
      <c r="C404" t="s">
        <v>998</v>
      </c>
      <c r="D404" t="s">
        <v>250</v>
      </c>
      <c r="F404">
        <v>20538375984</v>
      </c>
      <c r="G404">
        <v>19759845806</v>
      </c>
      <c r="H404">
        <v>13437519364</v>
      </c>
      <c r="I404">
        <v>12420673248</v>
      </c>
      <c r="J404">
        <v>10346570897</v>
      </c>
      <c r="K404">
        <v>5849149657</v>
      </c>
      <c r="L404">
        <v>4616361535</v>
      </c>
      <c r="M404">
        <v>4094152314</v>
      </c>
      <c r="N404">
        <v>2707360541</v>
      </c>
      <c r="O404">
        <v>2457371033</v>
      </c>
      <c r="P404">
        <v>2802</v>
      </c>
      <c r="Q404" t="s">
        <v>999</v>
      </c>
    </row>
    <row r="405" spans="1:17" x14ac:dyDescent="0.3">
      <c r="A405" t="s">
        <v>17</v>
      </c>
      <c r="B405" t="str">
        <f>"600488"</f>
        <v>600488</v>
      </c>
      <c r="C405" t="s">
        <v>1000</v>
      </c>
      <c r="D405" t="s">
        <v>143</v>
      </c>
      <c r="F405">
        <v>2993025404</v>
      </c>
      <c r="G405">
        <v>2991518554</v>
      </c>
      <c r="H405">
        <v>2919952121</v>
      </c>
      <c r="I405">
        <v>2837954121</v>
      </c>
      <c r="J405">
        <v>2718791985</v>
      </c>
      <c r="K405">
        <v>2469541489</v>
      </c>
      <c r="L405">
        <v>2427949571</v>
      </c>
      <c r="M405">
        <v>2374732566</v>
      </c>
      <c r="N405">
        <v>2305367778</v>
      </c>
      <c r="O405">
        <v>1747325519</v>
      </c>
      <c r="P405">
        <v>98</v>
      </c>
      <c r="Q405" t="s">
        <v>1001</v>
      </c>
    </row>
    <row r="406" spans="1:17" x14ac:dyDescent="0.3">
      <c r="A406" t="s">
        <v>17</v>
      </c>
      <c r="B406" t="str">
        <f>"600489"</f>
        <v>600489</v>
      </c>
      <c r="C406" t="s">
        <v>1002</v>
      </c>
      <c r="D406" t="s">
        <v>701</v>
      </c>
      <c r="F406">
        <v>24844040118</v>
      </c>
      <c r="G406">
        <v>23412143175</v>
      </c>
      <c r="H406">
        <v>13723103698</v>
      </c>
      <c r="I406">
        <v>13622318410</v>
      </c>
      <c r="J406">
        <v>13455910515</v>
      </c>
      <c r="K406">
        <v>13252517762</v>
      </c>
      <c r="L406">
        <v>9871166437</v>
      </c>
      <c r="M406">
        <v>9931498747</v>
      </c>
      <c r="N406">
        <v>9975043725</v>
      </c>
      <c r="O406">
        <v>10051333094</v>
      </c>
      <c r="P406">
        <v>454</v>
      </c>
      <c r="Q406" t="s">
        <v>1003</v>
      </c>
    </row>
    <row r="407" spans="1:17" x14ac:dyDescent="0.3">
      <c r="A407" t="s">
        <v>17</v>
      </c>
      <c r="B407" t="str">
        <f>"600490"</f>
        <v>600490</v>
      </c>
      <c r="C407" t="s">
        <v>1004</v>
      </c>
      <c r="D407" t="s">
        <v>263</v>
      </c>
      <c r="F407">
        <v>6300066554</v>
      </c>
      <c r="G407">
        <v>6537687397</v>
      </c>
      <c r="H407">
        <v>6420266989</v>
      </c>
      <c r="I407">
        <v>5455275575</v>
      </c>
      <c r="J407">
        <v>5583568143</v>
      </c>
      <c r="K407">
        <v>3817472400</v>
      </c>
      <c r="L407">
        <v>1750809485</v>
      </c>
      <c r="M407">
        <v>1628783615</v>
      </c>
      <c r="N407">
        <v>1514372863</v>
      </c>
      <c r="O407">
        <v>1432607105</v>
      </c>
      <c r="P407">
        <v>144</v>
      </c>
      <c r="Q407" t="s">
        <v>1005</v>
      </c>
    </row>
    <row r="408" spans="1:17" x14ac:dyDescent="0.3">
      <c r="A408" t="s">
        <v>17</v>
      </c>
      <c r="B408" t="str">
        <f>"600491"</f>
        <v>600491</v>
      </c>
      <c r="C408" t="s">
        <v>1006</v>
      </c>
      <c r="D408" t="s">
        <v>398</v>
      </c>
      <c r="F408">
        <v>12059650180</v>
      </c>
      <c r="G408">
        <v>11374781013</v>
      </c>
      <c r="H408">
        <v>10630784722</v>
      </c>
      <c r="I408">
        <v>9695874461</v>
      </c>
      <c r="J408">
        <v>5881614261</v>
      </c>
      <c r="K408">
        <v>5269583396</v>
      </c>
      <c r="L408">
        <v>3564214238</v>
      </c>
      <c r="M408">
        <v>3303883712</v>
      </c>
      <c r="N408">
        <v>3104020509</v>
      </c>
      <c r="O408">
        <v>2950931378</v>
      </c>
      <c r="P408">
        <v>116</v>
      </c>
      <c r="Q408" t="s">
        <v>1007</v>
      </c>
    </row>
    <row r="409" spans="1:17" x14ac:dyDescent="0.3">
      <c r="A409" t="s">
        <v>17</v>
      </c>
      <c r="B409" t="str">
        <f>"600493"</f>
        <v>600493</v>
      </c>
      <c r="C409" t="s">
        <v>1008</v>
      </c>
      <c r="D409" t="s">
        <v>1009</v>
      </c>
      <c r="F409">
        <v>835451790</v>
      </c>
      <c r="G409">
        <v>766934916</v>
      </c>
      <c r="H409">
        <v>742957348</v>
      </c>
      <c r="I409">
        <v>719109758</v>
      </c>
      <c r="J409">
        <v>696666460</v>
      </c>
      <c r="K409">
        <v>690878627</v>
      </c>
      <c r="L409">
        <v>639897715</v>
      </c>
      <c r="M409">
        <v>632339675</v>
      </c>
      <c r="N409">
        <v>627764341</v>
      </c>
      <c r="O409">
        <v>619199875</v>
      </c>
      <c r="P409">
        <v>80</v>
      </c>
      <c r="Q409" t="s">
        <v>1010</v>
      </c>
    </row>
    <row r="410" spans="1:17" x14ac:dyDescent="0.3">
      <c r="A410" t="s">
        <v>17</v>
      </c>
      <c r="B410" t="str">
        <f>"600495"</f>
        <v>600495</v>
      </c>
      <c r="C410" t="s">
        <v>1011</v>
      </c>
      <c r="D410" t="s">
        <v>1012</v>
      </c>
      <c r="F410">
        <v>3233508136</v>
      </c>
      <c r="G410">
        <v>3229581436</v>
      </c>
      <c r="H410">
        <v>3190060852</v>
      </c>
      <c r="I410">
        <v>3144381573</v>
      </c>
      <c r="J410">
        <v>3121127049</v>
      </c>
      <c r="K410">
        <v>3104263142</v>
      </c>
      <c r="L410">
        <v>3107776571</v>
      </c>
      <c r="M410">
        <v>3050308518</v>
      </c>
      <c r="N410">
        <v>2951888991</v>
      </c>
      <c r="O410">
        <v>1600438732</v>
      </c>
      <c r="P410">
        <v>122</v>
      </c>
      <c r="Q410" t="s">
        <v>1013</v>
      </c>
    </row>
    <row r="411" spans="1:17" x14ac:dyDescent="0.3">
      <c r="A411" t="s">
        <v>17</v>
      </c>
      <c r="B411" t="str">
        <f>"600496"</f>
        <v>600496</v>
      </c>
      <c r="C411" t="s">
        <v>1014</v>
      </c>
      <c r="D411" t="s">
        <v>978</v>
      </c>
      <c r="F411">
        <v>7519238005</v>
      </c>
      <c r="G411">
        <v>6825253390</v>
      </c>
      <c r="H411">
        <v>5263931666</v>
      </c>
      <c r="I411">
        <v>4876356773</v>
      </c>
      <c r="J411">
        <v>3965515478</v>
      </c>
      <c r="K411">
        <v>3761856698</v>
      </c>
      <c r="L411">
        <v>3532217762</v>
      </c>
      <c r="M411">
        <v>3370871326</v>
      </c>
      <c r="N411">
        <v>2305504737</v>
      </c>
      <c r="O411">
        <v>2100795883</v>
      </c>
      <c r="P411">
        <v>249</v>
      </c>
      <c r="Q411" t="s">
        <v>1015</v>
      </c>
    </row>
    <row r="412" spans="1:17" x14ac:dyDescent="0.3">
      <c r="A412" t="s">
        <v>17</v>
      </c>
      <c r="B412" t="str">
        <f>"600497"</f>
        <v>600497</v>
      </c>
      <c r="C412" t="s">
        <v>1016</v>
      </c>
      <c r="D412" t="s">
        <v>744</v>
      </c>
      <c r="F412">
        <v>14822459754</v>
      </c>
      <c r="G412">
        <v>14628684124</v>
      </c>
      <c r="H412">
        <v>14911502443</v>
      </c>
      <c r="I412">
        <v>14360835370</v>
      </c>
      <c r="J412">
        <v>13804393456</v>
      </c>
      <c r="K412">
        <v>8814159909</v>
      </c>
      <c r="L412">
        <v>6880920577</v>
      </c>
      <c r="M412">
        <v>7192644507</v>
      </c>
      <c r="N412">
        <v>7338290993</v>
      </c>
      <c r="O412">
        <v>3833222488</v>
      </c>
      <c r="P412">
        <v>286</v>
      </c>
      <c r="Q412" t="s">
        <v>1017</v>
      </c>
    </row>
    <row r="413" spans="1:17" x14ac:dyDescent="0.3">
      <c r="A413" t="s">
        <v>17</v>
      </c>
      <c r="B413" t="str">
        <f>"600498"</f>
        <v>600498</v>
      </c>
      <c r="C413" t="s">
        <v>1018</v>
      </c>
      <c r="D413" t="s">
        <v>1019</v>
      </c>
      <c r="F413">
        <v>10997040545</v>
      </c>
      <c r="G413">
        <v>10735971977</v>
      </c>
      <c r="H413">
        <v>10733643189</v>
      </c>
      <c r="I413">
        <v>10009573376</v>
      </c>
      <c r="J413">
        <v>9527624812</v>
      </c>
      <c r="K413">
        <v>7279677578</v>
      </c>
      <c r="L413">
        <v>6858506313</v>
      </c>
      <c r="M413">
        <v>6199538113</v>
      </c>
      <c r="N413">
        <v>5646210425</v>
      </c>
      <c r="O413">
        <v>5269610005</v>
      </c>
      <c r="P413">
        <v>853</v>
      </c>
      <c r="Q413" t="s">
        <v>1020</v>
      </c>
    </row>
    <row r="414" spans="1:17" x14ac:dyDescent="0.3">
      <c r="A414" t="s">
        <v>17</v>
      </c>
      <c r="B414" t="str">
        <f>"600499"</f>
        <v>600499</v>
      </c>
      <c r="C414" t="s">
        <v>1021</v>
      </c>
      <c r="D414" t="s">
        <v>741</v>
      </c>
      <c r="F414">
        <v>6851718851</v>
      </c>
      <c r="G414">
        <v>5937037148</v>
      </c>
      <c r="H414">
        <v>4650736860</v>
      </c>
      <c r="I414">
        <v>4658414840</v>
      </c>
      <c r="J414">
        <v>5438016005</v>
      </c>
      <c r="K414">
        <v>4047094193</v>
      </c>
      <c r="L414">
        <v>4108269254</v>
      </c>
      <c r="M414">
        <v>3615275630</v>
      </c>
      <c r="N414">
        <v>2879340391</v>
      </c>
      <c r="O414">
        <v>2423854625</v>
      </c>
      <c r="P414">
        <v>246</v>
      </c>
      <c r="Q414" t="s">
        <v>1022</v>
      </c>
    </row>
    <row r="415" spans="1:17" x14ac:dyDescent="0.3">
      <c r="A415" t="s">
        <v>17</v>
      </c>
      <c r="B415" t="str">
        <f>"600500"</f>
        <v>600500</v>
      </c>
      <c r="C415" t="s">
        <v>1023</v>
      </c>
      <c r="D415" t="s">
        <v>386</v>
      </c>
      <c r="F415">
        <v>11550204058</v>
      </c>
      <c r="G415">
        <v>11660702512</v>
      </c>
      <c r="H415">
        <v>11827612468</v>
      </c>
      <c r="I415">
        <v>11242890021</v>
      </c>
      <c r="J415">
        <v>10807299101</v>
      </c>
      <c r="K415">
        <v>11171952762</v>
      </c>
      <c r="L415">
        <v>11305732913</v>
      </c>
      <c r="M415">
        <v>10895850984</v>
      </c>
      <c r="N415">
        <v>10542970426</v>
      </c>
      <c r="O415">
        <v>6612592172</v>
      </c>
      <c r="P415">
        <v>285</v>
      </c>
      <c r="Q415" t="s">
        <v>1024</v>
      </c>
    </row>
    <row r="416" spans="1:17" x14ac:dyDescent="0.3">
      <c r="A416" t="s">
        <v>17</v>
      </c>
      <c r="B416" t="str">
        <f>"600501"</f>
        <v>600501</v>
      </c>
      <c r="C416" t="s">
        <v>1025</v>
      </c>
      <c r="D416" t="s">
        <v>741</v>
      </c>
      <c r="F416">
        <v>2181309844</v>
      </c>
      <c r="G416">
        <v>2127929052</v>
      </c>
      <c r="H416">
        <v>2121360573</v>
      </c>
      <c r="I416">
        <v>2044171612</v>
      </c>
      <c r="J416">
        <v>2209158451</v>
      </c>
      <c r="K416">
        <v>2202357006</v>
      </c>
      <c r="L416">
        <v>2144379055</v>
      </c>
      <c r="M416">
        <v>1252552512</v>
      </c>
      <c r="N416">
        <v>1179854897</v>
      </c>
      <c r="O416">
        <v>1154268980</v>
      </c>
      <c r="P416">
        <v>117</v>
      </c>
      <c r="Q416" t="s">
        <v>1026</v>
      </c>
    </row>
    <row r="417" spans="1:17" x14ac:dyDescent="0.3">
      <c r="A417" t="s">
        <v>17</v>
      </c>
      <c r="B417" t="str">
        <f>"600502"</f>
        <v>600502</v>
      </c>
      <c r="C417" t="s">
        <v>1027</v>
      </c>
      <c r="D417" t="s">
        <v>398</v>
      </c>
      <c r="F417">
        <v>8087717181</v>
      </c>
      <c r="G417">
        <v>7441556351</v>
      </c>
      <c r="H417">
        <v>7162234048</v>
      </c>
      <c r="I417">
        <v>6906157246</v>
      </c>
      <c r="J417">
        <v>6253825724</v>
      </c>
      <c r="K417">
        <v>2877705301</v>
      </c>
      <c r="L417">
        <v>2614909733</v>
      </c>
      <c r="M417">
        <v>1762715688</v>
      </c>
      <c r="N417">
        <v>1551591650</v>
      </c>
      <c r="O417">
        <v>1354639932</v>
      </c>
      <c r="P417">
        <v>410</v>
      </c>
      <c r="Q417" t="s">
        <v>1028</v>
      </c>
    </row>
    <row r="418" spans="1:17" x14ac:dyDescent="0.3">
      <c r="A418" t="s">
        <v>17</v>
      </c>
      <c r="B418" t="str">
        <f>"600503"</f>
        <v>600503</v>
      </c>
      <c r="C418" t="s">
        <v>1029</v>
      </c>
      <c r="D418" t="s">
        <v>104</v>
      </c>
      <c r="F418">
        <v>3710027695</v>
      </c>
      <c r="G418">
        <v>3793353265</v>
      </c>
      <c r="H418">
        <v>3959037582</v>
      </c>
      <c r="I418">
        <v>3784081607</v>
      </c>
      <c r="J418">
        <v>3592239057</v>
      </c>
      <c r="K418">
        <v>3750096031</v>
      </c>
      <c r="L418">
        <v>3627191874</v>
      </c>
      <c r="M418">
        <v>3593594794</v>
      </c>
      <c r="N418">
        <v>1970164748</v>
      </c>
      <c r="O418">
        <v>1967791935</v>
      </c>
      <c r="P418">
        <v>200</v>
      </c>
      <c r="Q418" t="s">
        <v>1030</v>
      </c>
    </row>
    <row r="419" spans="1:17" x14ac:dyDescent="0.3">
      <c r="A419" t="s">
        <v>17</v>
      </c>
      <c r="B419" t="str">
        <f>"600505"</f>
        <v>600505</v>
      </c>
      <c r="C419" t="s">
        <v>1031</v>
      </c>
      <c r="D419" t="s">
        <v>239</v>
      </c>
      <c r="F419">
        <v>1227345876</v>
      </c>
      <c r="G419">
        <v>1194765793</v>
      </c>
      <c r="H419">
        <v>1179532109</v>
      </c>
      <c r="I419">
        <v>1113318417</v>
      </c>
      <c r="J419">
        <v>1062360462</v>
      </c>
      <c r="K419">
        <v>1031012323</v>
      </c>
      <c r="L419">
        <v>985143982</v>
      </c>
      <c r="M419">
        <v>930865462</v>
      </c>
      <c r="N419">
        <v>879998353</v>
      </c>
      <c r="O419">
        <v>824060065</v>
      </c>
      <c r="P419">
        <v>104</v>
      </c>
      <c r="Q419" t="s">
        <v>1032</v>
      </c>
    </row>
    <row r="420" spans="1:17" x14ac:dyDescent="0.3">
      <c r="A420" t="s">
        <v>17</v>
      </c>
      <c r="B420" t="str">
        <f>"600506"</f>
        <v>600506</v>
      </c>
      <c r="C420" t="s">
        <v>1033</v>
      </c>
      <c r="D420" t="s">
        <v>258</v>
      </c>
      <c r="F420">
        <v>242586789</v>
      </c>
      <c r="G420">
        <v>278520204</v>
      </c>
      <c r="H420">
        <v>274065650</v>
      </c>
      <c r="I420">
        <v>281790061</v>
      </c>
      <c r="J420">
        <v>277322597</v>
      </c>
      <c r="K420">
        <v>267524693</v>
      </c>
      <c r="L420">
        <v>278036174</v>
      </c>
      <c r="M420">
        <v>271810496</v>
      </c>
      <c r="N420">
        <v>286889844</v>
      </c>
      <c r="O420">
        <v>282098272</v>
      </c>
      <c r="P420">
        <v>67</v>
      </c>
      <c r="Q420" t="s">
        <v>1034</v>
      </c>
    </row>
    <row r="421" spans="1:17" x14ac:dyDescent="0.3">
      <c r="A421" t="s">
        <v>17</v>
      </c>
      <c r="B421" t="str">
        <f>"600507"</f>
        <v>600507</v>
      </c>
      <c r="C421" t="s">
        <v>1035</v>
      </c>
      <c r="D421" t="s">
        <v>281</v>
      </c>
      <c r="F421">
        <v>9466947589</v>
      </c>
      <c r="G421">
        <v>9094432626</v>
      </c>
      <c r="H421">
        <v>6543554930</v>
      </c>
      <c r="I421">
        <v>6445289282</v>
      </c>
      <c r="J421">
        <v>4870967050</v>
      </c>
      <c r="K421">
        <v>2650098058</v>
      </c>
      <c r="L421">
        <v>2016156125</v>
      </c>
      <c r="M421">
        <v>2982391772</v>
      </c>
      <c r="N421">
        <v>2584235209</v>
      </c>
      <c r="O421">
        <v>3351771261</v>
      </c>
      <c r="P421">
        <v>1893</v>
      </c>
      <c r="Q421" t="s">
        <v>1036</v>
      </c>
    </row>
    <row r="422" spans="1:17" x14ac:dyDescent="0.3">
      <c r="A422" t="s">
        <v>17</v>
      </c>
      <c r="B422" t="str">
        <f>"600508"</f>
        <v>600508</v>
      </c>
      <c r="C422" t="s">
        <v>1037</v>
      </c>
      <c r="D422" t="s">
        <v>298</v>
      </c>
      <c r="F422">
        <v>10485252826</v>
      </c>
      <c r="G422">
        <v>10298055802</v>
      </c>
      <c r="H422">
        <v>9862593421</v>
      </c>
      <c r="I422">
        <v>9511359128</v>
      </c>
      <c r="J422">
        <v>8950402688</v>
      </c>
      <c r="K422">
        <v>8502601937</v>
      </c>
      <c r="L422">
        <v>7982425284</v>
      </c>
      <c r="M422">
        <v>7970194244</v>
      </c>
      <c r="N422">
        <v>7956053626</v>
      </c>
      <c r="O422">
        <v>7946980356</v>
      </c>
      <c r="P422">
        <v>267</v>
      </c>
      <c r="Q422" t="s">
        <v>1038</v>
      </c>
    </row>
    <row r="423" spans="1:17" x14ac:dyDescent="0.3">
      <c r="A423" t="s">
        <v>17</v>
      </c>
      <c r="B423" t="str">
        <f>"600509"</f>
        <v>600509</v>
      </c>
      <c r="C423" t="s">
        <v>1039</v>
      </c>
      <c r="D423" t="s">
        <v>41</v>
      </c>
      <c r="F423">
        <v>5900158622</v>
      </c>
      <c r="G423">
        <v>5967634495</v>
      </c>
      <c r="H423">
        <v>6106566860</v>
      </c>
      <c r="I423">
        <v>6509698185</v>
      </c>
      <c r="J423">
        <v>6504433663</v>
      </c>
      <c r="K423">
        <v>4752650841</v>
      </c>
      <c r="L423">
        <v>4621172196</v>
      </c>
      <c r="M423">
        <v>4403165344</v>
      </c>
      <c r="N423">
        <v>4324373547</v>
      </c>
      <c r="O423">
        <v>2351865489</v>
      </c>
      <c r="P423">
        <v>142</v>
      </c>
      <c r="Q423" t="s">
        <v>1040</v>
      </c>
    </row>
    <row r="424" spans="1:17" x14ac:dyDescent="0.3">
      <c r="A424" t="s">
        <v>17</v>
      </c>
      <c r="B424" t="str">
        <f>"600510"</f>
        <v>600510</v>
      </c>
      <c r="C424" t="s">
        <v>1041</v>
      </c>
      <c r="D424" t="s">
        <v>104</v>
      </c>
      <c r="F424">
        <v>9373074614</v>
      </c>
      <c r="G424">
        <v>8899841104</v>
      </c>
      <c r="H424">
        <v>8437504058</v>
      </c>
      <c r="I424">
        <v>7817803152</v>
      </c>
      <c r="J424">
        <v>7567385057</v>
      </c>
      <c r="K424">
        <v>7391094784</v>
      </c>
      <c r="L424">
        <v>6423766430</v>
      </c>
      <c r="M424">
        <v>4650475396</v>
      </c>
      <c r="N424">
        <v>4528053951</v>
      </c>
      <c r="O424">
        <v>4241055154</v>
      </c>
      <c r="P424">
        <v>240</v>
      </c>
      <c r="Q424" t="s">
        <v>1042</v>
      </c>
    </row>
    <row r="425" spans="1:17" x14ac:dyDescent="0.3">
      <c r="A425" t="s">
        <v>17</v>
      </c>
      <c r="B425" t="str">
        <f>"600511"</f>
        <v>600511</v>
      </c>
      <c r="C425" t="s">
        <v>1043</v>
      </c>
      <c r="D425" t="s">
        <v>125</v>
      </c>
      <c r="F425">
        <v>12779969993</v>
      </c>
      <c r="G425">
        <v>11443638059</v>
      </c>
      <c r="H425">
        <v>10537090367</v>
      </c>
      <c r="I425">
        <v>9232394076</v>
      </c>
      <c r="J425">
        <v>8181194100</v>
      </c>
      <c r="K425">
        <v>3521877911</v>
      </c>
      <c r="L425">
        <v>3029764128</v>
      </c>
      <c r="M425">
        <v>2480053063</v>
      </c>
      <c r="N425">
        <v>2107249014</v>
      </c>
      <c r="O425">
        <v>1795748557</v>
      </c>
      <c r="P425">
        <v>24746</v>
      </c>
      <c r="Q425" t="s">
        <v>1044</v>
      </c>
    </row>
    <row r="426" spans="1:17" x14ac:dyDescent="0.3">
      <c r="A426" t="s">
        <v>17</v>
      </c>
      <c r="B426" t="str">
        <f>"600512"</f>
        <v>600512</v>
      </c>
      <c r="C426" t="s">
        <v>1045</v>
      </c>
      <c r="D426" t="s">
        <v>101</v>
      </c>
      <c r="F426">
        <v>6040158169</v>
      </c>
      <c r="G426">
        <v>5295654567</v>
      </c>
      <c r="H426">
        <v>4685437170</v>
      </c>
      <c r="I426">
        <v>4291287144</v>
      </c>
      <c r="J426">
        <v>4742234971</v>
      </c>
      <c r="K426">
        <v>4648849631</v>
      </c>
      <c r="L426">
        <v>2017431096</v>
      </c>
      <c r="M426">
        <v>1170608075</v>
      </c>
      <c r="N426">
        <v>1191817664</v>
      </c>
      <c r="O426">
        <v>1047437536</v>
      </c>
      <c r="P426">
        <v>161</v>
      </c>
      <c r="Q426" t="s">
        <v>1046</v>
      </c>
    </row>
    <row r="427" spans="1:17" x14ac:dyDescent="0.3">
      <c r="A427" t="s">
        <v>17</v>
      </c>
      <c r="B427" t="str">
        <f>"600513"</f>
        <v>600513</v>
      </c>
      <c r="C427" t="s">
        <v>1047</v>
      </c>
      <c r="D427" t="s">
        <v>143</v>
      </c>
      <c r="F427">
        <v>1158113001</v>
      </c>
      <c r="G427">
        <v>1071555564</v>
      </c>
      <c r="H427">
        <v>989249074</v>
      </c>
      <c r="I427">
        <v>930242936</v>
      </c>
      <c r="J427">
        <v>878095338</v>
      </c>
      <c r="K427">
        <v>826704917</v>
      </c>
      <c r="L427">
        <v>774149287</v>
      </c>
      <c r="M427">
        <v>433924839</v>
      </c>
      <c r="N427">
        <v>401682013</v>
      </c>
      <c r="O427">
        <v>349982735</v>
      </c>
      <c r="P427">
        <v>144</v>
      </c>
      <c r="Q427" t="s">
        <v>1048</v>
      </c>
    </row>
    <row r="428" spans="1:17" x14ac:dyDescent="0.3">
      <c r="A428" t="s">
        <v>17</v>
      </c>
      <c r="B428" t="str">
        <f>"600515"</f>
        <v>600515</v>
      </c>
      <c r="C428" t="s">
        <v>1049</v>
      </c>
      <c r="D428" t="s">
        <v>104</v>
      </c>
      <c r="F428">
        <v>19306033746</v>
      </c>
      <c r="G428">
        <v>7257646700</v>
      </c>
      <c r="H428">
        <v>23377308089</v>
      </c>
      <c r="I428">
        <v>30999483071</v>
      </c>
      <c r="J428">
        <v>31654074755</v>
      </c>
      <c r="K428">
        <v>32022980965</v>
      </c>
      <c r="L428">
        <v>880453068</v>
      </c>
      <c r="M428">
        <v>818580494</v>
      </c>
      <c r="N428">
        <v>789166883</v>
      </c>
      <c r="O428">
        <v>903190039</v>
      </c>
      <c r="P428">
        <v>163</v>
      </c>
      <c r="Q428" t="s">
        <v>1050</v>
      </c>
    </row>
    <row r="429" spans="1:17" x14ac:dyDescent="0.3">
      <c r="A429" t="s">
        <v>17</v>
      </c>
      <c r="B429" t="str">
        <f>"600516"</f>
        <v>600516</v>
      </c>
      <c r="C429" t="s">
        <v>1051</v>
      </c>
      <c r="D429" t="s">
        <v>669</v>
      </c>
      <c r="F429">
        <v>14764688049</v>
      </c>
      <c r="G429">
        <v>15583961059</v>
      </c>
      <c r="H429">
        <v>15033923962</v>
      </c>
      <c r="I429">
        <v>12625994927</v>
      </c>
      <c r="J429">
        <v>9702611455</v>
      </c>
      <c r="K429">
        <v>5835981549</v>
      </c>
      <c r="L429">
        <v>5771667891</v>
      </c>
      <c r="M429">
        <v>5745010145</v>
      </c>
      <c r="N429">
        <v>5540297117</v>
      </c>
      <c r="O429">
        <v>3955007152</v>
      </c>
      <c r="P429">
        <v>1177</v>
      </c>
      <c r="Q429" t="s">
        <v>1052</v>
      </c>
    </row>
    <row r="430" spans="1:17" x14ac:dyDescent="0.3">
      <c r="A430" t="s">
        <v>17</v>
      </c>
      <c r="B430" t="str">
        <f>"600517"</f>
        <v>600517</v>
      </c>
      <c r="C430" t="s">
        <v>1053</v>
      </c>
      <c r="D430" t="s">
        <v>210</v>
      </c>
      <c r="F430">
        <v>18338602210</v>
      </c>
      <c r="G430">
        <v>17269918411</v>
      </c>
      <c r="H430">
        <v>3423905940</v>
      </c>
      <c r="I430">
        <v>3425694354</v>
      </c>
      <c r="J430">
        <v>3543543686</v>
      </c>
      <c r="K430">
        <v>3507536887</v>
      </c>
      <c r="L430">
        <v>3170372883</v>
      </c>
      <c r="M430">
        <v>2300572735</v>
      </c>
      <c r="N430">
        <v>2118712289</v>
      </c>
      <c r="O430">
        <v>1132486134</v>
      </c>
      <c r="P430">
        <v>246</v>
      </c>
      <c r="Q430" t="s">
        <v>1054</v>
      </c>
    </row>
    <row r="431" spans="1:17" x14ac:dyDescent="0.3">
      <c r="A431" t="s">
        <v>17</v>
      </c>
      <c r="B431" t="str">
        <f>"600518"</f>
        <v>600518</v>
      </c>
      <c r="C431" t="s">
        <v>1055</v>
      </c>
      <c r="D431" t="s">
        <v>188</v>
      </c>
      <c r="F431">
        <v>9926555018</v>
      </c>
      <c r="G431">
        <v>-10153509519</v>
      </c>
      <c r="H431">
        <v>17547574014</v>
      </c>
      <c r="I431">
        <v>25227249524</v>
      </c>
      <c r="J431">
        <v>25445644515</v>
      </c>
      <c r="K431">
        <v>26147870379</v>
      </c>
      <c r="L431">
        <v>15797426902</v>
      </c>
      <c r="M431">
        <v>13748265238</v>
      </c>
      <c r="N431">
        <v>12027636936</v>
      </c>
      <c r="O431">
        <v>10580984034</v>
      </c>
      <c r="P431">
        <v>1483</v>
      </c>
      <c r="Q431" t="s">
        <v>1056</v>
      </c>
    </row>
    <row r="432" spans="1:17" x14ac:dyDescent="0.3">
      <c r="A432" t="s">
        <v>17</v>
      </c>
      <c r="B432" t="str">
        <f>"600519"</f>
        <v>600519</v>
      </c>
      <c r="C432" t="s">
        <v>1057</v>
      </c>
      <c r="D432" t="s">
        <v>458</v>
      </c>
      <c r="F432">
        <v>189539368797</v>
      </c>
      <c r="G432">
        <v>161322735088</v>
      </c>
      <c r="H432">
        <v>136010349875</v>
      </c>
      <c r="I432">
        <v>112838564332</v>
      </c>
      <c r="J432">
        <v>91451522829</v>
      </c>
      <c r="K432">
        <v>72894137783</v>
      </c>
      <c r="L432">
        <v>63925978439</v>
      </c>
      <c r="M432">
        <v>53430402446</v>
      </c>
      <c r="N432">
        <v>42622216488</v>
      </c>
      <c r="O432">
        <v>34149654124</v>
      </c>
      <c r="P432">
        <v>71978</v>
      </c>
      <c r="Q432" t="s">
        <v>1058</v>
      </c>
    </row>
    <row r="433" spans="1:17" x14ac:dyDescent="0.3">
      <c r="A433" t="s">
        <v>17</v>
      </c>
      <c r="B433" t="str">
        <f>"600520"</f>
        <v>600520</v>
      </c>
      <c r="C433" t="s">
        <v>1059</v>
      </c>
      <c r="D433" t="s">
        <v>741</v>
      </c>
      <c r="F433">
        <v>386674076</v>
      </c>
      <c r="G433">
        <v>378011665</v>
      </c>
      <c r="H433">
        <v>369713940</v>
      </c>
      <c r="I433">
        <v>442218667</v>
      </c>
      <c r="J433">
        <v>437174840</v>
      </c>
      <c r="K433">
        <v>429223738</v>
      </c>
      <c r="L433">
        <v>416872718</v>
      </c>
      <c r="M433">
        <v>473670901</v>
      </c>
      <c r="N433">
        <v>201304739</v>
      </c>
      <c r="O433">
        <v>210455962</v>
      </c>
      <c r="P433">
        <v>73</v>
      </c>
      <c r="Q433" t="s">
        <v>1060</v>
      </c>
    </row>
    <row r="434" spans="1:17" x14ac:dyDescent="0.3">
      <c r="A434" t="s">
        <v>17</v>
      </c>
      <c r="B434" t="str">
        <f>"600521"</f>
        <v>600521</v>
      </c>
      <c r="C434" t="s">
        <v>1061</v>
      </c>
      <c r="D434" t="s">
        <v>143</v>
      </c>
      <c r="F434">
        <v>6318696604</v>
      </c>
      <c r="G434">
        <v>6272800918</v>
      </c>
      <c r="H434">
        <v>5609632142</v>
      </c>
      <c r="I434">
        <v>4069749516</v>
      </c>
      <c r="J434">
        <v>4882224453</v>
      </c>
      <c r="K434">
        <v>4383522934</v>
      </c>
      <c r="L434">
        <v>3591106762</v>
      </c>
      <c r="M434">
        <v>3221241264</v>
      </c>
      <c r="N434">
        <v>3006971363</v>
      </c>
      <c r="O434">
        <v>1940864804</v>
      </c>
      <c r="P434">
        <v>964</v>
      </c>
      <c r="Q434" t="s">
        <v>1062</v>
      </c>
    </row>
    <row r="435" spans="1:17" x14ac:dyDescent="0.3">
      <c r="A435" t="s">
        <v>17</v>
      </c>
      <c r="B435" t="str">
        <f>"600522"</f>
        <v>600522</v>
      </c>
      <c r="C435" t="s">
        <v>1063</v>
      </c>
      <c r="D435" t="s">
        <v>250</v>
      </c>
      <c r="F435">
        <v>26934407814</v>
      </c>
      <c r="G435">
        <v>22834075086</v>
      </c>
      <c r="H435">
        <v>20613402592</v>
      </c>
      <c r="I435">
        <v>19273934263</v>
      </c>
      <c r="J435">
        <v>17609817867</v>
      </c>
      <c r="K435">
        <v>11941794832</v>
      </c>
      <c r="L435">
        <v>10247585118</v>
      </c>
      <c r="M435">
        <v>7858219760</v>
      </c>
      <c r="N435">
        <v>5242439052</v>
      </c>
      <c r="O435">
        <v>4501368034</v>
      </c>
      <c r="P435">
        <v>1218</v>
      </c>
      <c r="Q435" t="s">
        <v>1064</v>
      </c>
    </row>
    <row r="436" spans="1:17" x14ac:dyDescent="0.3">
      <c r="A436" t="s">
        <v>17</v>
      </c>
      <c r="B436" t="str">
        <f>"600523"</f>
        <v>600523</v>
      </c>
      <c r="C436" t="s">
        <v>1065</v>
      </c>
      <c r="D436" t="s">
        <v>985</v>
      </c>
      <c r="F436">
        <v>2726991201</v>
      </c>
      <c r="G436">
        <v>2624867568</v>
      </c>
      <c r="H436">
        <v>2542151936</v>
      </c>
      <c r="I436">
        <v>2295498901</v>
      </c>
      <c r="J436">
        <v>2241785141</v>
      </c>
      <c r="K436">
        <v>2093138179</v>
      </c>
      <c r="L436">
        <v>1969365085</v>
      </c>
      <c r="M436">
        <v>1847523623</v>
      </c>
      <c r="N436">
        <v>1748058418</v>
      </c>
      <c r="O436">
        <v>1651035101</v>
      </c>
      <c r="P436">
        <v>96</v>
      </c>
      <c r="Q436" t="s">
        <v>1066</v>
      </c>
    </row>
    <row r="437" spans="1:17" x14ac:dyDescent="0.3">
      <c r="A437" t="s">
        <v>17</v>
      </c>
      <c r="B437" t="str">
        <f>"600525"</f>
        <v>600525</v>
      </c>
      <c r="C437" t="s">
        <v>1067</v>
      </c>
      <c r="D437" t="s">
        <v>210</v>
      </c>
      <c r="F437">
        <v>3311078711</v>
      </c>
      <c r="G437">
        <v>4351675392</v>
      </c>
      <c r="H437">
        <v>4269871670</v>
      </c>
      <c r="I437">
        <v>5341816516</v>
      </c>
      <c r="J437">
        <v>5848916088</v>
      </c>
      <c r="K437">
        <v>7054920224</v>
      </c>
      <c r="L437">
        <v>5334380418</v>
      </c>
      <c r="M437">
        <v>2781314670</v>
      </c>
      <c r="N437">
        <v>2525076555</v>
      </c>
      <c r="O437">
        <v>2251270722</v>
      </c>
      <c r="P437">
        <v>254</v>
      </c>
      <c r="Q437" t="s">
        <v>1068</v>
      </c>
    </row>
    <row r="438" spans="1:17" x14ac:dyDescent="0.3">
      <c r="A438" t="s">
        <v>17</v>
      </c>
      <c r="B438" t="str">
        <f>"600526"</f>
        <v>600526</v>
      </c>
      <c r="C438" t="s">
        <v>1069</v>
      </c>
      <c r="D438" t="s">
        <v>1070</v>
      </c>
      <c r="F438">
        <v>2094596655</v>
      </c>
      <c r="G438">
        <v>2040102472</v>
      </c>
      <c r="H438">
        <v>2007344221</v>
      </c>
      <c r="I438">
        <v>1918878618</v>
      </c>
      <c r="J438">
        <v>2340647102</v>
      </c>
      <c r="K438">
        <v>2534410505</v>
      </c>
      <c r="L438">
        <v>2544701487</v>
      </c>
      <c r="M438">
        <v>1334498705</v>
      </c>
      <c r="N438">
        <v>1299213189</v>
      </c>
      <c r="O438">
        <v>546878270</v>
      </c>
      <c r="P438">
        <v>114</v>
      </c>
      <c r="Q438" t="s">
        <v>1071</v>
      </c>
    </row>
    <row r="439" spans="1:17" x14ac:dyDescent="0.3">
      <c r="A439" t="s">
        <v>17</v>
      </c>
      <c r="B439" t="str">
        <f>"600527"</f>
        <v>600527</v>
      </c>
      <c r="C439" t="s">
        <v>1072</v>
      </c>
      <c r="D439" t="s">
        <v>366</v>
      </c>
      <c r="F439">
        <v>2384749259</v>
      </c>
      <c r="G439">
        <v>2455408812</v>
      </c>
      <c r="H439">
        <v>2367421532</v>
      </c>
      <c r="I439">
        <v>2428581879</v>
      </c>
      <c r="J439">
        <v>2485180081</v>
      </c>
      <c r="K439">
        <v>1625553142</v>
      </c>
      <c r="L439">
        <v>1670320657</v>
      </c>
      <c r="M439">
        <v>1760108547</v>
      </c>
      <c r="N439">
        <v>1801570482</v>
      </c>
      <c r="O439">
        <v>1634355534</v>
      </c>
      <c r="P439">
        <v>112</v>
      </c>
      <c r="Q439" t="s">
        <v>1073</v>
      </c>
    </row>
    <row r="440" spans="1:17" x14ac:dyDescent="0.3">
      <c r="A440" t="s">
        <v>17</v>
      </c>
      <c r="B440" t="str">
        <f>"600528"</f>
        <v>600528</v>
      </c>
      <c r="C440" t="s">
        <v>1074</v>
      </c>
      <c r="D440" t="s">
        <v>1012</v>
      </c>
      <c r="F440">
        <v>19965030858</v>
      </c>
      <c r="G440">
        <v>18590949520</v>
      </c>
      <c r="H440">
        <v>17134751025</v>
      </c>
      <c r="I440">
        <v>15725389214</v>
      </c>
      <c r="J440">
        <v>14616504403</v>
      </c>
      <c r="K440">
        <v>6242825793</v>
      </c>
      <c r="L440">
        <v>6162512959</v>
      </c>
      <c r="M440">
        <v>6082182497</v>
      </c>
      <c r="N440">
        <v>5945245538</v>
      </c>
      <c r="O440">
        <v>5698743453</v>
      </c>
      <c r="P440">
        <v>252</v>
      </c>
      <c r="Q440" t="s">
        <v>1075</v>
      </c>
    </row>
    <row r="441" spans="1:17" x14ac:dyDescent="0.3">
      <c r="A441" t="s">
        <v>17</v>
      </c>
      <c r="B441" t="str">
        <f>"600529"</f>
        <v>600529</v>
      </c>
      <c r="C441" t="s">
        <v>1076</v>
      </c>
      <c r="D441" t="s">
        <v>1077</v>
      </c>
      <c r="F441">
        <v>4670303784</v>
      </c>
      <c r="G441">
        <v>4255887954</v>
      </c>
      <c r="H441">
        <v>3867778257</v>
      </c>
      <c r="I441">
        <v>3525714331</v>
      </c>
      <c r="J441">
        <v>3250316274</v>
      </c>
      <c r="K441">
        <v>3043601049</v>
      </c>
      <c r="L441">
        <v>2228907721</v>
      </c>
      <c r="M441">
        <v>2116330672</v>
      </c>
      <c r="N441">
        <v>2029982702</v>
      </c>
      <c r="O441">
        <v>1940346924</v>
      </c>
      <c r="P441">
        <v>1046</v>
      </c>
      <c r="Q441" t="s">
        <v>1078</v>
      </c>
    </row>
    <row r="442" spans="1:17" x14ac:dyDescent="0.3">
      <c r="A442" t="s">
        <v>17</v>
      </c>
      <c r="B442" t="str">
        <f>"600530"</f>
        <v>600530</v>
      </c>
      <c r="C442" t="s">
        <v>1079</v>
      </c>
      <c r="D442" t="s">
        <v>838</v>
      </c>
      <c r="F442">
        <v>875850649</v>
      </c>
      <c r="G442">
        <v>834900062</v>
      </c>
      <c r="H442">
        <v>752585076</v>
      </c>
      <c r="I442">
        <v>903233602</v>
      </c>
      <c r="J442">
        <v>1634190595</v>
      </c>
      <c r="K442">
        <v>1665995693</v>
      </c>
      <c r="L442">
        <v>1078382298</v>
      </c>
      <c r="M442">
        <v>2085102224</v>
      </c>
      <c r="N442">
        <v>1324412045</v>
      </c>
      <c r="O442">
        <v>1470521927</v>
      </c>
      <c r="P442">
        <v>86</v>
      </c>
      <c r="Q442" t="s">
        <v>1080</v>
      </c>
    </row>
    <row r="443" spans="1:17" x14ac:dyDescent="0.3">
      <c r="A443" t="s">
        <v>17</v>
      </c>
      <c r="B443" t="str">
        <f>"600531"</f>
        <v>600531</v>
      </c>
      <c r="C443" t="s">
        <v>1081</v>
      </c>
      <c r="D443" t="s">
        <v>744</v>
      </c>
      <c r="F443">
        <v>4062958457</v>
      </c>
      <c r="G443">
        <v>3746546135</v>
      </c>
      <c r="H443">
        <v>3457081182</v>
      </c>
      <c r="I443">
        <v>3290744182</v>
      </c>
      <c r="J443">
        <v>3261515989</v>
      </c>
      <c r="K443">
        <v>3022355017</v>
      </c>
      <c r="L443">
        <v>1366260798</v>
      </c>
      <c r="M443">
        <v>1358674872</v>
      </c>
      <c r="N443">
        <v>1342249623</v>
      </c>
      <c r="O443">
        <v>1877236066</v>
      </c>
      <c r="P443">
        <v>148</v>
      </c>
      <c r="Q443" t="s">
        <v>1082</v>
      </c>
    </row>
    <row r="444" spans="1:17" x14ac:dyDescent="0.3">
      <c r="A444" t="s">
        <v>17</v>
      </c>
      <c r="B444" t="str">
        <f>"600532"</f>
        <v>600532</v>
      </c>
      <c r="C444" t="s">
        <v>1083</v>
      </c>
      <c r="D444" t="s">
        <v>292</v>
      </c>
      <c r="G444">
        <v>1883611463</v>
      </c>
      <c r="H444">
        <v>1864336504</v>
      </c>
      <c r="I444">
        <v>1838343661</v>
      </c>
      <c r="J444">
        <v>1827533692</v>
      </c>
      <c r="K444">
        <v>1907001455</v>
      </c>
      <c r="L444">
        <v>1793223808</v>
      </c>
      <c r="M444">
        <v>1206311238</v>
      </c>
      <c r="N444">
        <v>1060093750</v>
      </c>
      <c r="O444">
        <v>899553662</v>
      </c>
      <c r="P444">
        <v>91</v>
      </c>
      <c r="Q444" t="s">
        <v>1084</v>
      </c>
    </row>
    <row r="445" spans="1:17" x14ac:dyDescent="0.3">
      <c r="A445" t="s">
        <v>17</v>
      </c>
      <c r="B445" t="str">
        <f>"600533"</f>
        <v>600533</v>
      </c>
      <c r="C445" t="s">
        <v>1085</v>
      </c>
      <c r="D445" t="s">
        <v>104</v>
      </c>
      <c r="F445">
        <v>4439156809</v>
      </c>
      <c r="G445">
        <v>4162678184</v>
      </c>
      <c r="H445">
        <v>3953901834</v>
      </c>
      <c r="I445">
        <v>3628631433</v>
      </c>
      <c r="J445">
        <v>3807699437</v>
      </c>
      <c r="K445">
        <v>3932956171</v>
      </c>
      <c r="L445">
        <v>3989863068</v>
      </c>
      <c r="M445">
        <v>3609980784</v>
      </c>
      <c r="N445">
        <v>3704815531</v>
      </c>
      <c r="O445">
        <v>3573928142</v>
      </c>
      <c r="P445">
        <v>199</v>
      </c>
      <c r="Q445" t="s">
        <v>1086</v>
      </c>
    </row>
    <row r="446" spans="1:17" x14ac:dyDescent="0.3">
      <c r="A446" t="s">
        <v>17</v>
      </c>
      <c r="B446" t="str">
        <f>"600535"</f>
        <v>600535</v>
      </c>
      <c r="C446" t="s">
        <v>1087</v>
      </c>
      <c r="D446" t="s">
        <v>188</v>
      </c>
      <c r="F446">
        <v>12981163571</v>
      </c>
      <c r="G446">
        <v>11972466893</v>
      </c>
      <c r="H446">
        <v>11130326089</v>
      </c>
      <c r="I446">
        <v>10533702253</v>
      </c>
      <c r="J446">
        <v>8654533089</v>
      </c>
      <c r="K446">
        <v>7963843056</v>
      </c>
      <c r="L446">
        <v>7469484212</v>
      </c>
      <c r="M446">
        <v>4837880290</v>
      </c>
      <c r="N446">
        <v>3832156682</v>
      </c>
      <c r="O446">
        <v>4011648341</v>
      </c>
      <c r="P446">
        <v>12549</v>
      </c>
      <c r="Q446" t="s">
        <v>1088</v>
      </c>
    </row>
    <row r="447" spans="1:17" x14ac:dyDescent="0.3">
      <c r="A447" t="s">
        <v>17</v>
      </c>
      <c r="B447" t="str">
        <f>"600536"</f>
        <v>600536</v>
      </c>
      <c r="C447" t="s">
        <v>1089</v>
      </c>
      <c r="D447" t="s">
        <v>316</v>
      </c>
      <c r="F447">
        <v>2423845664</v>
      </c>
      <c r="G447">
        <v>2310895113</v>
      </c>
      <c r="H447">
        <v>2272815205</v>
      </c>
      <c r="I447">
        <v>2196168331</v>
      </c>
      <c r="J447">
        <v>2106814169</v>
      </c>
      <c r="K447">
        <v>2064015243</v>
      </c>
      <c r="L447">
        <v>1976976085</v>
      </c>
      <c r="M447">
        <v>1912632480</v>
      </c>
      <c r="N447">
        <v>1897955420</v>
      </c>
      <c r="O447">
        <v>1268977762</v>
      </c>
      <c r="P447">
        <v>621</v>
      </c>
      <c r="Q447" t="s">
        <v>1090</v>
      </c>
    </row>
    <row r="448" spans="1:17" x14ac:dyDescent="0.3">
      <c r="A448" t="s">
        <v>17</v>
      </c>
      <c r="B448" t="str">
        <f>"600537"</f>
        <v>600537</v>
      </c>
      <c r="C448" t="s">
        <v>1091</v>
      </c>
      <c r="D448" t="s">
        <v>356</v>
      </c>
      <c r="F448">
        <v>2297622268</v>
      </c>
      <c r="G448">
        <v>2671138976</v>
      </c>
      <c r="H448">
        <v>3323585999</v>
      </c>
      <c r="I448">
        <v>3650124026</v>
      </c>
      <c r="J448">
        <v>3596786847</v>
      </c>
      <c r="K448">
        <v>3032831899</v>
      </c>
      <c r="L448">
        <v>2750911825</v>
      </c>
      <c r="M448">
        <v>1358962805</v>
      </c>
      <c r="N448">
        <v>1248762923</v>
      </c>
      <c r="O448">
        <v>1179864984</v>
      </c>
      <c r="P448">
        <v>147</v>
      </c>
      <c r="Q448" t="s">
        <v>1092</v>
      </c>
    </row>
    <row r="449" spans="1:17" x14ac:dyDescent="0.3">
      <c r="A449" t="s">
        <v>17</v>
      </c>
      <c r="B449" t="str">
        <f>"600538"</f>
        <v>600538</v>
      </c>
      <c r="C449" t="s">
        <v>1093</v>
      </c>
      <c r="D449" t="s">
        <v>125</v>
      </c>
      <c r="F449">
        <v>916703455</v>
      </c>
      <c r="G449">
        <v>844417227</v>
      </c>
      <c r="H449">
        <v>645608651</v>
      </c>
      <c r="I449">
        <v>637564340</v>
      </c>
      <c r="J449">
        <v>659175454</v>
      </c>
      <c r="K449">
        <v>650324813</v>
      </c>
      <c r="L449">
        <v>682186762</v>
      </c>
      <c r="M449">
        <v>678133701</v>
      </c>
      <c r="N449">
        <v>44480243</v>
      </c>
      <c r="O449">
        <v>28145816</v>
      </c>
      <c r="P449">
        <v>69</v>
      </c>
      <c r="Q449" t="s">
        <v>1094</v>
      </c>
    </row>
    <row r="450" spans="1:17" x14ac:dyDescent="0.3">
      <c r="A450" t="s">
        <v>17</v>
      </c>
      <c r="B450" t="str">
        <f>"600539"</f>
        <v>600539</v>
      </c>
      <c r="C450" t="s">
        <v>1095</v>
      </c>
      <c r="D450" t="s">
        <v>110</v>
      </c>
      <c r="F450">
        <v>434951389</v>
      </c>
      <c r="G450">
        <v>421394054</v>
      </c>
      <c r="H450">
        <v>410015240</v>
      </c>
      <c r="I450">
        <v>429928808</v>
      </c>
      <c r="J450">
        <v>419880386</v>
      </c>
      <c r="K450">
        <v>470606141</v>
      </c>
      <c r="L450">
        <v>481085689</v>
      </c>
      <c r="M450">
        <v>467146219</v>
      </c>
      <c r="N450">
        <v>473779150</v>
      </c>
      <c r="O450">
        <v>603945044</v>
      </c>
      <c r="P450">
        <v>51</v>
      </c>
      <c r="Q450" t="s">
        <v>1096</v>
      </c>
    </row>
    <row r="451" spans="1:17" x14ac:dyDescent="0.3">
      <c r="A451" t="s">
        <v>17</v>
      </c>
      <c r="B451" t="str">
        <f>"600540"</f>
        <v>600540</v>
      </c>
      <c r="C451" t="s">
        <v>1097</v>
      </c>
      <c r="D451" t="s">
        <v>258</v>
      </c>
      <c r="F451">
        <v>511722448</v>
      </c>
      <c r="G451">
        <v>676578053</v>
      </c>
      <c r="H451">
        <v>669273497</v>
      </c>
      <c r="I451">
        <v>645498399</v>
      </c>
      <c r="J451">
        <v>625134417</v>
      </c>
      <c r="K451">
        <v>614034181</v>
      </c>
      <c r="L451">
        <v>1087830936</v>
      </c>
      <c r="M451">
        <v>1197691566</v>
      </c>
      <c r="N451">
        <v>677316370</v>
      </c>
      <c r="O451">
        <v>707937191</v>
      </c>
      <c r="P451">
        <v>97</v>
      </c>
      <c r="Q451" t="s">
        <v>1098</v>
      </c>
    </row>
    <row r="452" spans="1:17" x14ac:dyDescent="0.3">
      <c r="A452" t="s">
        <v>17</v>
      </c>
      <c r="B452" t="str">
        <f>"600543"</f>
        <v>600543</v>
      </c>
      <c r="C452" t="s">
        <v>1099</v>
      </c>
      <c r="D452" t="s">
        <v>134</v>
      </c>
      <c r="F452">
        <v>1073639295</v>
      </c>
      <c r="G452">
        <v>1172334954</v>
      </c>
      <c r="H452">
        <v>1178824469</v>
      </c>
      <c r="I452">
        <v>1151680513</v>
      </c>
      <c r="J452">
        <v>1124434126</v>
      </c>
      <c r="K452">
        <v>1100342215</v>
      </c>
      <c r="L452">
        <v>1086436027</v>
      </c>
      <c r="M452">
        <v>1067201487</v>
      </c>
      <c r="N452">
        <v>1050098070</v>
      </c>
      <c r="O452">
        <v>1143450553</v>
      </c>
      <c r="P452">
        <v>150</v>
      </c>
      <c r="Q452" t="s">
        <v>1100</v>
      </c>
    </row>
    <row r="453" spans="1:17" x14ac:dyDescent="0.3">
      <c r="A453" t="s">
        <v>17</v>
      </c>
      <c r="B453" t="str">
        <f>"600545"</f>
        <v>600545</v>
      </c>
      <c r="C453" t="s">
        <v>1101</v>
      </c>
      <c r="D453" t="s">
        <v>534</v>
      </c>
      <c r="F453">
        <v>3294859000</v>
      </c>
      <c r="G453">
        <v>3934982000</v>
      </c>
      <c r="H453">
        <v>4942804000</v>
      </c>
      <c r="I453">
        <v>4653156000</v>
      </c>
      <c r="J453">
        <v>2207034000</v>
      </c>
      <c r="K453">
        <v>1831237149</v>
      </c>
      <c r="L453">
        <v>2090618259</v>
      </c>
      <c r="M453">
        <v>2088992806</v>
      </c>
      <c r="N453">
        <v>2065522164</v>
      </c>
      <c r="O453">
        <v>1935046169</v>
      </c>
      <c r="P453">
        <v>134</v>
      </c>
      <c r="Q453" t="s">
        <v>1102</v>
      </c>
    </row>
    <row r="454" spans="1:17" x14ac:dyDescent="0.3">
      <c r="A454" t="s">
        <v>17</v>
      </c>
      <c r="B454" t="str">
        <f>"600546"</f>
        <v>600546</v>
      </c>
      <c r="C454" t="s">
        <v>1103</v>
      </c>
      <c r="D454" t="s">
        <v>292</v>
      </c>
      <c r="F454">
        <v>11829540303</v>
      </c>
      <c r="G454">
        <v>7065377191</v>
      </c>
      <c r="H454">
        <v>6436927360</v>
      </c>
      <c r="I454">
        <v>3497942338</v>
      </c>
      <c r="J454">
        <v>4923433321</v>
      </c>
      <c r="K454">
        <v>4019712549</v>
      </c>
      <c r="L454">
        <v>3740920756</v>
      </c>
      <c r="M454">
        <v>6183931503</v>
      </c>
      <c r="N454">
        <v>7975054742</v>
      </c>
      <c r="O454">
        <v>8008008921</v>
      </c>
      <c r="P454">
        <v>357</v>
      </c>
      <c r="Q454" t="s">
        <v>1104</v>
      </c>
    </row>
    <row r="455" spans="1:17" x14ac:dyDescent="0.3">
      <c r="A455" t="s">
        <v>17</v>
      </c>
      <c r="B455" t="str">
        <f>"600547"</f>
        <v>600547</v>
      </c>
      <c r="C455" t="s">
        <v>1105</v>
      </c>
      <c r="D455" t="s">
        <v>701</v>
      </c>
      <c r="F455">
        <v>22970418955</v>
      </c>
      <c r="G455">
        <v>24760392822</v>
      </c>
      <c r="H455">
        <v>23114212472</v>
      </c>
      <c r="I455">
        <v>21620222657</v>
      </c>
      <c r="J455">
        <v>16324338268</v>
      </c>
      <c r="K455">
        <v>15519255029</v>
      </c>
      <c r="L455">
        <v>9655104721</v>
      </c>
      <c r="M455">
        <v>9208090079</v>
      </c>
      <c r="N455">
        <v>8474337182</v>
      </c>
      <c r="O455">
        <v>7598330655</v>
      </c>
      <c r="P455">
        <v>942</v>
      </c>
      <c r="Q455" t="s">
        <v>1106</v>
      </c>
    </row>
    <row r="456" spans="1:17" x14ac:dyDescent="0.3">
      <c r="A456" t="s">
        <v>17</v>
      </c>
      <c r="B456" t="str">
        <f>"600548"</f>
        <v>600548</v>
      </c>
      <c r="C456" t="s">
        <v>1107</v>
      </c>
      <c r="D456" t="s">
        <v>44</v>
      </c>
      <c r="F456">
        <v>20638965670</v>
      </c>
      <c r="G456">
        <v>19042941783</v>
      </c>
      <c r="H456">
        <v>18374542644</v>
      </c>
      <c r="I456">
        <v>17387090943</v>
      </c>
      <c r="J456">
        <v>13618079671</v>
      </c>
      <c r="K456">
        <v>12674475959</v>
      </c>
      <c r="L456">
        <v>12368892973</v>
      </c>
      <c r="M456">
        <v>11797581861</v>
      </c>
      <c r="N456">
        <v>9974420429</v>
      </c>
      <c r="O456">
        <v>9536486092</v>
      </c>
      <c r="P456">
        <v>794</v>
      </c>
      <c r="Q456" t="s">
        <v>1108</v>
      </c>
    </row>
    <row r="457" spans="1:17" x14ac:dyDescent="0.3">
      <c r="A457" t="s">
        <v>17</v>
      </c>
      <c r="B457" t="str">
        <f>"600549"</f>
        <v>600549</v>
      </c>
      <c r="C457" t="s">
        <v>1109</v>
      </c>
      <c r="D457" t="s">
        <v>1110</v>
      </c>
      <c r="F457">
        <v>8960944761</v>
      </c>
      <c r="G457">
        <v>7614807068</v>
      </c>
      <c r="H457">
        <v>7374368660</v>
      </c>
      <c r="I457">
        <v>7246758597</v>
      </c>
      <c r="J457">
        <v>6896479480</v>
      </c>
      <c r="K457">
        <v>6489175664</v>
      </c>
      <c r="L457">
        <v>6635618024</v>
      </c>
      <c r="M457">
        <v>7436514486</v>
      </c>
      <c r="N457">
        <v>4160118020</v>
      </c>
      <c r="O457">
        <v>3855369923</v>
      </c>
      <c r="P457">
        <v>446</v>
      </c>
      <c r="Q457" t="s">
        <v>1111</v>
      </c>
    </row>
    <row r="458" spans="1:17" x14ac:dyDescent="0.3">
      <c r="A458" t="s">
        <v>17</v>
      </c>
      <c r="B458" t="str">
        <f>"600550"</f>
        <v>600550</v>
      </c>
      <c r="C458" t="s">
        <v>1112</v>
      </c>
      <c r="D458" t="s">
        <v>210</v>
      </c>
      <c r="F458">
        <v>697148317</v>
      </c>
      <c r="G458">
        <v>611209063</v>
      </c>
      <c r="H458">
        <v>634960341</v>
      </c>
      <c r="I458">
        <v>787569137</v>
      </c>
      <c r="J458">
        <v>498918680</v>
      </c>
      <c r="K458">
        <v>413565115</v>
      </c>
      <c r="L458">
        <v>300295057</v>
      </c>
      <c r="M458">
        <v>914700763</v>
      </c>
      <c r="N458">
        <v>63377693</v>
      </c>
      <c r="O458">
        <v>5342915996</v>
      </c>
      <c r="P458">
        <v>183</v>
      </c>
      <c r="Q458" t="s">
        <v>1113</v>
      </c>
    </row>
    <row r="459" spans="1:17" x14ac:dyDescent="0.3">
      <c r="A459" t="s">
        <v>17</v>
      </c>
      <c r="B459" t="str">
        <f>"600551"</f>
        <v>600551</v>
      </c>
      <c r="C459" t="s">
        <v>1114</v>
      </c>
      <c r="D459" t="s">
        <v>525</v>
      </c>
      <c r="F459">
        <v>4991747880</v>
      </c>
      <c r="G459">
        <v>4782290023</v>
      </c>
      <c r="H459">
        <v>4559820311</v>
      </c>
      <c r="I459">
        <v>4628784870</v>
      </c>
      <c r="J459">
        <v>4706716706</v>
      </c>
      <c r="K459">
        <v>5099735370</v>
      </c>
      <c r="L459">
        <v>4210423851</v>
      </c>
      <c r="M459">
        <v>3665570841</v>
      </c>
      <c r="N459">
        <v>3376661814</v>
      </c>
      <c r="O459">
        <v>3132406123</v>
      </c>
      <c r="P459">
        <v>134</v>
      </c>
      <c r="Q459" t="s">
        <v>1115</v>
      </c>
    </row>
    <row r="460" spans="1:17" x14ac:dyDescent="0.3">
      <c r="A460" t="s">
        <v>17</v>
      </c>
      <c r="B460" t="str">
        <f>"600552"</f>
        <v>600552</v>
      </c>
      <c r="C460" t="s">
        <v>1116</v>
      </c>
      <c r="D460" t="s">
        <v>1117</v>
      </c>
      <c r="F460">
        <v>2664735609</v>
      </c>
      <c r="G460">
        <v>2534603118</v>
      </c>
      <c r="H460">
        <v>2490211845</v>
      </c>
      <c r="I460">
        <v>2402486580</v>
      </c>
      <c r="J460">
        <v>2370794226</v>
      </c>
      <c r="K460">
        <v>2337455141</v>
      </c>
      <c r="L460">
        <v>2261897970</v>
      </c>
      <c r="M460">
        <v>1709856461</v>
      </c>
      <c r="N460">
        <v>1615796681</v>
      </c>
      <c r="O460">
        <v>515222614</v>
      </c>
      <c r="P460">
        <v>169</v>
      </c>
      <c r="Q460" t="s">
        <v>1118</v>
      </c>
    </row>
    <row r="461" spans="1:17" x14ac:dyDescent="0.3">
      <c r="A461" t="s">
        <v>17</v>
      </c>
      <c r="B461" t="str">
        <f>"600555"</f>
        <v>600555</v>
      </c>
      <c r="C461" t="s">
        <v>1119</v>
      </c>
      <c r="D461" t="s">
        <v>1120</v>
      </c>
      <c r="F461">
        <v>617217081</v>
      </c>
      <c r="G461">
        <v>842702866</v>
      </c>
      <c r="H461">
        <v>1048736131</v>
      </c>
      <c r="I461">
        <v>1382878011</v>
      </c>
      <c r="J461">
        <v>1617090541</v>
      </c>
      <c r="K461">
        <v>1550021384</v>
      </c>
      <c r="L461">
        <v>1757736469</v>
      </c>
      <c r="M461">
        <v>1683080020</v>
      </c>
      <c r="N461">
        <v>1639191713</v>
      </c>
      <c r="O461">
        <v>1613078250</v>
      </c>
      <c r="P461">
        <v>76</v>
      </c>
      <c r="Q461" t="s">
        <v>1121</v>
      </c>
    </row>
    <row r="462" spans="1:17" x14ac:dyDescent="0.3">
      <c r="A462" t="s">
        <v>17</v>
      </c>
      <c r="B462" t="str">
        <f>"600556"</f>
        <v>600556</v>
      </c>
      <c r="C462" t="s">
        <v>1122</v>
      </c>
      <c r="D462" t="s">
        <v>207</v>
      </c>
      <c r="F462">
        <v>3626473446</v>
      </c>
      <c r="G462">
        <v>3301940931</v>
      </c>
      <c r="H462">
        <v>963454542</v>
      </c>
      <c r="I462">
        <v>40468477</v>
      </c>
      <c r="J462">
        <v>77626273</v>
      </c>
      <c r="K462">
        <v>74457267</v>
      </c>
      <c r="L462">
        <v>32953229</v>
      </c>
      <c r="M462">
        <v>1981964</v>
      </c>
      <c r="N462">
        <v>1375192</v>
      </c>
      <c r="O462">
        <v>-30469609</v>
      </c>
      <c r="P462">
        <v>218</v>
      </c>
      <c r="Q462" t="s">
        <v>1123</v>
      </c>
    </row>
    <row r="463" spans="1:17" x14ac:dyDescent="0.3">
      <c r="A463" t="s">
        <v>17</v>
      </c>
      <c r="B463" t="str">
        <f>"600557"</f>
        <v>600557</v>
      </c>
      <c r="C463" t="s">
        <v>1124</v>
      </c>
      <c r="D463" t="s">
        <v>188</v>
      </c>
      <c r="F463">
        <v>4304372988</v>
      </c>
      <c r="G463">
        <v>4166603588</v>
      </c>
      <c r="H463">
        <v>3936223039</v>
      </c>
      <c r="I463">
        <v>3768005659</v>
      </c>
      <c r="J463">
        <v>3485495724</v>
      </c>
      <c r="K463">
        <v>3143302504</v>
      </c>
      <c r="L463">
        <v>2810636242</v>
      </c>
      <c r="M463">
        <v>2499041342</v>
      </c>
      <c r="N463">
        <v>1878957313</v>
      </c>
      <c r="O463">
        <v>1611170839</v>
      </c>
      <c r="P463">
        <v>427</v>
      </c>
      <c r="Q463" t="s">
        <v>1125</v>
      </c>
    </row>
    <row r="464" spans="1:17" x14ac:dyDescent="0.3">
      <c r="A464" t="s">
        <v>17</v>
      </c>
      <c r="B464" t="str">
        <f>"600558"</f>
        <v>600558</v>
      </c>
      <c r="C464" t="s">
        <v>1126</v>
      </c>
      <c r="D464" t="s">
        <v>274</v>
      </c>
      <c r="F464">
        <v>2139212676</v>
      </c>
      <c r="G464">
        <v>2108139846</v>
      </c>
      <c r="H464">
        <v>2028657454</v>
      </c>
      <c r="I464">
        <v>1923708725</v>
      </c>
      <c r="J464">
        <v>1879519168</v>
      </c>
      <c r="K464">
        <v>1850813558</v>
      </c>
      <c r="L464">
        <v>1830076571</v>
      </c>
      <c r="M464">
        <v>1784105028</v>
      </c>
      <c r="N464">
        <v>1101106021</v>
      </c>
      <c r="O464">
        <v>1071452462</v>
      </c>
      <c r="P464">
        <v>72</v>
      </c>
      <c r="Q464" t="s">
        <v>1127</v>
      </c>
    </row>
    <row r="465" spans="1:17" x14ac:dyDescent="0.3">
      <c r="A465" t="s">
        <v>17</v>
      </c>
      <c r="B465" t="str">
        <f>"600559"</f>
        <v>600559</v>
      </c>
      <c r="C465" t="s">
        <v>1128</v>
      </c>
      <c r="D465" t="s">
        <v>458</v>
      </c>
      <c r="F465">
        <v>3724513607</v>
      </c>
      <c r="G465">
        <v>3465109286</v>
      </c>
      <c r="H465">
        <v>3288567655</v>
      </c>
      <c r="I465">
        <v>2750507658</v>
      </c>
      <c r="J465">
        <v>1710777092</v>
      </c>
      <c r="K465">
        <v>1607223606</v>
      </c>
      <c r="L465">
        <v>1542804215</v>
      </c>
      <c r="M465">
        <v>667406305</v>
      </c>
      <c r="N465">
        <v>624438904</v>
      </c>
      <c r="O465">
        <v>623445518</v>
      </c>
      <c r="P465">
        <v>881</v>
      </c>
      <c r="Q465" t="s">
        <v>1129</v>
      </c>
    </row>
    <row r="466" spans="1:17" x14ac:dyDescent="0.3">
      <c r="A466" t="s">
        <v>17</v>
      </c>
      <c r="B466" t="str">
        <f>"600560"</f>
        <v>600560</v>
      </c>
      <c r="C466" t="s">
        <v>1130</v>
      </c>
      <c r="D466" t="s">
        <v>395</v>
      </c>
      <c r="F466">
        <v>839082414</v>
      </c>
      <c r="G466">
        <v>806142015</v>
      </c>
      <c r="H466">
        <v>778364483</v>
      </c>
      <c r="I466">
        <v>757171328</v>
      </c>
      <c r="J466">
        <v>742904888</v>
      </c>
      <c r="K466">
        <v>728659152</v>
      </c>
      <c r="L466">
        <v>715461831</v>
      </c>
      <c r="M466">
        <v>702269578</v>
      </c>
      <c r="N466">
        <v>703177310</v>
      </c>
      <c r="O466">
        <v>664855880</v>
      </c>
      <c r="P466">
        <v>78</v>
      </c>
      <c r="Q466" t="s">
        <v>1131</v>
      </c>
    </row>
    <row r="467" spans="1:17" x14ac:dyDescent="0.3">
      <c r="A467" t="s">
        <v>17</v>
      </c>
      <c r="B467" t="str">
        <f>"600561"</f>
        <v>600561</v>
      </c>
      <c r="C467" t="s">
        <v>1132</v>
      </c>
      <c r="D467" t="s">
        <v>1133</v>
      </c>
      <c r="F467">
        <v>1106064848</v>
      </c>
      <c r="G467">
        <v>1093440297</v>
      </c>
      <c r="H467">
        <v>1174360983</v>
      </c>
      <c r="I467">
        <v>1419509786</v>
      </c>
      <c r="J467">
        <v>1408727584</v>
      </c>
      <c r="K467">
        <v>1396804714</v>
      </c>
      <c r="L467">
        <v>1516858205</v>
      </c>
      <c r="M467">
        <v>1480328782</v>
      </c>
      <c r="N467">
        <v>1389868908</v>
      </c>
      <c r="O467">
        <v>838666004</v>
      </c>
      <c r="P467">
        <v>59</v>
      </c>
      <c r="Q467" t="s">
        <v>1134</v>
      </c>
    </row>
    <row r="468" spans="1:17" x14ac:dyDescent="0.3">
      <c r="A468" t="s">
        <v>17</v>
      </c>
      <c r="B468" t="str">
        <f>"600562"</f>
        <v>600562</v>
      </c>
      <c r="C468" t="s">
        <v>1135</v>
      </c>
      <c r="D468" t="s">
        <v>1136</v>
      </c>
      <c r="F468">
        <v>4713046990</v>
      </c>
      <c r="G468">
        <v>4314699532</v>
      </c>
      <c r="H468">
        <v>1807147671</v>
      </c>
      <c r="I468">
        <v>1775301231</v>
      </c>
      <c r="J468">
        <v>1788721689</v>
      </c>
      <c r="K468">
        <v>1687916136</v>
      </c>
      <c r="L468">
        <v>1025624201</v>
      </c>
      <c r="M468">
        <v>882796034</v>
      </c>
      <c r="N468">
        <v>775480823</v>
      </c>
      <c r="O468">
        <v>332041832</v>
      </c>
      <c r="P468">
        <v>283</v>
      </c>
      <c r="Q468" t="s">
        <v>1137</v>
      </c>
    </row>
    <row r="469" spans="1:17" x14ac:dyDescent="0.3">
      <c r="A469" t="s">
        <v>17</v>
      </c>
      <c r="B469" t="str">
        <f>"600563"</f>
        <v>600563</v>
      </c>
      <c r="C469" t="s">
        <v>1138</v>
      </c>
      <c r="D469" t="s">
        <v>546</v>
      </c>
      <c r="F469">
        <v>3433659176</v>
      </c>
      <c r="G469">
        <v>2895019467</v>
      </c>
      <c r="H469">
        <v>2632188879</v>
      </c>
      <c r="I469">
        <v>2455850911</v>
      </c>
      <c r="J469">
        <v>2274039471</v>
      </c>
      <c r="K469">
        <v>2098039651</v>
      </c>
      <c r="L469">
        <v>1933521743</v>
      </c>
      <c r="M469">
        <v>1762988854</v>
      </c>
      <c r="N469">
        <v>1614209484</v>
      </c>
      <c r="O469">
        <v>1462936956</v>
      </c>
      <c r="P469">
        <v>21656</v>
      </c>
      <c r="Q469" t="s">
        <v>1139</v>
      </c>
    </row>
    <row r="470" spans="1:17" x14ac:dyDescent="0.3">
      <c r="A470" t="s">
        <v>17</v>
      </c>
      <c r="B470" t="str">
        <f>"600565"</f>
        <v>600565</v>
      </c>
      <c r="C470" t="s">
        <v>1140</v>
      </c>
      <c r="D470" t="s">
        <v>104</v>
      </c>
      <c r="F470">
        <v>8617935665</v>
      </c>
      <c r="G470">
        <v>10775685482</v>
      </c>
      <c r="H470">
        <v>9135640168</v>
      </c>
      <c r="I470">
        <v>8270123007</v>
      </c>
      <c r="J470">
        <v>7476765551</v>
      </c>
      <c r="K470">
        <v>6767531388</v>
      </c>
      <c r="L470">
        <v>6144903167</v>
      </c>
      <c r="M470">
        <v>5859985845</v>
      </c>
      <c r="N470">
        <v>3352642390</v>
      </c>
      <c r="O470">
        <v>1259007671</v>
      </c>
      <c r="P470">
        <v>468</v>
      </c>
      <c r="Q470" t="s">
        <v>1141</v>
      </c>
    </row>
    <row r="471" spans="1:17" x14ac:dyDescent="0.3">
      <c r="A471" t="s">
        <v>17</v>
      </c>
      <c r="B471" t="str">
        <f>"600566"</f>
        <v>600566</v>
      </c>
      <c r="C471" t="s">
        <v>1142</v>
      </c>
      <c r="D471" t="s">
        <v>188</v>
      </c>
      <c r="F471">
        <v>9016064129</v>
      </c>
      <c r="G471">
        <v>7662307790</v>
      </c>
      <c r="H471">
        <v>6003535490</v>
      </c>
      <c r="I471">
        <v>5356255490</v>
      </c>
      <c r="J471">
        <v>4266968584</v>
      </c>
      <c r="K471">
        <v>3657337648</v>
      </c>
      <c r="L471">
        <v>2667983856</v>
      </c>
      <c r="M471">
        <v>2293994549</v>
      </c>
      <c r="N471">
        <v>1152412712</v>
      </c>
      <c r="O471">
        <v>489683059</v>
      </c>
      <c r="P471">
        <v>13801</v>
      </c>
      <c r="Q471" t="s">
        <v>1143</v>
      </c>
    </row>
    <row r="472" spans="1:17" x14ac:dyDescent="0.3">
      <c r="A472" t="s">
        <v>17</v>
      </c>
      <c r="B472" t="str">
        <f>"600567"</f>
        <v>600567</v>
      </c>
      <c r="C472" t="s">
        <v>1144</v>
      </c>
      <c r="D472" t="s">
        <v>694</v>
      </c>
      <c r="F472">
        <v>16047402223</v>
      </c>
      <c r="G472">
        <v>15117723727</v>
      </c>
      <c r="H472">
        <v>13932189219</v>
      </c>
      <c r="I472">
        <v>12874349611</v>
      </c>
      <c r="J472">
        <v>10367808689</v>
      </c>
      <c r="K472">
        <v>8376533210</v>
      </c>
      <c r="L472">
        <v>6119448961</v>
      </c>
      <c r="M472">
        <v>5950405986</v>
      </c>
      <c r="N472">
        <v>5889288038</v>
      </c>
      <c r="O472">
        <v>2944236618</v>
      </c>
      <c r="P472">
        <v>593</v>
      </c>
      <c r="Q472" t="s">
        <v>1145</v>
      </c>
    </row>
    <row r="473" spans="1:17" x14ac:dyDescent="0.3">
      <c r="A473" t="s">
        <v>17</v>
      </c>
      <c r="B473" t="str">
        <f>"600568"</f>
        <v>600568</v>
      </c>
      <c r="C473" t="s">
        <v>1146</v>
      </c>
      <c r="D473" t="s">
        <v>1147</v>
      </c>
      <c r="F473">
        <v>3597442998</v>
      </c>
      <c r="G473">
        <v>3796107156</v>
      </c>
      <c r="H473">
        <v>3685919324</v>
      </c>
      <c r="I473">
        <v>4054386560</v>
      </c>
      <c r="J473">
        <v>5988888329</v>
      </c>
      <c r="K473">
        <v>5859171000</v>
      </c>
      <c r="L473">
        <v>2437516342</v>
      </c>
      <c r="M473">
        <v>2374295144</v>
      </c>
      <c r="N473">
        <v>1030425520</v>
      </c>
      <c r="O473">
        <v>967995262</v>
      </c>
      <c r="P473">
        <v>98</v>
      </c>
      <c r="Q473" t="s">
        <v>1148</v>
      </c>
    </row>
    <row r="474" spans="1:17" x14ac:dyDescent="0.3">
      <c r="A474" t="s">
        <v>17</v>
      </c>
      <c r="B474" t="str">
        <f>"600569"</f>
        <v>600569</v>
      </c>
      <c r="C474" t="s">
        <v>1149</v>
      </c>
      <c r="D474" t="s">
        <v>38</v>
      </c>
      <c r="F474">
        <v>10843099349</v>
      </c>
      <c r="G474">
        <v>9961068826</v>
      </c>
      <c r="H474">
        <v>9882278112</v>
      </c>
      <c r="I474">
        <v>8326767350</v>
      </c>
      <c r="J474">
        <v>6453204301</v>
      </c>
      <c r="K474">
        <v>4835938610</v>
      </c>
      <c r="L474">
        <v>4704923435</v>
      </c>
      <c r="M474">
        <v>7221362954</v>
      </c>
      <c r="N474">
        <v>7182515729</v>
      </c>
      <c r="O474">
        <v>7108545453</v>
      </c>
      <c r="P474">
        <v>329</v>
      </c>
      <c r="Q474" t="s">
        <v>1150</v>
      </c>
    </row>
    <row r="475" spans="1:17" x14ac:dyDescent="0.3">
      <c r="A475" t="s">
        <v>17</v>
      </c>
      <c r="B475" t="str">
        <f>"600570"</f>
        <v>600570</v>
      </c>
      <c r="C475" t="s">
        <v>1151</v>
      </c>
      <c r="D475" t="s">
        <v>945</v>
      </c>
      <c r="F475">
        <v>5695031051</v>
      </c>
      <c r="G475">
        <v>4554029324</v>
      </c>
      <c r="H475">
        <v>4478963385</v>
      </c>
      <c r="I475">
        <v>3181504869</v>
      </c>
      <c r="J475">
        <v>3073004047</v>
      </c>
      <c r="K475">
        <v>2400959829</v>
      </c>
      <c r="L475">
        <v>2432065946</v>
      </c>
      <c r="M475">
        <v>1916038941</v>
      </c>
      <c r="N475">
        <v>1650060581</v>
      </c>
      <c r="O475">
        <v>1336310493</v>
      </c>
      <c r="P475">
        <v>2779</v>
      </c>
      <c r="Q475" t="s">
        <v>1152</v>
      </c>
    </row>
    <row r="476" spans="1:17" x14ac:dyDescent="0.3">
      <c r="A476" t="s">
        <v>17</v>
      </c>
      <c r="B476" t="str">
        <f>"600571"</f>
        <v>600571</v>
      </c>
      <c r="C476" t="s">
        <v>1153</v>
      </c>
      <c r="D476" t="s">
        <v>316</v>
      </c>
      <c r="F476">
        <v>1242118720</v>
      </c>
      <c r="G476">
        <v>991243223</v>
      </c>
      <c r="H476">
        <v>949899033</v>
      </c>
      <c r="I476">
        <v>1053383852</v>
      </c>
      <c r="J476">
        <v>1500707744</v>
      </c>
      <c r="K476">
        <v>1156159823</v>
      </c>
      <c r="L476">
        <v>1061155806</v>
      </c>
      <c r="M476">
        <v>694270620</v>
      </c>
      <c r="N476">
        <v>612484253</v>
      </c>
      <c r="O476">
        <v>541245951</v>
      </c>
      <c r="P476">
        <v>155</v>
      </c>
      <c r="Q476" t="s">
        <v>1154</v>
      </c>
    </row>
    <row r="477" spans="1:17" x14ac:dyDescent="0.3">
      <c r="A477" t="s">
        <v>17</v>
      </c>
      <c r="B477" t="str">
        <f>"600572"</f>
        <v>600572</v>
      </c>
      <c r="C477" t="s">
        <v>1155</v>
      </c>
      <c r="D477" t="s">
        <v>188</v>
      </c>
      <c r="F477">
        <v>7060821319</v>
      </c>
      <c r="G477">
        <v>5026170667</v>
      </c>
      <c r="H477">
        <v>4662379297</v>
      </c>
      <c r="I477">
        <v>5649943342</v>
      </c>
      <c r="J477">
        <v>5728928755</v>
      </c>
      <c r="K477">
        <v>4304618004</v>
      </c>
      <c r="L477">
        <v>4141475843</v>
      </c>
      <c r="M477">
        <v>2790426383</v>
      </c>
      <c r="N477">
        <v>2367614957</v>
      </c>
      <c r="O477">
        <v>2174512886</v>
      </c>
      <c r="P477">
        <v>467</v>
      </c>
      <c r="Q477" t="s">
        <v>1156</v>
      </c>
    </row>
    <row r="478" spans="1:17" x14ac:dyDescent="0.3">
      <c r="A478" t="s">
        <v>17</v>
      </c>
      <c r="B478" t="str">
        <f>"600573"</f>
        <v>600573</v>
      </c>
      <c r="C478" t="s">
        <v>1157</v>
      </c>
      <c r="D478" t="s">
        <v>319</v>
      </c>
      <c r="F478">
        <v>1181382574</v>
      </c>
      <c r="G478">
        <v>1159100785</v>
      </c>
      <c r="H478">
        <v>1137930034</v>
      </c>
      <c r="I478">
        <v>1125611067</v>
      </c>
      <c r="J478">
        <v>1114613739</v>
      </c>
      <c r="K478">
        <v>1092557036</v>
      </c>
      <c r="L478">
        <v>1098377505</v>
      </c>
      <c r="M478">
        <v>1085361974</v>
      </c>
      <c r="N478">
        <v>1064439384</v>
      </c>
      <c r="O478">
        <v>1044065379</v>
      </c>
      <c r="P478">
        <v>191</v>
      </c>
      <c r="Q478" t="s">
        <v>1158</v>
      </c>
    </row>
    <row r="479" spans="1:17" x14ac:dyDescent="0.3">
      <c r="A479" t="s">
        <v>17</v>
      </c>
      <c r="B479" t="str">
        <f>"600575"</f>
        <v>600575</v>
      </c>
      <c r="C479" t="s">
        <v>1159</v>
      </c>
      <c r="D479" t="s">
        <v>301</v>
      </c>
      <c r="F479">
        <v>9864708198</v>
      </c>
      <c r="G479">
        <v>9648552163</v>
      </c>
      <c r="H479">
        <v>9544608462</v>
      </c>
      <c r="I479">
        <v>8662001995</v>
      </c>
      <c r="J479">
        <v>8245571264</v>
      </c>
      <c r="K479">
        <v>7927144955</v>
      </c>
      <c r="L479">
        <v>3843666942</v>
      </c>
      <c r="M479">
        <v>3415986806</v>
      </c>
      <c r="N479">
        <v>4804941666</v>
      </c>
      <c r="O479">
        <v>4600628308</v>
      </c>
      <c r="P479">
        <v>118</v>
      </c>
      <c r="Q479" t="s">
        <v>1160</v>
      </c>
    </row>
    <row r="480" spans="1:17" x14ac:dyDescent="0.3">
      <c r="A480" t="s">
        <v>17</v>
      </c>
      <c r="B480" t="str">
        <f>"600576"</f>
        <v>600576</v>
      </c>
      <c r="C480" t="s">
        <v>1161</v>
      </c>
      <c r="D480" t="s">
        <v>113</v>
      </c>
      <c r="F480">
        <v>1072662007</v>
      </c>
      <c r="G480">
        <v>1025404702</v>
      </c>
      <c r="H480">
        <v>1000747564</v>
      </c>
      <c r="I480">
        <v>1864165871</v>
      </c>
      <c r="J480">
        <v>1877506668</v>
      </c>
      <c r="K480">
        <v>1826755461</v>
      </c>
      <c r="L480">
        <v>1717690009</v>
      </c>
      <c r="M480">
        <v>486754929</v>
      </c>
      <c r="N480">
        <v>501313656</v>
      </c>
      <c r="O480">
        <v>493177397</v>
      </c>
      <c r="P480">
        <v>85</v>
      </c>
      <c r="Q480" t="s">
        <v>1162</v>
      </c>
    </row>
    <row r="481" spans="1:17" x14ac:dyDescent="0.3">
      <c r="A481" t="s">
        <v>17</v>
      </c>
      <c r="B481" t="str">
        <f>"600577"</f>
        <v>600577</v>
      </c>
      <c r="C481" t="s">
        <v>1163</v>
      </c>
      <c r="D481" t="s">
        <v>1164</v>
      </c>
      <c r="F481">
        <v>4371702057</v>
      </c>
      <c r="G481">
        <v>3684994463</v>
      </c>
      <c r="H481">
        <v>3552319619</v>
      </c>
      <c r="I481">
        <v>3177161587</v>
      </c>
      <c r="J481">
        <v>2968458820</v>
      </c>
      <c r="K481">
        <v>2919720129</v>
      </c>
      <c r="L481">
        <v>2767849043</v>
      </c>
      <c r="M481">
        <v>2734261116</v>
      </c>
      <c r="N481">
        <v>1629749451</v>
      </c>
      <c r="O481">
        <v>1574030115</v>
      </c>
      <c r="P481">
        <v>247</v>
      </c>
      <c r="Q481" t="s">
        <v>1165</v>
      </c>
    </row>
    <row r="482" spans="1:17" x14ac:dyDescent="0.3">
      <c r="A482" t="s">
        <v>17</v>
      </c>
      <c r="B482" t="str">
        <f>"600578"</f>
        <v>600578</v>
      </c>
      <c r="C482" t="s">
        <v>1166</v>
      </c>
      <c r="D482" t="s">
        <v>41</v>
      </c>
      <c r="F482">
        <v>20101817237</v>
      </c>
      <c r="G482">
        <v>24118433533</v>
      </c>
      <c r="H482">
        <v>23637143025</v>
      </c>
      <c r="I482">
        <v>22912779162</v>
      </c>
      <c r="J482">
        <v>22427941567</v>
      </c>
      <c r="K482">
        <v>20537679743</v>
      </c>
      <c r="L482">
        <v>15991525676</v>
      </c>
      <c r="M482">
        <v>14298166297</v>
      </c>
      <c r="N482">
        <v>13116548793</v>
      </c>
      <c r="O482">
        <v>8694026668</v>
      </c>
      <c r="P482">
        <v>355</v>
      </c>
      <c r="Q482" t="s">
        <v>1167</v>
      </c>
    </row>
    <row r="483" spans="1:17" x14ac:dyDescent="0.3">
      <c r="A483" t="s">
        <v>17</v>
      </c>
      <c r="B483" t="str">
        <f>"600579"</f>
        <v>600579</v>
      </c>
      <c r="C483" t="s">
        <v>1168</v>
      </c>
      <c r="D483" t="s">
        <v>741</v>
      </c>
      <c r="F483">
        <v>4854942630</v>
      </c>
      <c r="G483">
        <v>5310087201</v>
      </c>
      <c r="H483">
        <v>5498194345</v>
      </c>
      <c r="I483">
        <v>5674733879</v>
      </c>
      <c r="J483">
        <v>1156776363</v>
      </c>
      <c r="K483">
        <v>1203714108</v>
      </c>
      <c r="L483">
        <v>718203596</v>
      </c>
      <c r="M483">
        <v>681920811</v>
      </c>
      <c r="N483">
        <v>618898177</v>
      </c>
      <c r="O483">
        <v>-336785024</v>
      </c>
      <c r="P483">
        <v>72</v>
      </c>
      <c r="Q483" t="s">
        <v>1169</v>
      </c>
    </row>
    <row r="484" spans="1:17" x14ac:dyDescent="0.3">
      <c r="A484" t="s">
        <v>17</v>
      </c>
      <c r="B484" t="str">
        <f>"600580"</f>
        <v>600580</v>
      </c>
      <c r="C484" t="s">
        <v>1170</v>
      </c>
      <c r="D484" t="s">
        <v>1171</v>
      </c>
      <c r="F484">
        <v>8201361442</v>
      </c>
      <c r="G484">
        <v>7625779095</v>
      </c>
      <c r="H484">
        <v>6987441428</v>
      </c>
      <c r="I484">
        <v>6043459564</v>
      </c>
      <c r="J484">
        <v>5659671352</v>
      </c>
      <c r="K484">
        <v>5113539792</v>
      </c>
      <c r="L484">
        <v>3867240438</v>
      </c>
      <c r="M484">
        <v>3771737308</v>
      </c>
      <c r="N484">
        <v>3582130244</v>
      </c>
      <c r="O484">
        <v>2552781656</v>
      </c>
      <c r="P484">
        <v>400</v>
      </c>
      <c r="Q484" t="s">
        <v>1172</v>
      </c>
    </row>
    <row r="485" spans="1:17" x14ac:dyDescent="0.3">
      <c r="A485" t="s">
        <v>17</v>
      </c>
      <c r="B485" t="str">
        <f>"600581"</f>
        <v>600581</v>
      </c>
      <c r="C485" t="s">
        <v>1173</v>
      </c>
      <c r="D485" t="s">
        <v>38</v>
      </c>
      <c r="F485">
        <v>4268232201</v>
      </c>
      <c r="G485">
        <v>4505420925</v>
      </c>
      <c r="H485">
        <v>4149995368</v>
      </c>
      <c r="I485">
        <v>4042701239</v>
      </c>
      <c r="J485">
        <v>3340744922</v>
      </c>
      <c r="K485">
        <v>2197487784</v>
      </c>
      <c r="L485">
        <v>-905450951</v>
      </c>
      <c r="M485">
        <v>1600331254</v>
      </c>
      <c r="N485">
        <v>3645563538</v>
      </c>
      <c r="O485">
        <v>3668875158</v>
      </c>
      <c r="P485">
        <v>265</v>
      </c>
      <c r="Q485" t="s">
        <v>1174</v>
      </c>
    </row>
    <row r="486" spans="1:17" x14ac:dyDescent="0.3">
      <c r="A486" t="s">
        <v>17</v>
      </c>
      <c r="B486" t="str">
        <f>"600582"</f>
        <v>600582</v>
      </c>
      <c r="C486" t="s">
        <v>1175</v>
      </c>
      <c r="D486" t="s">
        <v>395</v>
      </c>
      <c r="F486">
        <v>19000423562</v>
      </c>
      <c r="G486">
        <v>18029825479</v>
      </c>
      <c r="H486">
        <v>17114149516</v>
      </c>
      <c r="I486">
        <v>15745974486</v>
      </c>
      <c r="J486">
        <v>14963750679</v>
      </c>
      <c r="K486">
        <v>14015646246</v>
      </c>
      <c r="L486">
        <v>13296791728</v>
      </c>
      <c r="M486">
        <v>10691150881</v>
      </c>
      <c r="N486">
        <v>5854667829</v>
      </c>
      <c r="O486">
        <v>5162458354</v>
      </c>
      <c r="P486">
        <v>396</v>
      </c>
      <c r="Q486" t="s">
        <v>1176</v>
      </c>
    </row>
    <row r="487" spans="1:17" x14ac:dyDescent="0.3">
      <c r="A487" t="s">
        <v>17</v>
      </c>
      <c r="B487" t="str">
        <f>"600583"</f>
        <v>600583</v>
      </c>
      <c r="C487" t="s">
        <v>1177</v>
      </c>
      <c r="D487" t="s">
        <v>762</v>
      </c>
      <c r="F487">
        <v>22742071000</v>
      </c>
      <c r="G487">
        <v>22651060043</v>
      </c>
      <c r="H487">
        <v>22660640434</v>
      </c>
      <c r="I487">
        <v>22892941650</v>
      </c>
      <c r="J487">
        <v>23117079341</v>
      </c>
      <c r="K487">
        <v>23155451201</v>
      </c>
      <c r="L487">
        <v>22976458156</v>
      </c>
      <c r="M487">
        <v>20557302176</v>
      </c>
      <c r="N487">
        <v>16582817233</v>
      </c>
      <c r="O487">
        <v>10241517212</v>
      </c>
      <c r="P487">
        <v>359</v>
      </c>
      <c r="Q487" t="s">
        <v>1178</v>
      </c>
    </row>
    <row r="488" spans="1:17" x14ac:dyDescent="0.3">
      <c r="A488" t="s">
        <v>17</v>
      </c>
      <c r="B488" t="str">
        <f>"600584"</f>
        <v>600584</v>
      </c>
      <c r="C488" t="s">
        <v>1179</v>
      </c>
      <c r="D488" t="s">
        <v>1180</v>
      </c>
      <c r="F488">
        <v>20991131608</v>
      </c>
      <c r="G488">
        <v>13399706194</v>
      </c>
      <c r="H488">
        <v>12627430980</v>
      </c>
      <c r="I488">
        <v>12292223960</v>
      </c>
      <c r="J488">
        <v>9445070367</v>
      </c>
      <c r="K488">
        <v>4594684838</v>
      </c>
      <c r="L488">
        <v>4308222116</v>
      </c>
      <c r="M488">
        <v>3763850916</v>
      </c>
      <c r="N488">
        <v>2432351596</v>
      </c>
      <c r="O488">
        <v>2422767316</v>
      </c>
      <c r="P488">
        <v>1664</v>
      </c>
      <c r="Q488" t="s">
        <v>1181</v>
      </c>
    </row>
    <row r="489" spans="1:17" x14ac:dyDescent="0.3">
      <c r="A489" t="s">
        <v>17</v>
      </c>
      <c r="B489" t="str">
        <f>"600585"</f>
        <v>600585</v>
      </c>
      <c r="C489" t="s">
        <v>1182</v>
      </c>
      <c r="D489" t="s">
        <v>731</v>
      </c>
      <c r="F489">
        <v>183685269028</v>
      </c>
      <c r="G489">
        <v>161822228437</v>
      </c>
      <c r="H489">
        <v>137361682179</v>
      </c>
      <c r="I489">
        <v>112688915670</v>
      </c>
      <c r="J489">
        <v>89406295319</v>
      </c>
      <c r="K489">
        <v>76608921127</v>
      </c>
      <c r="L489">
        <v>70491887946</v>
      </c>
      <c r="M489">
        <v>66216607886</v>
      </c>
      <c r="N489">
        <v>56118028303</v>
      </c>
      <c r="O489">
        <v>48901205393</v>
      </c>
      <c r="P489">
        <v>8410</v>
      </c>
      <c r="Q489" t="s">
        <v>1183</v>
      </c>
    </row>
    <row r="490" spans="1:17" x14ac:dyDescent="0.3">
      <c r="A490" t="s">
        <v>17</v>
      </c>
      <c r="B490" t="str">
        <f>"600586"</f>
        <v>600586</v>
      </c>
      <c r="C490" t="s">
        <v>1184</v>
      </c>
      <c r="D490" t="s">
        <v>666</v>
      </c>
      <c r="F490">
        <v>5491990391</v>
      </c>
      <c r="G490">
        <v>4370344043</v>
      </c>
      <c r="H490">
        <v>4078990599</v>
      </c>
      <c r="I490">
        <v>4226439574</v>
      </c>
      <c r="J490">
        <v>4203246056</v>
      </c>
      <c r="K490">
        <v>4003106819</v>
      </c>
      <c r="L490">
        <v>3961435275</v>
      </c>
      <c r="M490">
        <v>3930485896</v>
      </c>
      <c r="N490">
        <v>4130492681</v>
      </c>
      <c r="O490">
        <v>4030625042</v>
      </c>
      <c r="P490">
        <v>245</v>
      </c>
      <c r="Q490" t="s">
        <v>1185</v>
      </c>
    </row>
    <row r="491" spans="1:17" x14ac:dyDescent="0.3">
      <c r="A491" t="s">
        <v>17</v>
      </c>
      <c r="B491" t="str">
        <f>"600587"</f>
        <v>600587</v>
      </c>
      <c r="C491" t="s">
        <v>1186</v>
      </c>
      <c r="D491" t="s">
        <v>122</v>
      </c>
      <c r="F491">
        <v>4914714269</v>
      </c>
      <c r="G491">
        <v>4384548189</v>
      </c>
      <c r="H491">
        <v>4179332481</v>
      </c>
      <c r="I491">
        <v>3305197914</v>
      </c>
      <c r="J491">
        <v>3298253665</v>
      </c>
      <c r="K491">
        <v>3251498183</v>
      </c>
      <c r="L491">
        <v>3237091048</v>
      </c>
      <c r="M491">
        <v>2914172100</v>
      </c>
      <c r="N491">
        <v>2413056585</v>
      </c>
      <c r="O491">
        <v>1478329952</v>
      </c>
      <c r="P491">
        <v>533</v>
      </c>
      <c r="Q491" t="s">
        <v>1187</v>
      </c>
    </row>
    <row r="492" spans="1:17" x14ac:dyDescent="0.3">
      <c r="A492" t="s">
        <v>17</v>
      </c>
      <c r="B492" t="str">
        <f>"600588"</f>
        <v>600588</v>
      </c>
      <c r="C492" t="s">
        <v>1188</v>
      </c>
      <c r="D492" t="s">
        <v>1189</v>
      </c>
      <c r="F492">
        <v>6987455449</v>
      </c>
      <c r="G492">
        <v>7542940505</v>
      </c>
      <c r="H492">
        <v>7172633891</v>
      </c>
      <c r="I492">
        <v>6570697503</v>
      </c>
      <c r="J492">
        <v>5849167848</v>
      </c>
      <c r="K492">
        <v>5688120850</v>
      </c>
      <c r="L492">
        <v>5518891298</v>
      </c>
      <c r="M492">
        <v>3986159364</v>
      </c>
      <c r="N492">
        <v>3227205668</v>
      </c>
      <c r="O492">
        <v>2993568597</v>
      </c>
      <c r="P492">
        <v>4576</v>
      </c>
      <c r="Q492" t="s">
        <v>1190</v>
      </c>
    </row>
    <row r="493" spans="1:17" x14ac:dyDescent="0.3">
      <c r="A493" t="s">
        <v>17</v>
      </c>
      <c r="B493" t="str">
        <f>"600589"</f>
        <v>600589</v>
      </c>
      <c r="C493" t="s">
        <v>1191</v>
      </c>
      <c r="D493" t="s">
        <v>1192</v>
      </c>
      <c r="F493">
        <v>82038119</v>
      </c>
      <c r="G493">
        <v>1315933970</v>
      </c>
      <c r="H493">
        <v>2626401450</v>
      </c>
      <c r="I493">
        <v>3185043565</v>
      </c>
      <c r="J493">
        <v>3072268224</v>
      </c>
      <c r="K493">
        <v>2973324452</v>
      </c>
      <c r="L493">
        <v>2038804001</v>
      </c>
      <c r="M493">
        <v>2027350820</v>
      </c>
      <c r="N493">
        <v>2013259749</v>
      </c>
      <c r="O493">
        <v>1991714643</v>
      </c>
      <c r="P493">
        <v>74</v>
      </c>
      <c r="Q493" t="s">
        <v>1193</v>
      </c>
    </row>
    <row r="494" spans="1:17" x14ac:dyDescent="0.3">
      <c r="A494" t="s">
        <v>17</v>
      </c>
      <c r="B494" t="str">
        <f>"600590"</f>
        <v>600590</v>
      </c>
      <c r="C494" t="s">
        <v>1194</v>
      </c>
      <c r="D494" t="s">
        <v>610</v>
      </c>
      <c r="F494">
        <v>3753846914</v>
      </c>
      <c r="G494">
        <v>3578953744</v>
      </c>
      <c r="H494">
        <v>3984294931</v>
      </c>
      <c r="I494">
        <v>4008162271</v>
      </c>
      <c r="J494">
        <v>3730376086</v>
      </c>
      <c r="K494">
        <v>3807972185</v>
      </c>
      <c r="L494">
        <v>3104014142</v>
      </c>
      <c r="M494">
        <v>2186679392</v>
      </c>
      <c r="N494">
        <v>2134737655</v>
      </c>
      <c r="O494">
        <v>2182114783</v>
      </c>
      <c r="P494">
        <v>168</v>
      </c>
      <c r="Q494" t="s">
        <v>1195</v>
      </c>
    </row>
    <row r="495" spans="1:17" x14ac:dyDescent="0.3">
      <c r="A495" t="s">
        <v>17</v>
      </c>
      <c r="B495" t="str">
        <f>"600592"</f>
        <v>600592</v>
      </c>
      <c r="C495" t="s">
        <v>1196</v>
      </c>
      <c r="D495" t="s">
        <v>274</v>
      </c>
      <c r="F495">
        <v>2286771781</v>
      </c>
      <c r="G495">
        <v>2051208588</v>
      </c>
      <c r="H495">
        <v>1939872860</v>
      </c>
      <c r="I495">
        <v>1834628943</v>
      </c>
      <c r="J495">
        <v>1899677637</v>
      </c>
      <c r="K495">
        <v>1890659684</v>
      </c>
      <c r="L495">
        <v>2067933552</v>
      </c>
      <c r="M495">
        <v>2291314506</v>
      </c>
      <c r="N495">
        <v>1861930125</v>
      </c>
      <c r="O495">
        <v>1293351113</v>
      </c>
      <c r="P495">
        <v>75</v>
      </c>
      <c r="Q495" t="s">
        <v>1197</v>
      </c>
    </row>
    <row r="496" spans="1:17" x14ac:dyDescent="0.3">
      <c r="A496" t="s">
        <v>17</v>
      </c>
      <c r="B496" t="str">
        <f>"600593"</f>
        <v>600593</v>
      </c>
      <c r="C496" t="s">
        <v>1198</v>
      </c>
      <c r="D496" t="s">
        <v>333</v>
      </c>
      <c r="F496">
        <v>268513194</v>
      </c>
      <c r="G496">
        <v>470483289</v>
      </c>
      <c r="H496">
        <v>551140987</v>
      </c>
      <c r="I496">
        <v>504580753</v>
      </c>
      <c r="J496">
        <v>438527484</v>
      </c>
      <c r="K496">
        <v>401467710</v>
      </c>
      <c r="L496">
        <v>386319156</v>
      </c>
      <c r="M496">
        <v>357131933</v>
      </c>
      <c r="N496">
        <v>318620735</v>
      </c>
      <c r="O496">
        <v>288757633</v>
      </c>
      <c r="P496">
        <v>123</v>
      </c>
      <c r="Q496" t="s">
        <v>1199</v>
      </c>
    </row>
    <row r="497" spans="1:17" x14ac:dyDescent="0.3">
      <c r="A497" t="s">
        <v>17</v>
      </c>
      <c r="B497" t="str">
        <f>"600594"</f>
        <v>600594</v>
      </c>
      <c r="C497" t="s">
        <v>1200</v>
      </c>
      <c r="D497" t="s">
        <v>188</v>
      </c>
      <c r="F497">
        <v>3503200305</v>
      </c>
      <c r="G497">
        <v>3365164558</v>
      </c>
      <c r="H497">
        <v>3600771622</v>
      </c>
      <c r="I497">
        <v>3456099087</v>
      </c>
      <c r="J497">
        <v>4232686764</v>
      </c>
      <c r="K497">
        <v>3893015342</v>
      </c>
      <c r="L497">
        <v>3536602955</v>
      </c>
      <c r="M497">
        <v>3430250385</v>
      </c>
      <c r="N497">
        <v>1923824910</v>
      </c>
      <c r="O497">
        <v>1538777633</v>
      </c>
      <c r="P497">
        <v>312</v>
      </c>
      <c r="Q497" t="s">
        <v>1201</v>
      </c>
    </row>
    <row r="498" spans="1:17" x14ac:dyDescent="0.3">
      <c r="A498" t="s">
        <v>17</v>
      </c>
      <c r="B498" t="str">
        <f>"600595"</f>
        <v>600595</v>
      </c>
      <c r="C498" t="s">
        <v>1202</v>
      </c>
      <c r="D498" t="s">
        <v>504</v>
      </c>
      <c r="F498">
        <v>9048650316</v>
      </c>
      <c r="G498">
        <v>1635137798</v>
      </c>
      <c r="H498">
        <v>3405525743</v>
      </c>
      <c r="I498">
        <v>3300843777</v>
      </c>
      <c r="J498">
        <v>4609016667</v>
      </c>
      <c r="K498">
        <v>4823152461</v>
      </c>
      <c r="L498">
        <v>4762979311</v>
      </c>
      <c r="M498">
        <v>5477208370</v>
      </c>
      <c r="N498">
        <v>5415266247</v>
      </c>
      <c r="O498">
        <v>5365970084</v>
      </c>
      <c r="P498">
        <v>68</v>
      </c>
      <c r="Q498" t="s">
        <v>1203</v>
      </c>
    </row>
    <row r="499" spans="1:17" x14ac:dyDescent="0.3">
      <c r="A499" t="s">
        <v>17</v>
      </c>
      <c r="B499" t="str">
        <f>"600596"</f>
        <v>600596</v>
      </c>
      <c r="C499" t="s">
        <v>1204</v>
      </c>
      <c r="D499" t="s">
        <v>1205</v>
      </c>
      <c r="F499">
        <v>8943450574</v>
      </c>
      <c r="G499">
        <v>6501654083</v>
      </c>
      <c r="H499">
        <v>5696099571</v>
      </c>
      <c r="I499">
        <v>5648393875</v>
      </c>
      <c r="J499">
        <v>4496186223</v>
      </c>
      <c r="K499">
        <v>4021279330</v>
      </c>
      <c r="L499">
        <v>3966465745</v>
      </c>
      <c r="M499">
        <v>4299786538</v>
      </c>
      <c r="N499">
        <v>4389043551</v>
      </c>
      <c r="O499">
        <v>4039054716</v>
      </c>
      <c r="P499">
        <v>481</v>
      </c>
      <c r="Q499" t="s">
        <v>1206</v>
      </c>
    </row>
    <row r="500" spans="1:17" x14ac:dyDescent="0.3">
      <c r="A500" t="s">
        <v>17</v>
      </c>
      <c r="B500" t="str">
        <f>"600597"</f>
        <v>600597</v>
      </c>
      <c r="C500" t="s">
        <v>1207</v>
      </c>
      <c r="D500" t="s">
        <v>900</v>
      </c>
      <c r="F500">
        <v>7860659338</v>
      </c>
      <c r="G500">
        <v>6279087392</v>
      </c>
      <c r="H500">
        <v>5717938355</v>
      </c>
      <c r="I500">
        <v>5336936405</v>
      </c>
      <c r="J500">
        <v>5358279670</v>
      </c>
      <c r="K500">
        <v>4993059512</v>
      </c>
      <c r="L500">
        <v>4538567231</v>
      </c>
      <c r="M500">
        <v>4511645987</v>
      </c>
      <c r="N500">
        <v>4278112842</v>
      </c>
      <c r="O500">
        <v>4013845495</v>
      </c>
      <c r="P500">
        <v>1247</v>
      </c>
      <c r="Q500" t="s">
        <v>1208</v>
      </c>
    </row>
    <row r="501" spans="1:17" x14ac:dyDescent="0.3">
      <c r="A501" t="s">
        <v>17</v>
      </c>
      <c r="B501" t="str">
        <f>"600598"</f>
        <v>600598</v>
      </c>
      <c r="C501" t="s">
        <v>1209</v>
      </c>
      <c r="D501" t="s">
        <v>1210</v>
      </c>
      <c r="F501">
        <v>7105806937</v>
      </c>
      <c r="G501">
        <v>6960125275</v>
      </c>
      <c r="H501">
        <v>6648177198</v>
      </c>
      <c r="I501">
        <v>6511221985</v>
      </c>
      <c r="J501">
        <v>6017783905</v>
      </c>
      <c r="K501">
        <v>5841517982</v>
      </c>
      <c r="L501">
        <v>5630570789</v>
      </c>
      <c r="M501">
        <v>5676545124</v>
      </c>
      <c r="N501">
        <v>4884568554</v>
      </c>
      <c r="O501">
        <v>5249032449</v>
      </c>
      <c r="P501">
        <v>1086</v>
      </c>
      <c r="Q501" t="s">
        <v>1211</v>
      </c>
    </row>
    <row r="502" spans="1:17" x14ac:dyDescent="0.3">
      <c r="A502" t="s">
        <v>17</v>
      </c>
      <c r="B502" t="str">
        <f>"600599"</f>
        <v>600599</v>
      </c>
      <c r="C502" t="s">
        <v>1212</v>
      </c>
      <c r="D502" t="s">
        <v>140</v>
      </c>
      <c r="F502">
        <v>697071114</v>
      </c>
      <c r="G502">
        <v>625102549</v>
      </c>
      <c r="H502">
        <v>578967455</v>
      </c>
      <c r="I502">
        <v>671896672</v>
      </c>
      <c r="J502">
        <v>723694056</v>
      </c>
      <c r="K502">
        <v>713597295</v>
      </c>
      <c r="L502">
        <v>702427651</v>
      </c>
      <c r="M502">
        <v>695479613</v>
      </c>
      <c r="N502">
        <v>658947121</v>
      </c>
      <c r="O502">
        <v>260277101</v>
      </c>
      <c r="P502">
        <v>54</v>
      </c>
      <c r="Q502" t="s">
        <v>1213</v>
      </c>
    </row>
    <row r="503" spans="1:17" x14ac:dyDescent="0.3">
      <c r="A503" t="s">
        <v>17</v>
      </c>
      <c r="B503" t="str">
        <f>"600600"</f>
        <v>600600</v>
      </c>
      <c r="C503" t="s">
        <v>1214</v>
      </c>
      <c r="D503" t="s">
        <v>319</v>
      </c>
      <c r="F503">
        <v>23001844598</v>
      </c>
      <c r="G503">
        <v>20621960515</v>
      </c>
      <c r="H503">
        <v>19171583034</v>
      </c>
      <c r="I503">
        <v>17970471086</v>
      </c>
      <c r="J503">
        <v>17145228423</v>
      </c>
      <c r="K503">
        <v>16313952729</v>
      </c>
      <c r="L503">
        <v>16458062033</v>
      </c>
      <c r="M503">
        <v>15387562184</v>
      </c>
      <c r="N503">
        <v>14020559043</v>
      </c>
      <c r="O503">
        <v>12467953010</v>
      </c>
      <c r="P503">
        <v>2021</v>
      </c>
      <c r="Q503" t="s">
        <v>1215</v>
      </c>
    </row>
    <row r="504" spans="1:17" x14ac:dyDescent="0.3">
      <c r="A504" t="s">
        <v>17</v>
      </c>
      <c r="B504" t="str">
        <f>"600601"</f>
        <v>600601</v>
      </c>
      <c r="C504" t="s">
        <v>1216</v>
      </c>
      <c r="D504" t="s">
        <v>425</v>
      </c>
      <c r="F504">
        <v>-700936873</v>
      </c>
      <c r="G504">
        <v>732096033</v>
      </c>
      <c r="H504">
        <v>1885207914</v>
      </c>
      <c r="I504">
        <v>3230598555</v>
      </c>
      <c r="J504">
        <v>3065307429</v>
      </c>
      <c r="K504">
        <v>3721857107</v>
      </c>
      <c r="L504">
        <v>3651112842</v>
      </c>
      <c r="M504">
        <v>3531110479</v>
      </c>
      <c r="N504">
        <v>4334370365</v>
      </c>
      <c r="O504">
        <v>4292761198</v>
      </c>
      <c r="P504">
        <v>228</v>
      </c>
      <c r="Q504" t="s">
        <v>1217</v>
      </c>
    </row>
    <row r="505" spans="1:17" x14ac:dyDescent="0.3">
      <c r="A505" t="s">
        <v>17</v>
      </c>
      <c r="B505" t="str">
        <f>"600602"</f>
        <v>600602</v>
      </c>
      <c r="C505" t="s">
        <v>1218</v>
      </c>
      <c r="D505" t="s">
        <v>945</v>
      </c>
      <c r="F505">
        <v>4453120487</v>
      </c>
      <c r="G505">
        <v>4291223621</v>
      </c>
      <c r="H505">
        <v>4119858972</v>
      </c>
      <c r="I505">
        <v>3999124795</v>
      </c>
      <c r="J505">
        <v>3817001958</v>
      </c>
      <c r="K505">
        <v>3512140622</v>
      </c>
      <c r="L505">
        <v>3292786305</v>
      </c>
      <c r="M505">
        <v>2619160682</v>
      </c>
      <c r="N505">
        <v>2504230773</v>
      </c>
      <c r="O505">
        <v>2393490725</v>
      </c>
      <c r="P505">
        <v>136</v>
      </c>
      <c r="Q505" t="s">
        <v>1219</v>
      </c>
    </row>
    <row r="506" spans="1:17" x14ac:dyDescent="0.3">
      <c r="A506" t="s">
        <v>17</v>
      </c>
      <c r="B506" t="str">
        <f>"600603"</f>
        <v>600603</v>
      </c>
      <c r="C506" t="s">
        <v>1220</v>
      </c>
      <c r="D506" t="s">
        <v>104</v>
      </c>
      <c r="F506">
        <v>5371593583</v>
      </c>
      <c r="G506">
        <v>6769848414</v>
      </c>
      <c r="H506">
        <v>6467870694</v>
      </c>
      <c r="I506">
        <v>6380082295</v>
      </c>
      <c r="J506">
        <v>5817209349</v>
      </c>
      <c r="K506">
        <v>4201660319</v>
      </c>
      <c r="L506">
        <v>-151833552</v>
      </c>
      <c r="M506">
        <v>42721143</v>
      </c>
      <c r="N506">
        <v>8597176</v>
      </c>
      <c r="O506">
        <v>-278987551</v>
      </c>
      <c r="P506">
        <v>510</v>
      </c>
      <c r="Q506" t="s">
        <v>1221</v>
      </c>
    </row>
    <row r="507" spans="1:17" x14ac:dyDescent="0.3">
      <c r="A507" t="s">
        <v>17</v>
      </c>
      <c r="B507" t="str">
        <f>"600604"</f>
        <v>600604</v>
      </c>
      <c r="C507" t="s">
        <v>1222</v>
      </c>
      <c r="D507" t="s">
        <v>194</v>
      </c>
      <c r="F507">
        <v>6534018613</v>
      </c>
      <c r="G507">
        <v>6467810715</v>
      </c>
      <c r="H507">
        <v>6275784608</v>
      </c>
      <c r="I507">
        <v>6107809734</v>
      </c>
      <c r="J507">
        <v>5890989623</v>
      </c>
      <c r="K507">
        <v>5678379024</v>
      </c>
      <c r="L507">
        <v>2886290272</v>
      </c>
      <c r="M507">
        <v>1288072397</v>
      </c>
      <c r="N507">
        <v>1290941010</v>
      </c>
      <c r="O507">
        <v>1134977093</v>
      </c>
      <c r="P507">
        <v>138</v>
      </c>
      <c r="Q507" t="s">
        <v>1223</v>
      </c>
    </row>
    <row r="508" spans="1:17" x14ac:dyDescent="0.3">
      <c r="A508" t="s">
        <v>17</v>
      </c>
      <c r="B508" t="str">
        <f>"600605"</f>
        <v>600605</v>
      </c>
      <c r="C508" t="s">
        <v>1224</v>
      </c>
      <c r="D508" t="s">
        <v>271</v>
      </c>
      <c r="F508">
        <v>1121150944</v>
      </c>
      <c r="G508">
        <v>774534363</v>
      </c>
      <c r="H508">
        <v>710863334</v>
      </c>
      <c r="I508">
        <v>694613418</v>
      </c>
      <c r="J508">
        <v>673190758</v>
      </c>
      <c r="K508">
        <v>577119928</v>
      </c>
      <c r="L508">
        <v>555388917</v>
      </c>
      <c r="M508">
        <v>485334828</v>
      </c>
      <c r="N508">
        <v>479586701</v>
      </c>
      <c r="O508">
        <v>475138188</v>
      </c>
      <c r="P508">
        <v>71</v>
      </c>
      <c r="Q508" t="s">
        <v>1225</v>
      </c>
    </row>
    <row r="509" spans="1:17" x14ac:dyDescent="0.3">
      <c r="A509" t="s">
        <v>17</v>
      </c>
      <c r="B509" t="str">
        <f>"600606"</f>
        <v>600606</v>
      </c>
      <c r="C509" t="s">
        <v>1226</v>
      </c>
      <c r="D509" t="s">
        <v>104</v>
      </c>
      <c r="F509">
        <v>89972496129</v>
      </c>
      <c r="G509">
        <v>84776400833</v>
      </c>
      <c r="H509">
        <v>76901190472</v>
      </c>
      <c r="I509">
        <v>68104306255</v>
      </c>
      <c r="J509">
        <v>60529251554</v>
      </c>
      <c r="K509">
        <v>54271292677</v>
      </c>
      <c r="L509">
        <v>51075754456</v>
      </c>
      <c r="M509">
        <v>1865068681</v>
      </c>
      <c r="N509">
        <v>2187422165</v>
      </c>
      <c r="O509">
        <v>2185004815</v>
      </c>
      <c r="P509">
        <v>1970</v>
      </c>
      <c r="Q509" t="s">
        <v>1227</v>
      </c>
    </row>
    <row r="510" spans="1:17" x14ac:dyDescent="0.3">
      <c r="A510" t="s">
        <v>17</v>
      </c>
      <c r="B510" t="str">
        <f>"600608"</f>
        <v>600608</v>
      </c>
      <c r="C510" t="s">
        <v>1228</v>
      </c>
      <c r="D510" t="s">
        <v>131</v>
      </c>
      <c r="F510">
        <v>64594698</v>
      </c>
      <c r="G510">
        <v>63016301</v>
      </c>
      <c r="H510">
        <v>60724610</v>
      </c>
      <c r="I510">
        <v>56278892</v>
      </c>
      <c r="J510">
        <v>58805233</v>
      </c>
      <c r="K510">
        <v>-13148932</v>
      </c>
      <c r="L510">
        <v>10647411</v>
      </c>
      <c r="M510">
        <v>-24344166</v>
      </c>
      <c r="N510">
        <v>1037448</v>
      </c>
      <c r="O510">
        <v>5167296</v>
      </c>
      <c r="P510">
        <v>47</v>
      </c>
      <c r="Q510" t="s">
        <v>1229</v>
      </c>
    </row>
    <row r="511" spans="1:17" x14ac:dyDescent="0.3">
      <c r="A511" t="s">
        <v>17</v>
      </c>
      <c r="B511" t="str">
        <f>"600609"</f>
        <v>600609</v>
      </c>
      <c r="C511" t="s">
        <v>1230</v>
      </c>
      <c r="D511" t="s">
        <v>191</v>
      </c>
      <c r="F511">
        <v>780848880</v>
      </c>
      <c r="G511">
        <v>563221551</v>
      </c>
      <c r="H511">
        <v>420966248</v>
      </c>
      <c r="I511">
        <v>355828589</v>
      </c>
      <c r="J511">
        <v>274250168</v>
      </c>
      <c r="K511">
        <v>72280648</v>
      </c>
      <c r="L511">
        <v>262936777</v>
      </c>
      <c r="M511">
        <v>248158617</v>
      </c>
      <c r="N511">
        <v>400565054</v>
      </c>
      <c r="O511">
        <v>369986259</v>
      </c>
      <c r="P511">
        <v>128</v>
      </c>
      <c r="Q511" t="s">
        <v>1231</v>
      </c>
    </row>
    <row r="512" spans="1:17" x14ac:dyDescent="0.3">
      <c r="A512" t="s">
        <v>17</v>
      </c>
      <c r="B512" t="str">
        <f>"600610"</f>
        <v>600610</v>
      </c>
      <c r="C512" t="s">
        <v>1232</v>
      </c>
      <c r="D512" t="s">
        <v>1233</v>
      </c>
      <c r="F512">
        <v>131802602</v>
      </c>
      <c r="G512">
        <v>89934676</v>
      </c>
      <c r="H512">
        <v>44376346</v>
      </c>
      <c r="I512">
        <v>-462701600</v>
      </c>
      <c r="J512">
        <v>21533130</v>
      </c>
      <c r="K512">
        <v>1163614238</v>
      </c>
      <c r="L512">
        <v>1158926007</v>
      </c>
      <c r="M512">
        <v>1005425886</v>
      </c>
      <c r="N512">
        <v>87305562</v>
      </c>
      <c r="O512">
        <v>128850106</v>
      </c>
      <c r="P512">
        <v>91</v>
      </c>
      <c r="Q512" t="s">
        <v>1234</v>
      </c>
    </row>
    <row r="513" spans="1:17" x14ac:dyDescent="0.3">
      <c r="A513" t="s">
        <v>17</v>
      </c>
      <c r="B513" t="str">
        <f>"600611"</f>
        <v>600611</v>
      </c>
      <c r="C513" t="s">
        <v>1235</v>
      </c>
      <c r="D513" t="s">
        <v>1133</v>
      </c>
      <c r="F513">
        <v>9655716278</v>
      </c>
      <c r="G513">
        <v>9284730016</v>
      </c>
      <c r="H513">
        <v>9421370022</v>
      </c>
      <c r="I513">
        <v>8634864079</v>
      </c>
      <c r="J513">
        <v>9265136448</v>
      </c>
      <c r="K513">
        <v>9269241496</v>
      </c>
      <c r="L513">
        <v>8572665458</v>
      </c>
      <c r="M513">
        <v>6336199986</v>
      </c>
      <c r="N513">
        <v>5523430886</v>
      </c>
      <c r="O513">
        <v>5424104737</v>
      </c>
      <c r="P513">
        <v>243</v>
      </c>
      <c r="Q513" t="s">
        <v>1236</v>
      </c>
    </row>
    <row r="514" spans="1:17" x14ac:dyDescent="0.3">
      <c r="A514" t="s">
        <v>17</v>
      </c>
      <c r="B514" t="str">
        <f>"600612"</f>
        <v>600612</v>
      </c>
      <c r="C514" t="s">
        <v>1237</v>
      </c>
      <c r="D514" t="s">
        <v>1238</v>
      </c>
      <c r="F514">
        <v>9191135715</v>
      </c>
      <c r="G514">
        <v>7964899088</v>
      </c>
      <c r="H514">
        <v>7019970606</v>
      </c>
      <c r="I514">
        <v>6191360024</v>
      </c>
      <c r="J514">
        <v>5607412765</v>
      </c>
      <c r="K514">
        <v>5061431453</v>
      </c>
      <c r="L514">
        <v>4542400446</v>
      </c>
      <c r="M514">
        <v>3946044042</v>
      </c>
      <c r="N514">
        <v>3333020800</v>
      </c>
      <c r="O514">
        <v>2761486946</v>
      </c>
      <c r="P514">
        <v>45897</v>
      </c>
      <c r="Q514" t="s">
        <v>1239</v>
      </c>
    </row>
    <row r="515" spans="1:17" x14ac:dyDescent="0.3">
      <c r="A515" t="s">
        <v>17</v>
      </c>
      <c r="B515" t="str">
        <f>"600613"</f>
        <v>600613</v>
      </c>
      <c r="C515" t="s">
        <v>1240</v>
      </c>
      <c r="D515" t="s">
        <v>143</v>
      </c>
      <c r="F515">
        <v>2344283895</v>
      </c>
      <c r="G515">
        <v>2277367601</v>
      </c>
      <c r="H515">
        <v>2616935698</v>
      </c>
      <c r="I515">
        <v>2539856197</v>
      </c>
      <c r="J515">
        <v>2463388723</v>
      </c>
      <c r="K515">
        <v>2358936675</v>
      </c>
      <c r="L515">
        <v>2230013245</v>
      </c>
      <c r="M515">
        <v>1965915438</v>
      </c>
      <c r="N515">
        <v>1785650497</v>
      </c>
      <c r="O515">
        <v>205063740</v>
      </c>
      <c r="P515">
        <v>121</v>
      </c>
      <c r="Q515" t="s">
        <v>1241</v>
      </c>
    </row>
    <row r="516" spans="1:17" x14ac:dyDescent="0.3">
      <c r="A516" t="s">
        <v>17</v>
      </c>
      <c r="B516" t="str">
        <f>"600614"</f>
        <v>600614</v>
      </c>
      <c r="C516" t="s">
        <v>1242</v>
      </c>
      <c r="G516">
        <v>38757965</v>
      </c>
      <c r="H516">
        <v>155338934</v>
      </c>
      <c r="I516">
        <v>1086397027</v>
      </c>
      <c r="J516">
        <v>4914968750</v>
      </c>
      <c r="K516">
        <v>4617154152</v>
      </c>
      <c r="L516">
        <v>4533983434</v>
      </c>
      <c r="M516">
        <v>2487424673</v>
      </c>
      <c r="N516">
        <v>891696243</v>
      </c>
      <c r="O516">
        <v>881571315</v>
      </c>
      <c r="P516">
        <v>55</v>
      </c>
      <c r="Q516" t="s">
        <v>1243</v>
      </c>
    </row>
    <row r="517" spans="1:17" x14ac:dyDescent="0.3">
      <c r="A517" t="s">
        <v>17</v>
      </c>
      <c r="B517" t="str">
        <f>"600615"</f>
        <v>600615</v>
      </c>
      <c r="C517" t="s">
        <v>1244</v>
      </c>
      <c r="D517" t="s">
        <v>636</v>
      </c>
      <c r="F517">
        <v>631256481</v>
      </c>
      <c r="G517">
        <v>632818485</v>
      </c>
      <c r="H517">
        <v>631354316</v>
      </c>
      <c r="I517">
        <v>598771807</v>
      </c>
      <c r="J517">
        <v>590506012</v>
      </c>
      <c r="K517">
        <v>485205354</v>
      </c>
      <c r="L517">
        <v>476929129</v>
      </c>
      <c r="M517">
        <v>492043433</v>
      </c>
      <c r="N517">
        <v>478887249</v>
      </c>
      <c r="O517">
        <v>495382494</v>
      </c>
      <c r="P517">
        <v>66</v>
      </c>
      <c r="Q517" t="s">
        <v>1245</v>
      </c>
    </row>
    <row r="518" spans="1:17" x14ac:dyDescent="0.3">
      <c r="A518" t="s">
        <v>17</v>
      </c>
      <c r="B518" t="str">
        <f>"600616"</f>
        <v>600616</v>
      </c>
      <c r="C518" t="s">
        <v>1246</v>
      </c>
      <c r="D518" t="s">
        <v>134</v>
      </c>
      <c r="F518">
        <v>1923457203</v>
      </c>
      <c r="G518">
        <v>1956487688</v>
      </c>
      <c r="H518">
        <v>1958828440</v>
      </c>
      <c r="I518">
        <v>1933671583</v>
      </c>
      <c r="J518">
        <v>2028282422</v>
      </c>
      <c r="K518">
        <v>1998830800</v>
      </c>
      <c r="L518">
        <v>1957264126</v>
      </c>
      <c r="M518">
        <v>1905420921</v>
      </c>
      <c r="N518">
        <v>1321888729</v>
      </c>
      <c r="O518">
        <v>1248892533</v>
      </c>
      <c r="P518">
        <v>180</v>
      </c>
      <c r="Q518" t="s">
        <v>1247</v>
      </c>
    </row>
    <row r="519" spans="1:17" x14ac:dyDescent="0.3">
      <c r="A519" t="s">
        <v>17</v>
      </c>
      <c r="B519" t="str">
        <f>"600617"</f>
        <v>600617</v>
      </c>
      <c r="C519" t="s">
        <v>1248</v>
      </c>
      <c r="D519" t="s">
        <v>749</v>
      </c>
      <c r="F519">
        <v>3593991572</v>
      </c>
      <c r="G519">
        <v>3018147163</v>
      </c>
      <c r="H519">
        <v>3786874245</v>
      </c>
      <c r="I519">
        <v>3775777605</v>
      </c>
      <c r="J519">
        <v>3713739077</v>
      </c>
      <c r="K519">
        <v>3711252575</v>
      </c>
      <c r="L519">
        <v>3519278146</v>
      </c>
      <c r="M519">
        <v>2085767503</v>
      </c>
      <c r="N519">
        <v>1143024805</v>
      </c>
      <c r="O519">
        <v>-68988615</v>
      </c>
      <c r="P519">
        <v>104</v>
      </c>
      <c r="Q519" t="s">
        <v>1249</v>
      </c>
    </row>
    <row r="520" spans="1:17" x14ac:dyDescent="0.3">
      <c r="A520" t="s">
        <v>17</v>
      </c>
      <c r="B520" t="str">
        <f>"600618"</f>
        <v>600618</v>
      </c>
      <c r="C520" t="s">
        <v>1250</v>
      </c>
      <c r="D520" t="s">
        <v>175</v>
      </c>
      <c r="F520">
        <v>6864775657</v>
      </c>
      <c r="G520">
        <v>5140749297</v>
      </c>
      <c r="H520">
        <v>4654359939</v>
      </c>
      <c r="I520">
        <v>3915211450</v>
      </c>
      <c r="J520">
        <v>2918433214</v>
      </c>
      <c r="K520">
        <v>1941720788</v>
      </c>
      <c r="L520">
        <v>2261545046</v>
      </c>
      <c r="M520">
        <v>2164655507</v>
      </c>
      <c r="N520">
        <v>2848201004</v>
      </c>
      <c r="O520">
        <v>2828464571</v>
      </c>
      <c r="P520">
        <v>253</v>
      </c>
      <c r="Q520" t="s">
        <v>1251</v>
      </c>
    </row>
    <row r="521" spans="1:17" x14ac:dyDescent="0.3">
      <c r="A521" t="s">
        <v>17</v>
      </c>
      <c r="B521" t="str">
        <f>"600619"</f>
        <v>600619</v>
      </c>
      <c r="C521" t="s">
        <v>1252</v>
      </c>
      <c r="D521" t="s">
        <v>1253</v>
      </c>
      <c r="F521">
        <v>6225484315</v>
      </c>
      <c r="G521">
        <v>4510572071</v>
      </c>
      <c r="H521">
        <v>4509695504</v>
      </c>
      <c r="I521">
        <v>4364490585</v>
      </c>
      <c r="J521">
        <v>4180168864</v>
      </c>
      <c r="K521">
        <v>3991847230</v>
      </c>
      <c r="L521">
        <v>3892867310</v>
      </c>
      <c r="M521">
        <v>2396475300</v>
      </c>
      <c r="N521">
        <v>2370063154</v>
      </c>
      <c r="O521">
        <v>2365021252</v>
      </c>
      <c r="P521">
        <v>121</v>
      </c>
      <c r="Q521" t="s">
        <v>1254</v>
      </c>
    </row>
    <row r="522" spans="1:17" x14ac:dyDescent="0.3">
      <c r="A522" t="s">
        <v>17</v>
      </c>
      <c r="B522" t="str">
        <f>"600620"</f>
        <v>600620</v>
      </c>
      <c r="C522" t="s">
        <v>1255</v>
      </c>
      <c r="D522" t="s">
        <v>110</v>
      </c>
      <c r="F522">
        <v>2200598853</v>
      </c>
      <c r="G522">
        <v>2375255731</v>
      </c>
      <c r="H522">
        <v>2524340552</v>
      </c>
      <c r="I522">
        <v>2283893971</v>
      </c>
      <c r="J522">
        <v>2452133953</v>
      </c>
      <c r="K522">
        <v>2708222243</v>
      </c>
      <c r="L522">
        <v>4238353740</v>
      </c>
      <c r="M522">
        <v>833540448</v>
      </c>
      <c r="N522">
        <v>829384690</v>
      </c>
      <c r="O522">
        <v>745111806</v>
      </c>
      <c r="P522">
        <v>66</v>
      </c>
      <c r="Q522" t="s">
        <v>1256</v>
      </c>
    </row>
    <row r="523" spans="1:17" x14ac:dyDescent="0.3">
      <c r="A523" t="s">
        <v>17</v>
      </c>
      <c r="B523" t="str">
        <f>"600621"</f>
        <v>600621</v>
      </c>
      <c r="C523" t="s">
        <v>1257</v>
      </c>
      <c r="D523" t="s">
        <v>80</v>
      </c>
      <c r="F523">
        <v>7240162688</v>
      </c>
      <c r="G523">
        <v>6906819752</v>
      </c>
      <c r="H523">
        <v>6208143013</v>
      </c>
      <c r="I523">
        <v>6199183935</v>
      </c>
      <c r="J523">
        <v>6529940985</v>
      </c>
      <c r="K523">
        <v>1968547112</v>
      </c>
      <c r="L523">
        <v>1850479016</v>
      </c>
      <c r="M523">
        <v>1753233247</v>
      </c>
      <c r="N523">
        <v>1672872304</v>
      </c>
      <c r="O523">
        <v>1434126417</v>
      </c>
      <c r="P523">
        <v>594</v>
      </c>
      <c r="Q523" t="s">
        <v>1258</v>
      </c>
    </row>
    <row r="524" spans="1:17" x14ac:dyDescent="0.3">
      <c r="A524" t="s">
        <v>17</v>
      </c>
      <c r="B524" t="str">
        <f>"600622"</f>
        <v>600622</v>
      </c>
      <c r="C524" t="s">
        <v>1259</v>
      </c>
      <c r="D524" t="s">
        <v>104</v>
      </c>
      <c r="F524">
        <v>7103342256</v>
      </c>
      <c r="G524">
        <v>6682553539</v>
      </c>
      <c r="H524">
        <v>6378301144</v>
      </c>
      <c r="I524">
        <v>6102666981</v>
      </c>
      <c r="J524">
        <v>5439230817</v>
      </c>
      <c r="K524">
        <v>5107624547</v>
      </c>
      <c r="L524">
        <v>3149560104</v>
      </c>
      <c r="M524">
        <v>2963890243</v>
      </c>
      <c r="N524">
        <v>2682860602</v>
      </c>
      <c r="O524">
        <v>2420563781</v>
      </c>
      <c r="P524">
        <v>246</v>
      </c>
      <c r="Q524" t="s">
        <v>1260</v>
      </c>
    </row>
    <row r="525" spans="1:17" x14ac:dyDescent="0.3">
      <c r="A525" t="s">
        <v>17</v>
      </c>
      <c r="B525" t="str">
        <f>"600623"</f>
        <v>600623</v>
      </c>
      <c r="C525" t="s">
        <v>1261</v>
      </c>
      <c r="D525" t="s">
        <v>914</v>
      </c>
      <c r="F525">
        <v>21468365987</v>
      </c>
      <c r="G525">
        <v>18592066704</v>
      </c>
      <c r="H525">
        <v>18353710350</v>
      </c>
      <c r="I525">
        <v>18065696394</v>
      </c>
      <c r="J525">
        <v>16635395428</v>
      </c>
      <c r="K525">
        <v>16230911667</v>
      </c>
      <c r="L525">
        <v>16077876300</v>
      </c>
      <c r="M525">
        <v>3022699317</v>
      </c>
      <c r="N525">
        <v>2723247518</v>
      </c>
      <c r="O525">
        <v>2494059832</v>
      </c>
      <c r="P525">
        <v>241</v>
      </c>
      <c r="Q525" t="s">
        <v>1262</v>
      </c>
    </row>
    <row r="526" spans="1:17" x14ac:dyDescent="0.3">
      <c r="A526" t="s">
        <v>17</v>
      </c>
      <c r="B526" t="str">
        <f>"600624"</f>
        <v>600624</v>
      </c>
      <c r="C526" t="s">
        <v>1263</v>
      </c>
      <c r="D526" t="s">
        <v>143</v>
      </c>
      <c r="F526">
        <v>916328759</v>
      </c>
      <c r="G526">
        <v>1102419382</v>
      </c>
      <c r="H526">
        <v>1183030828</v>
      </c>
      <c r="I526">
        <v>1147434250</v>
      </c>
      <c r="J526">
        <v>1118606426</v>
      </c>
      <c r="K526">
        <v>1090959768</v>
      </c>
      <c r="L526">
        <v>1064114373</v>
      </c>
      <c r="M526">
        <v>1025698388</v>
      </c>
      <c r="N526">
        <v>594457673</v>
      </c>
      <c r="O526">
        <v>579104667</v>
      </c>
      <c r="P526">
        <v>122</v>
      </c>
      <c r="Q526" t="s">
        <v>1264</v>
      </c>
    </row>
    <row r="527" spans="1:17" x14ac:dyDescent="0.3">
      <c r="A527" t="s">
        <v>17</v>
      </c>
      <c r="B527" t="str">
        <f>"600625"</f>
        <v>600625</v>
      </c>
      <c r="C527" t="s">
        <v>1265</v>
      </c>
      <c r="K527">
        <v>-47690182.18</v>
      </c>
      <c r="L527">
        <v>-59472691.140000001</v>
      </c>
      <c r="M527">
        <v>-64253589.5</v>
      </c>
      <c r="N527">
        <v>-73900853.090000004</v>
      </c>
      <c r="O527">
        <v>-74821811.390000001</v>
      </c>
      <c r="P527">
        <v>5</v>
      </c>
      <c r="Q527" t="s">
        <v>1266</v>
      </c>
    </row>
    <row r="528" spans="1:17" x14ac:dyDescent="0.3">
      <c r="A528" t="s">
        <v>17</v>
      </c>
      <c r="B528" t="str">
        <f>"600626"</f>
        <v>600626</v>
      </c>
      <c r="C528" t="s">
        <v>1267</v>
      </c>
      <c r="D528" t="s">
        <v>191</v>
      </c>
      <c r="F528">
        <v>3281221952</v>
      </c>
      <c r="G528">
        <v>2424731259</v>
      </c>
      <c r="H528">
        <v>3350288363</v>
      </c>
      <c r="I528">
        <v>3291214246</v>
      </c>
      <c r="J528">
        <v>2567013578</v>
      </c>
      <c r="K528">
        <v>2466379698</v>
      </c>
      <c r="L528">
        <v>2355616489</v>
      </c>
      <c r="M528">
        <v>2254641432</v>
      </c>
      <c r="N528">
        <v>2148780929</v>
      </c>
      <c r="O528">
        <v>2027323766</v>
      </c>
      <c r="P528">
        <v>93</v>
      </c>
      <c r="Q528" t="s">
        <v>1268</v>
      </c>
    </row>
    <row r="529" spans="1:17" x14ac:dyDescent="0.3">
      <c r="A529" t="s">
        <v>17</v>
      </c>
      <c r="B529" t="str">
        <f>"600628"</f>
        <v>600628</v>
      </c>
      <c r="C529" t="s">
        <v>1269</v>
      </c>
      <c r="D529" t="s">
        <v>633</v>
      </c>
      <c r="F529">
        <v>4354158758</v>
      </c>
      <c r="G529">
        <v>4341004285</v>
      </c>
      <c r="H529">
        <v>4311936432</v>
      </c>
      <c r="I529">
        <v>4438922875</v>
      </c>
      <c r="J529">
        <v>4343124789</v>
      </c>
      <c r="K529">
        <v>4010259930</v>
      </c>
      <c r="L529">
        <v>2536464698</v>
      </c>
      <c r="M529">
        <v>2564504971</v>
      </c>
      <c r="N529">
        <v>2398594395</v>
      </c>
      <c r="O529">
        <v>2234305451</v>
      </c>
      <c r="P529">
        <v>112</v>
      </c>
      <c r="Q529" t="s">
        <v>1270</v>
      </c>
    </row>
    <row r="530" spans="1:17" x14ac:dyDescent="0.3">
      <c r="A530" t="s">
        <v>17</v>
      </c>
      <c r="B530" t="str">
        <f>"600629"</f>
        <v>600629</v>
      </c>
      <c r="C530" t="s">
        <v>1271</v>
      </c>
      <c r="D530" t="s">
        <v>1272</v>
      </c>
      <c r="F530">
        <v>3254318707</v>
      </c>
      <c r="G530">
        <v>2982164682</v>
      </c>
      <c r="H530">
        <v>2923678312</v>
      </c>
      <c r="I530">
        <v>2697690239</v>
      </c>
      <c r="J530">
        <v>2482114203</v>
      </c>
      <c r="K530">
        <v>1004627680</v>
      </c>
      <c r="L530">
        <v>737856053</v>
      </c>
      <c r="M530">
        <v>780425078</v>
      </c>
      <c r="N530">
        <v>776022964</v>
      </c>
      <c r="O530">
        <v>762141901</v>
      </c>
      <c r="P530">
        <v>151</v>
      </c>
      <c r="Q530" t="s">
        <v>1273</v>
      </c>
    </row>
    <row r="531" spans="1:17" x14ac:dyDescent="0.3">
      <c r="A531" t="s">
        <v>17</v>
      </c>
      <c r="B531" t="str">
        <f>"600630"</f>
        <v>600630</v>
      </c>
      <c r="C531" t="s">
        <v>1274</v>
      </c>
      <c r="D531" t="s">
        <v>255</v>
      </c>
      <c r="F531">
        <v>1218990364</v>
      </c>
      <c r="G531">
        <v>1526692341</v>
      </c>
      <c r="H531">
        <v>1822672106</v>
      </c>
      <c r="I531">
        <v>1809186156</v>
      </c>
      <c r="J531">
        <v>1814111848</v>
      </c>
      <c r="K531">
        <v>1694966227</v>
      </c>
      <c r="L531">
        <v>1694699730</v>
      </c>
      <c r="M531">
        <v>1631629712</v>
      </c>
      <c r="N531">
        <v>1568225851</v>
      </c>
      <c r="O531">
        <v>1515541454</v>
      </c>
      <c r="P531">
        <v>110</v>
      </c>
      <c r="Q531" t="s">
        <v>1275</v>
      </c>
    </row>
    <row r="532" spans="1:17" x14ac:dyDescent="0.3">
      <c r="A532" t="s">
        <v>17</v>
      </c>
      <c r="B532" t="str">
        <f>"600631"</f>
        <v>600631</v>
      </c>
      <c r="C532" t="s">
        <v>1276</v>
      </c>
      <c r="N532">
        <v>12927950656.67</v>
      </c>
      <c r="O532">
        <v>12257817303.51</v>
      </c>
      <c r="P532">
        <v>18</v>
      </c>
      <c r="Q532" t="s">
        <v>1277</v>
      </c>
    </row>
    <row r="533" spans="1:17" x14ac:dyDescent="0.3">
      <c r="A533" t="s">
        <v>17</v>
      </c>
      <c r="B533" t="str">
        <f>"600633"</f>
        <v>600633</v>
      </c>
      <c r="C533" t="s">
        <v>1278</v>
      </c>
      <c r="D533" t="s">
        <v>517</v>
      </c>
      <c r="F533">
        <v>8926441795</v>
      </c>
      <c r="G533">
        <v>8417735061</v>
      </c>
      <c r="H533">
        <v>8038562878</v>
      </c>
      <c r="I533">
        <v>7777463092</v>
      </c>
      <c r="J533">
        <v>7851826249</v>
      </c>
      <c r="K533">
        <v>6473628444</v>
      </c>
      <c r="L533">
        <v>4225768118</v>
      </c>
      <c r="M533">
        <v>3813306678</v>
      </c>
      <c r="N533">
        <v>3543355378</v>
      </c>
      <c r="O533">
        <v>1028635910</v>
      </c>
      <c r="P533">
        <v>325</v>
      </c>
      <c r="Q533" t="s">
        <v>1279</v>
      </c>
    </row>
    <row r="534" spans="1:17" x14ac:dyDescent="0.3">
      <c r="A534" t="s">
        <v>17</v>
      </c>
      <c r="B534" t="str">
        <f>"600634"</f>
        <v>600634</v>
      </c>
      <c r="C534" t="s">
        <v>1280</v>
      </c>
      <c r="G534">
        <v>-4191028272</v>
      </c>
      <c r="H534">
        <v>-2308899976</v>
      </c>
      <c r="I534">
        <v>-3538861330</v>
      </c>
      <c r="J534">
        <v>1974956697</v>
      </c>
      <c r="K534">
        <v>2887383901</v>
      </c>
      <c r="L534">
        <v>2494519003</v>
      </c>
      <c r="M534">
        <v>2362391881</v>
      </c>
      <c r="N534">
        <v>2240248250</v>
      </c>
      <c r="O534">
        <v>166216607</v>
      </c>
      <c r="P534">
        <v>48</v>
      </c>
      <c r="Q534" t="s">
        <v>1281</v>
      </c>
    </row>
    <row r="535" spans="1:17" x14ac:dyDescent="0.3">
      <c r="A535" t="s">
        <v>17</v>
      </c>
      <c r="B535" t="str">
        <f>"600635"</f>
        <v>600635</v>
      </c>
      <c r="C535" t="s">
        <v>1282</v>
      </c>
      <c r="D535" t="s">
        <v>749</v>
      </c>
      <c r="F535">
        <v>8715731073</v>
      </c>
      <c r="G535">
        <v>8643440050</v>
      </c>
      <c r="H535">
        <v>8063278014</v>
      </c>
      <c r="I535">
        <v>7459681431</v>
      </c>
      <c r="J535">
        <v>7240742720</v>
      </c>
      <c r="K535">
        <v>7119211164</v>
      </c>
      <c r="L535">
        <v>5774228451</v>
      </c>
      <c r="M535">
        <v>4408306065</v>
      </c>
      <c r="N535">
        <v>3946608327</v>
      </c>
      <c r="O535">
        <v>3868679808</v>
      </c>
      <c r="P535">
        <v>180</v>
      </c>
      <c r="Q535" t="s">
        <v>1283</v>
      </c>
    </row>
    <row r="536" spans="1:17" x14ac:dyDescent="0.3">
      <c r="A536" t="s">
        <v>17</v>
      </c>
      <c r="B536" t="str">
        <f>"600636"</f>
        <v>600636</v>
      </c>
      <c r="C536" t="s">
        <v>1284</v>
      </c>
      <c r="D536" t="s">
        <v>1285</v>
      </c>
      <c r="F536">
        <v>2569088990</v>
      </c>
      <c r="G536">
        <v>3045941330</v>
      </c>
      <c r="H536">
        <v>3030242703</v>
      </c>
      <c r="I536">
        <v>3069492979</v>
      </c>
      <c r="J536">
        <v>2521803902</v>
      </c>
      <c r="K536">
        <v>2479430583</v>
      </c>
      <c r="L536">
        <v>2786874395</v>
      </c>
      <c r="M536">
        <v>1626897323</v>
      </c>
      <c r="N536">
        <v>1672288134</v>
      </c>
      <c r="O536">
        <v>1662630374</v>
      </c>
      <c r="P536">
        <v>136</v>
      </c>
      <c r="Q536" t="s">
        <v>1286</v>
      </c>
    </row>
    <row r="537" spans="1:17" x14ac:dyDescent="0.3">
      <c r="A537" t="s">
        <v>17</v>
      </c>
      <c r="B537" t="str">
        <f>"600637"</f>
        <v>600637</v>
      </c>
      <c r="C537" t="s">
        <v>1287</v>
      </c>
      <c r="D537" t="s">
        <v>95</v>
      </c>
      <c r="F537">
        <v>30047555781</v>
      </c>
      <c r="G537">
        <v>29573099209</v>
      </c>
      <c r="H537">
        <v>29193865405</v>
      </c>
      <c r="I537">
        <v>28252857627</v>
      </c>
      <c r="J537">
        <v>27555968957</v>
      </c>
      <c r="K537">
        <v>26488774396</v>
      </c>
      <c r="L537">
        <v>25002556734</v>
      </c>
      <c r="M537">
        <v>4470149328</v>
      </c>
      <c r="N537">
        <v>3720381910</v>
      </c>
      <c r="O537">
        <v>3084762674</v>
      </c>
      <c r="P537">
        <v>442</v>
      </c>
      <c r="Q537" t="s">
        <v>1288</v>
      </c>
    </row>
    <row r="538" spans="1:17" x14ac:dyDescent="0.3">
      <c r="A538" t="s">
        <v>17</v>
      </c>
      <c r="B538" t="str">
        <f>"600638"</f>
        <v>600638</v>
      </c>
      <c r="C538" t="s">
        <v>1289</v>
      </c>
      <c r="D538" t="s">
        <v>104</v>
      </c>
      <c r="F538">
        <v>4363001179</v>
      </c>
      <c r="G538">
        <v>4313067772</v>
      </c>
      <c r="H538">
        <v>4068762499</v>
      </c>
      <c r="I538">
        <v>4575509765</v>
      </c>
      <c r="J538">
        <v>4209437857</v>
      </c>
      <c r="K538">
        <v>3649982780</v>
      </c>
      <c r="L538">
        <v>3617611025</v>
      </c>
      <c r="M538">
        <v>3467885571</v>
      </c>
      <c r="N538">
        <v>3357235308</v>
      </c>
      <c r="O538">
        <v>3241588624</v>
      </c>
      <c r="P538">
        <v>106</v>
      </c>
      <c r="Q538" t="s">
        <v>1290</v>
      </c>
    </row>
    <row r="539" spans="1:17" x14ac:dyDescent="0.3">
      <c r="A539" t="s">
        <v>17</v>
      </c>
      <c r="B539" t="str">
        <f>"600639"</f>
        <v>600639</v>
      </c>
      <c r="C539" t="s">
        <v>1291</v>
      </c>
      <c r="D539" t="s">
        <v>194</v>
      </c>
      <c r="F539">
        <v>12339210904</v>
      </c>
      <c r="G539">
        <v>10760016914</v>
      </c>
      <c r="H539">
        <v>9925466588</v>
      </c>
      <c r="I539">
        <v>8838070833</v>
      </c>
      <c r="J539">
        <v>8939278893</v>
      </c>
      <c r="K539">
        <v>8646179385</v>
      </c>
      <c r="L539">
        <v>6337848414</v>
      </c>
      <c r="M539">
        <v>5811179753</v>
      </c>
      <c r="N539">
        <v>4616827826</v>
      </c>
      <c r="O539">
        <v>4297936030</v>
      </c>
      <c r="P539">
        <v>189</v>
      </c>
      <c r="Q539" t="s">
        <v>1292</v>
      </c>
    </row>
    <row r="540" spans="1:17" x14ac:dyDescent="0.3">
      <c r="A540" t="s">
        <v>17</v>
      </c>
      <c r="B540" t="str">
        <f>"600640"</f>
        <v>600640</v>
      </c>
      <c r="C540" t="s">
        <v>1293</v>
      </c>
      <c r="D540" t="s">
        <v>1294</v>
      </c>
      <c r="F540">
        <v>4149482155</v>
      </c>
      <c r="G540">
        <v>4507220041</v>
      </c>
      <c r="H540">
        <v>4539874932</v>
      </c>
      <c r="I540">
        <v>4476898208</v>
      </c>
      <c r="J540">
        <v>4305884985</v>
      </c>
      <c r="K540">
        <v>2550642694</v>
      </c>
      <c r="L540">
        <v>2546691441</v>
      </c>
      <c r="M540">
        <v>2527207201</v>
      </c>
      <c r="N540">
        <v>2464127516</v>
      </c>
      <c r="O540">
        <v>2382876517</v>
      </c>
      <c r="P540">
        <v>163</v>
      </c>
      <c r="Q540" t="s">
        <v>1295</v>
      </c>
    </row>
    <row r="541" spans="1:17" x14ac:dyDescent="0.3">
      <c r="A541" t="s">
        <v>17</v>
      </c>
      <c r="B541" t="str">
        <f>"600641"</f>
        <v>600641</v>
      </c>
      <c r="C541" t="s">
        <v>1296</v>
      </c>
      <c r="D541" t="s">
        <v>104</v>
      </c>
      <c r="F541">
        <v>7615259204</v>
      </c>
      <c r="G541">
        <v>6667466230</v>
      </c>
      <c r="H541">
        <v>6272787308</v>
      </c>
      <c r="I541">
        <v>6178740715</v>
      </c>
      <c r="J541">
        <v>5871945216</v>
      </c>
      <c r="K541">
        <v>4362825277</v>
      </c>
      <c r="L541">
        <v>3709549257</v>
      </c>
      <c r="M541">
        <v>3615412822</v>
      </c>
      <c r="N541">
        <v>2657894467</v>
      </c>
      <c r="O541">
        <v>2500410209</v>
      </c>
      <c r="P541">
        <v>404</v>
      </c>
      <c r="Q541" t="s">
        <v>1297</v>
      </c>
    </row>
    <row r="542" spans="1:17" x14ac:dyDescent="0.3">
      <c r="A542" t="s">
        <v>17</v>
      </c>
      <c r="B542" t="str">
        <f>"600642"</f>
        <v>600642</v>
      </c>
      <c r="C542" t="s">
        <v>1298</v>
      </c>
      <c r="D542" t="s">
        <v>41</v>
      </c>
      <c r="F542">
        <v>30841926436</v>
      </c>
      <c r="G542">
        <v>30848517799</v>
      </c>
      <c r="H542">
        <v>29603575069</v>
      </c>
      <c r="I542">
        <v>25953166154</v>
      </c>
      <c r="J542">
        <v>25459970186</v>
      </c>
      <c r="K542">
        <v>25316999886</v>
      </c>
      <c r="L542">
        <v>23876323618</v>
      </c>
      <c r="M542">
        <v>23216053237</v>
      </c>
      <c r="N542">
        <v>21143112047</v>
      </c>
      <c r="O542">
        <v>19408380059</v>
      </c>
      <c r="P542">
        <v>459</v>
      </c>
      <c r="Q542" t="s">
        <v>1299</v>
      </c>
    </row>
    <row r="543" spans="1:17" x14ac:dyDescent="0.3">
      <c r="A543" t="s">
        <v>17</v>
      </c>
      <c r="B543" t="str">
        <f>"600643"</f>
        <v>600643</v>
      </c>
      <c r="C543" t="s">
        <v>1300</v>
      </c>
      <c r="D543" t="s">
        <v>140</v>
      </c>
      <c r="F543">
        <v>12381416335</v>
      </c>
      <c r="G543">
        <v>11717495434</v>
      </c>
      <c r="H543">
        <v>10778675686</v>
      </c>
      <c r="I543">
        <v>9633893825</v>
      </c>
      <c r="J543">
        <v>7065390182</v>
      </c>
      <c r="K543">
        <v>6382718970</v>
      </c>
      <c r="L543">
        <v>5746140444</v>
      </c>
      <c r="M543">
        <v>5152706419</v>
      </c>
      <c r="N543">
        <v>4714722707</v>
      </c>
      <c r="O543">
        <v>4234907329</v>
      </c>
      <c r="P543">
        <v>344</v>
      </c>
      <c r="Q543" t="s">
        <v>1301</v>
      </c>
    </row>
    <row r="544" spans="1:17" x14ac:dyDescent="0.3">
      <c r="A544" t="s">
        <v>17</v>
      </c>
      <c r="B544" t="str">
        <f>"600644"</f>
        <v>600644</v>
      </c>
      <c r="C544" t="s">
        <v>1302</v>
      </c>
      <c r="D544" t="s">
        <v>239</v>
      </c>
      <c r="F544">
        <v>1719859771</v>
      </c>
      <c r="G544">
        <v>1589338612</v>
      </c>
      <c r="H544">
        <v>1482571551</v>
      </c>
      <c r="I544">
        <v>1356707047</v>
      </c>
      <c r="J544">
        <v>1274686708</v>
      </c>
      <c r="K544">
        <v>1221430593</v>
      </c>
      <c r="L544">
        <v>1010174360</v>
      </c>
      <c r="M544">
        <v>894657672</v>
      </c>
      <c r="N544">
        <v>455296174</v>
      </c>
      <c r="O544">
        <v>770304888</v>
      </c>
      <c r="P544">
        <v>81</v>
      </c>
      <c r="Q544" t="s">
        <v>1303</v>
      </c>
    </row>
    <row r="545" spans="1:17" x14ac:dyDescent="0.3">
      <c r="A545" t="s">
        <v>17</v>
      </c>
      <c r="B545" t="str">
        <f>"600645"</f>
        <v>600645</v>
      </c>
      <c r="C545" t="s">
        <v>1304</v>
      </c>
      <c r="D545" t="s">
        <v>1305</v>
      </c>
      <c r="F545">
        <v>3463453806</v>
      </c>
      <c r="G545">
        <v>3396348979</v>
      </c>
      <c r="H545">
        <v>3353702191</v>
      </c>
      <c r="I545">
        <v>2772549620</v>
      </c>
      <c r="J545">
        <v>1509015296</v>
      </c>
      <c r="K545">
        <v>1587829969</v>
      </c>
      <c r="L545">
        <v>1553462826</v>
      </c>
      <c r="M545">
        <v>1032461093</v>
      </c>
      <c r="N545">
        <v>501503836</v>
      </c>
      <c r="O545">
        <v>146535602</v>
      </c>
      <c r="P545">
        <v>223</v>
      </c>
      <c r="Q545" t="s">
        <v>1306</v>
      </c>
    </row>
    <row r="546" spans="1:17" x14ac:dyDescent="0.3">
      <c r="A546" t="s">
        <v>17</v>
      </c>
      <c r="B546" t="str">
        <f>"600646"</f>
        <v>600646</v>
      </c>
      <c r="C546" t="s">
        <v>1307</v>
      </c>
      <c r="L546">
        <v>93889.49</v>
      </c>
      <c r="P546">
        <v>2</v>
      </c>
      <c r="Q546" t="s">
        <v>1308</v>
      </c>
    </row>
    <row r="547" spans="1:17" x14ac:dyDescent="0.3">
      <c r="A547" t="s">
        <v>17</v>
      </c>
      <c r="B547" t="str">
        <f>"600647"</f>
        <v>600647</v>
      </c>
      <c r="C547" t="s">
        <v>1309</v>
      </c>
      <c r="D547" t="s">
        <v>110</v>
      </c>
      <c r="F547">
        <v>305303407</v>
      </c>
      <c r="G547">
        <v>299440519</v>
      </c>
      <c r="H547">
        <v>287745349</v>
      </c>
      <c r="I547">
        <v>268917267</v>
      </c>
      <c r="J547">
        <v>332174957</v>
      </c>
      <c r="K547">
        <v>376771846</v>
      </c>
      <c r="L547">
        <v>273108552</v>
      </c>
      <c r="M547">
        <v>240978208</v>
      </c>
      <c r="N547">
        <v>218553612</v>
      </c>
      <c r="O547">
        <v>191834101</v>
      </c>
      <c r="P547">
        <v>75</v>
      </c>
      <c r="Q547" t="s">
        <v>1310</v>
      </c>
    </row>
    <row r="548" spans="1:17" x14ac:dyDescent="0.3">
      <c r="A548" t="s">
        <v>17</v>
      </c>
      <c r="B548" t="str">
        <f>"600648"</f>
        <v>600648</v>
      </c>
      <c r="C548" t="s">
        <v>1311</v>
      </c>
      <c r="D548" t="s">
        <v>194</v>
      </c>
      <c r="F548">
        <v>11689025511</v>
      </c>
      <c r="G548">
        <v>10957319651</v>
      </c>
      <c r="H548">
        <v>10548948835</v>
      </c>
      <c r="I548">
        <v>10187678009</v>
      </c>
      <c r="J548">
        <v>9934122542</v>
      </c>
      <c r="K548">
        <v>9416787779</v>
      </c>
      <c r="L548">
        <v>9016616977</v>
      </c>
      <c r="M548">
        <v>8888619619</v>
      </c>
      <c r="N548">
        <v>5396078211</v>
      </c>
      <c r="O548">
        <v>4952948111</v>
      </c>
      <c r="P548">
        <v>139</v>
      </c>
      <c r="Q548" t="s">
        <v>1312</v>
      </c>
    </row>
    <row r="549" spans="1:17" x14ac:dyDescent="0.3">
      <c r="A549" t="s">
        <v>17</v>
      </c>
      <c r="B549" t="str">
        <f>"600649"</f>
        <v>600649</v>
      </c>
      <c r="C549" t="s">
        <v>1313</v>
      </c>
      <c r="D549" t="s">
        <v>104</v>
      </c>
      <c r="F549">
        <v>20374462106</v>
      </c>
      <c r="G549">
        <v>19949988468</v>
      </c>
      <c r="H549">
        <v>19291852069</v>
      </c>
      <c r="I549">
        <v>18828327878</v>
      </c>
      <c r="J549">
        <v>19075224692</v>
      </c>
      <c r="K549">
        <v>22566237612</v>
      </c>
      <c r="L549">
        <v>20248067487</v>
      </c>
      <c r="M549">
        <v>16679243826</v>
      </c>
      <c r="N549">
        <v>14267477502</v>
      </c>
      <c r="O549">
        <v>13536035473</v>
      </c>
      <c r="P549">
        <v>205</v>
      </c>
      <c r="Q549" t="s">
        <v>1314</v>
      </c>
    </row>
    <row r="550" spans="1:17" x14ac:dyDescent="0.3">
      <c r="A550" t="s">
        <v>17</v>
      </c>
      <c r="B550" t="str">
        <f>"600650"</f>
        <v>600650</v>
      </c>
      <c r="C550" t="s">
        <v>1315</v>
      </c>
      <c r="D550" t="s">
        <v>1133</v>
      </c>
      <c r="F550">
        <v>3560351620</v>
      </c>
      <c r="G550">
        <v>3546474550</v>
      </c>
      <c r="H550">
        <v>3506073890</v>
      </c>
      <c r="I550">
        <v>3242861496</v>
      </c>
      <c r="J550">
        <v>3361246146</v>
      </c>
      <c r="K550">
        <v>3254008838</v>
      </c>
      <c r="L550">
        <v>3467257137</v>
      </c>
      <c r="M550">
        <v>2324867372</v>
      </c>
      <c r="N550">
        <v>2217670972</v>
      </c>
      <c r="O550">
        <v>2118163308</v>
      </c>
      <c r="P550">
        <v>114</v>
      </c>
      <c r="Q550" t="s">
        <v>1316</v>
      </c>
    </row>
    <row r="551" spans="1:17" x14ac:dyDescent="0.3">
      <c r="A551" t="s">
        <v>17</v>
      </c>
      <c r="B551" t="str">
        <f>"600651"</f>
        <v>600651</v>
      </c>
      <c r="C551" t="s">
        <v>1317</v>
      </c>
      <c r="D551" t="s">
        <v>803</v>
      </c>
      <c r="F551">
        <v>2171831581</v>
      </c>
      <c r="G551">
        <v>2696266356</v>
      </c>
      <c r="H551">
        <v>-1631068275</v>
      </c>
      <c r="I551">
        <v>47261964</v>
      </c>
      <c r="J551">
        <v>3364911247</v>
      </c>
      <c r="K551">
        <v>3584940019</v>
      </c>
      <c r="L551">
        <v>3258464337</v>
      </c>
      <c r="M551">
        <v>2897667337</v>
      </c>
      <c r="N551">
        <v>1183612800</v>
      </c>
      <c r="O551">
        <v>1148589174</v>
      </c>
      <c r="P551">
        <v>112</v>
      </c>
      <c r="Q551" t="s">
        <v>1318</v>
      </c>
    </row>
    <row r="552" spans="1:17" x14ac:dyDescent="0.3">
      <c r="A552" t="s">
        <v>17</v>
      </c>
      <c r="B552" t="str">
        <f>"600652"</f>
        <v>600652</v>
      </c>
      <c r="C552" t="s">
        <v>1319</v>
      </c>
      <c r="D552" t="s">
        <v>517</v>
      </c>
      <c r="F552">
        <v>1672933967</v>
      </c>
      <c r="G552">
        <v>1751801304</v>
      </c>
      <c r="H552">
        <v>1704632880</v>
      </c>
      <c r="I552">
        <v>814854332</v>
      </c>
      <c r="J552">
        <v>1719817030</v>
      </c>
      <c r="K552">
        <v>2170413705</v>
      </c>
      <c r="L552">
        <v>2074560007</v>
      </c>
      <c r="M552">
        <v>1986074371</v>
      </c>
      <c r="N552">
        <v>959249741</v>
      </c>
      <c r="O552">
        <v>1014428263</v>
      </c>
      <c r="P552">
        <v>79</v>
      </c>
      <c r="Q552" t="s">
        <v>1320</v>
      </c>
    </row>
    <row r="553" spans="1:17" x14ac:dyDescent="0.3">
      <c r="A553" t="s">
        <v>17</v>
      </c>
      <c r="B553" t="str">
        <f>"600653"</f>
        <v>600653</v>
      </c>
      <c r="C553" t="s">
        <v>1321</v>
      </c>
      <c r="D553" t="s">
        <v>672</v>
      </c>
      <c r="F553">
        <v>1175375301</v>
      </c>
      <c r="G553">
        <v>1099320075</v>
      </c>
      <c r="H553">
        <v>1879609835</v>
      </c>
      <c r="I553">
        <v>2147678658</v>
      </c>
      <c r="J553">
        <v>1810276614</v>
      </c>
      <c r="K553">
        <v>2385129067</v>
      </c>
      <c r="L553">
        <v>1811079654</v>
      </c>
      <c r="M553">
        <v>1873963944</v>
      </c>
      <c r="N553">
        <v>2028952600</v>
      </c>
      <c r="O553">
        <v>1888139612</v>
      </c>
      <c r="P553">
        <v>93</v>
      </c>
      <c r="Q553" t="s">
        <v>1322</v>
      </c>
    </row>
    <row r="554" spans="1:17" x14ac:dyDescent="0.3">
      <c r="A554" t="s">
        <v>17</v>
      </c>
      <c r="B554" t="str">
        <f>"600654"</f>
        <v>600654</v>
      </c>
      <c r="C554" t="s">
        <v>1323</v>
      </c>
      <c r="D554" t="s">
        <v>945</v>
      </c>
      <c r="F554">
        <v>-1445837026</v>
      </c>
      <c r="G554">
        <v>92612011</v>
      </c>
      <c r="H554">
        <v>313343558</v>
      </c>
      <c r="I554">
        <v>214638351</v>
      </c>
      <c r="J554">
        <v>2168448835</v>
      </c>
      <c r="K554">
        <v>2975491098</v>
      </c>
      <c r="L554">
        <v>2906955363</v>
      </c>
      <c r="M554">
        <v>2630243596</v>
      </c>
      <c r="N554">
        <v>1486862032</v>
      </c>
      <c r="O554">
        <v>1399114305</v>
      </c>
      <c r="P554">
        <v>76</v>
      </c>
      <c r="Q554" t="s">
        <v>1324</v>
      </c>
    </row>
    <row r="555" spans="1:17" x14ac:dyDescent="0.3">
      <c r="A555" t="s">
        <v>17</v>
      </c>
      <c r="B555" t="str">
        <f>"600655"</f>
        <v>600655</v>
      </c>
      <c r="C555" t="s">
        <v>1325</v>
      </c>
      <c r="D555" t="s">
        <v>271</v>
      </c>
      <c r="F555">
        <v>34264190986</v>
      </c>
      <c r="G555">
        <v>33009266412</v>
      </c>
      <c r="H555">
        <v>31377848935</v>
      </c>
      <c r="I555">
        <v>28699461218</v>
      </c>
      <c r="J555">
        <v>11084749741</v>
      </c>
      <c r="K555">
        <v>10571671538</v>
      </c>
      <c r="L555">
        <v>7951376573</v>
      </c>
      <c r="M555">
        <v>7509280723</v>
      </c>
      <c r="N555">
        <v>6572057883</v>
      </c>
      <c r="O555">
        <v>5828044164</v>
      </c>
      <c r="P555">
        <v>409</v>
      </c>
      <c r="Q555" t="s">
        <v>1326</v>
      </c>
    </row>
    <row r="556" spans="1:17" x14ac:dyDescent="0.3">
      <c r="A556" t="s">
        <v>17</v>
      </c>
      <c r="B556" t="str">
        <f>"600656"</f>
        <v>600656</v>
      </c>
      <c r="C556" t="s">
        <v>1327</v>
      </c>
      <c r="L556">
        <v>455239987.81</v>
      </c>
      <c r="M556">
        <v>-381614105.87</v>
      </c>
      <c r="N556">
        <v>76491398.129999995</v>
      </c>
      <c r="O556">
        <v>64369115.520000003</v>
      </c>
      <c r="P556">
        <v>3</v>
      </c>
      <c r="Q556" t="s">
        <v>1328</v>
      </c>
    </row>
    <row r="557" spans="1:17" x14ac:dyDescent="0.3">
      <c r="A557" t="s">
        <v>17</v>
      </c>
      <c r="B557" t="str">
        <f>"600657"</f>
        <v>600657</v>
      </c>
      <c r="C557" t="s">
        <v>1329</v>
      </c>
      <c r="D557" t="s">
        <v>104</v>
      </c>
      <c r="F557">
        <v>23863671853</v>
      </c>
      <c r="G557">
        <v>23086697770</v>
      </c>
      <c r="H557">
        <v>21869851042</v>
      </c>
      <c r="I557">
        <v>19896867719</v>
      </c>
      <c r="J557">
        <v>9846077525</v>
      </c>
      <c r="K557">
        <v>9018323130</v>
      </c>
      <c r="L557">
        <v>8444838766</v>
      </c>
      <c r="M557">
        <v>7790527031</v>
      </c>
      <c r="N557">
        <v>7150174546</v>
      </c>
      <c r="O557">
        <v>6599287862</v>
      </c>
      <c r="P557">
        <v>423</v>
      </c>
      <c r="Q557" t="s">
        <v>1330</v>
      </c>
    </row>
    <row r="558" spans="1:17" x14ac:dyDescent="0.3">
      <c r="A558" t="s">
        <v>17</v>
      </c>
      <c r="B558" t="str">
        <f>"600658"</f>
        <v>600658</v>
      </c>
      <c r="C558" t="s">
        <v>1331</v>
      </c>
      <c r="D558" t="s">
        <v>194</v>
      </c>
      <c r="F558">
        <v>6893460989</v>
      </c>
      <c r="G558">
        <v>6981195645</v>
      </c>
      <c r="H558">
        <v>6618953472</v>
      </c>
      <c r="I558">
        <v>6589046248</v>
      </c>
      <c r="J558">
        <v>6355102144</v>
      </c>
      <c r="K558">
        <v>5997179263</v>
      </c>
      <c r="L558">
        <v>3391643814</v>
      </c>
      <c r="M558">
        <v>3017165606</v>
      </c>
      <c r="N558">
        <v>2667850677</v>
      </c>
      <c r="O558">
        <v>2299504267</v>
      </c>
      <c r="P558">
        <v>136</v>
      </c>
      <c r="Q558" t="s">
        <v>1332</v>
      </c>
    </row>
    <row r="559" spans="1:17" x14ac:dyDescent="0.3">
      <c r="A559" t="s">
        <v>17</v>
      </c>
      <c r="B559" t="str">
        <f>"600660"</f>
        <v>600660</v>
      </c>
      <c r="C559" t="s">
        <v>1333</v>
      </c>
      <c r="D559" t="s">
        <v>191</v>
      </c>
      <c r="F559">
        <v>26306015926</v>
      </c>
      <c r="G559">
        <v>21594517508</v>
      </c>
      <c r="H559">
        <v>21370366209</v>
      </c>
      <c r="I559">
        <v>20190906192</v>
      </c>
      <c r="J559">
        <v>19000835533</v>
      </c>
      <c r="K559">
        <v>18033617524</v>
      </c>
      <c r="L559">
        <v>16408627385</v>
      </c>
      <c r="M559">
        <v>8798303246</v>
      </c>
      <c r="N559">
        <v>7842635166</v>
      </c>
      <c r="O559">
        <v>6971708188</v>
      </c>
      <c r="P559">
        <v>13818</v>
      </c>
      <c r="Q559" t="s">
        <v>1334</v>
      </c>
    </row>
    <row r="560" spans="1:17" x14ac:dyDescent="0.3">
      <c r="A560" t="s">
        <v>17</v>
      </c>
      <c r="B560" t="str">
        <f>"600661"</f>
        <v>600661</v>
      </c>
      <c r="C560" t="s">
        <v>1335</v>
      </c>
      <c r="D560" t="s">
        <v>1336</v>
      </c>
      <c r="F560">
        <v>171294842</v>
      </c>
      <c r="G560">
        <v>561279162</v>
      </c>
      <c r="H560">
        <v>915066387</v>
      </c>
      <c r="I560">
        <v>1270576984</v>
      </c>
      <c r="J560">
        <v>1560906499</v>
      </c>
      <c r="K560">
        <v>936878808</v>
      </c>
      <c r="L560">
        <v>837041462</v>
      </c>
      <c r="M560">
        <v>831087062</v>
      </c>
      <c r="N560">
        <v>350737156</v>
      </c>
      <c r="O560">
        <v>370870231</v>
      </c>
      <c r="P560">
        <v>147</v>
      </c>
      <c r="Q560" t="s">
        <v>1337</v>
      </c>
    </row>
    <row r="561" spans="1:17" x14ac:dyDescent="0.3">
      <c r="A561" t="s">
        <v>17</v>
      </c>
      <c r="B561" t="str">
        <f>"600662"</f>
        <v>600662</v>
      </c>
      <c r="C561" t="s">
        <v>1338</v>
      </c>
      <c r="D561" t="s">
        <v>1133</v>
      </c>
      <c r="F561">
        <v>3798416970</v>
      </c>
      <c r="G561">
        <v>3236109632</v>
      </c>
      <c r="H561">
        <v>3220269336</v>
      </c>
      <c r="I561">
        <v>3255006963</v>
      </c>
      <c r="J561">
        <v>3253468406</v>
      </c>
      <c r="K561">
        <v>3257450778</v>
      </c>
      <c r="L561">
        <v>3178469895</v>
      </c>
      <c r="M561">
        <v>3104673689</v>
      </c>
      <c r="N561">
        <v>2975567980</v>
      </c>
      <c r="O561">
        <v>2937918717</v>
      </c>
      <c r="P561">
        <v>130</v>
      </c>
      <c r="Q561" t="s">
        <v>1339</v>
      </c>
    </row>
    <row r="562" spans="1:17" x14ac:dyDescent="0.3">
      <c r="A562" t="s">
        <v>17</v>
      </c>
      <c r="B562" t="str">
        <f>"600663"</f>
        <v>600663</v>
      </c>
      <c r="C562" t="s">
        <v>1340</v>
      </c>
      <c r="D562" t="s">
        <v>30</v>
      </c>
      <c r="F562">
        <v>22573247321</v>
      </c>
      <c r="G562">
        <v>20264490290</v>
      </c>
      <c r="H562">
        <v>18119232085</v>
      </c>
      <c r="I562">
        <v>16094931706</v>
      </c>
      <c r="J562">
        <v>14319141353</v>
      </c>
      <c r="K562">
        <v>13657625662</v>
      </c>
      <c r="L562">
        <v>12997262377</v>
      </c>
      <c r="M562">
        <v>11528528439</v>
      </c>
      <c r="N562">
        <v>11271633954</v>
      </c>
      <c r="O562">
        <v>11584310835</v>
      </c>
      <c r="P562">
        <v>700</v>
      </c>
      <c r="Q562" t="s">
        <v>1341</v>
      </c>
    </row>
    <row r="563" spans="1:17" x14ac:dyDescent="0.3">
      <c r="A563" t="s">
        <v>17</v>
      </c>
      <c r="B563" t="str">
        <f>"600664"</f>
        <v>600664</v>
      </c>
      <c r="C563" t="s">
        <v>1342</v>
      </c>
      <c r="D563" t="s">
        <v>143</v>
      </c>
      <c r="F563">
        <v>3847233623</v>
      </c>
      <c r="G563">
        <v>3479645543</v>
      </c>
      <c r="H563">
        <v>5456565308</v>
      </c>
      <c r="I563">
        <v>5865429231</v>
      </c>
      <c r="J563">
        <v>7051573766</v>
      </c>
      <c r="K563">
        <v>7852480238</v>
      </c>
      <c r="L563">
        <v>7052867901</v>
      </c>
      <c r="M563">
        <v>8238165152</v>
      </c>
      <c r="N563">
        <v>8149874897</v>
      </c>
      <c r="O563">
        <v>7956428588</v>
      </c>
      <c r="P563">
        <v>499</v>
      </c>
      <c r="Q563" t="s">
        <v>1343</v>
      </c>
    </row>
    <row r="564" spans="1:17" x14ac:dyDescent="0.3">
      <c r="A564" t="s">
        <v>17</v>
      </c>
      <c r="B564" t="str">
        <f>"600665"</f>
        <v>600665</v>
      </c>
      <c r="C564" t="s">
        <v>1344</v>
      </c>
      <c r="D564" t="s">
        <v>104</v>
      </c>
      <c r="F564">
        <v>4158459693</v>
      </c>
      <c r="G564">
        <v>3912939767</v>
      </c>
      <c r="H564">
        <v>3689864141</v>
      </c>
      <c r="I564">
        <v>3389094108</v>
      </c>
      <c r="J564">
        <v>3045555196</v>
      </c>
      <c r="K564">
        <v>2860574403</v>
      </c>
      <c r="L564">
        <v>2699367576</v>
      </c>
      <c r="M564">
        <v>2583178358</v>
      </c>
      <c r="N564">
        <v>2374895118</v>
      </c>
      <c r="O564">
        <v>2181918017</v>
      </c>
      <c r="P564">
        <v>455</v>
      </c>
      <c r="Q564" t="s">
        <v>1345</v>
      </c>
    </row>
    <row r="565" spans="1:17" x14ac:dyDescent="0.3">
      <c r="A565" t="s">
        <v>17</v>
      </c>
      <c r="B565" t="str">
        <f>"600666"</f>
        <v>600666</v>
      </c>
      <c r="C565" t="s">
        <v>1346</v>
      </c>
      <c r="D565" t="s">
        <v>1117</v>
      </c>
      <c r="F565">
        <v>-311367284</v>
      </c>
      <c r="G565">
        <v>56858206</v>
      </c>
      <c r="H565">
        <v>741774038</v>
      </c>
      <c r="I565">
        <v>674633688</v>
      </c>
      <c r="J565">
        <v>2415963559</v>
      </c>
      <c r="K565">
        <v>2440040245</v>
      </c>
      <c r="L565">
        <v>2114795411</v>
      </c>
      <c r="M565">
        <v>397074262</v>
      </c>
      <c r="N565">
        <v>428953287</v>
      </c>
      <c r="O565">
        <v>433511145</v>
      </c>
      <c r="P565">
        <v>75</v>
      </c>
      <c r="Q565" t="s">
        <v>1347</v>
      </c>
    </row>
    <row r="566" spans="1:17" x14ac:dyDescent="0.3">
      <c r="A566" t="s">
        <v>17</v>
      </c>
      <c r="B566" t="str">
        <f>"600667"</f>
        <v>600667</v>
      </c>
      <c r="C566" t="s">
        <v>1348</v>
      </c>
      <c r="D566" t="s">
        <v>1180</v>
      </c>
      <c r="F566">
        <v>8029920344</v>
      </c>
      <c r="G566">
        <v>7421494170</v>
      </c>
      <c r="H566">
        <v>6827514383</v>
      </c>
      <c r="I566">
        <v>6435748271</v>
      </c>
      <c r="J566">
        <v>6169699837</v>
      </c>
      <c r="K566">
        <v>3895933370</v>
      </c>
      <c r="L566">
        <v>1625538335</v>
      </c>
      <c r="M566">
        <v>1566627909</v>
      </c>
      <c r="N566">
        <v>1559975399</v>
      </c>
      <c r="O566">
        <v>1570415257</v>
      </c>
      <c r="P566">
        <v>445</v>
      </c>
      <c r="Q566" t="s">
        <v>1349</v>
      </c>
    </row>
    <row r="567" spans="1:17" x14ac:dyDescent="0.3">
      <c r="A567" t="s">
        <v>17</v>
      </c>
      <c r="B567" t="str">
        <f>"600668"</f>
        <v>600668</v>
      </c>
      <c r="C567" t="s">
        <v>1350</v>
      </c>
      <c r="D567" t="s">
        <v>110</v>
      </c>
      <c r="F567">
        <v>5207036165</v>
      </c>
      <c r="G567">
        <v>4435499963</v>
      </c>
      <c r="H567">
        <v>3789109867</v>
      </c>
      <c r="I567">
        <v>3162706749</v>
      </c>
      <c r="J567">
        <v>2627318889</v>
      </c>
      <c r="K567">
        <v>2385676930</v>
      </c>
      <c r="L567">
        <v>2166289518</v>
      </c>
      <c r="M567">
        <v>2060701100</v>
      </c>
      <c r="N567">
        <v>1736997593</v>
      </c>
      <c r="O567">
        <v>1514999219</v>
      </c>
      <c r="P567">
        <v>343</v>
      </c>
      <c r="Q567" t="s">
        <v>1351</v>
      </c>
    </row>
    <row r="568" spans="1:17" x14ac:dyDescent="0.3">
      <c r="A568" t="s">
        <v>17</v>
      </c>
      <c r="B568" t="str">
        <f>"600669"</f>
        <v>600669</v>
      </c>
      <c r="C568" t="s">
        <v>1352</v>
      </c>
      <c r="K568">
        <v>-835267.34</v>
      </c>
      <c r="L568">
        <v>-890931.84</v>
      </c>
      <c r="P568">
        <v>2</v>
      </c>
      <c r="Q568" t="s">
        <v>1353</v>
      </c>
    </row>
    <row r="569" spans="1:17" x14ac:dyDescent="0.3">
      <c r="A569" t="s">
        <v>17</v>
      </c>
      <c r="B569" t="str">
        <f>"600670"</f>
        <v>600670</v>
      </c>
      <c r="C569" t="s">
        <v>1354</v>
      </c>
      <c r="K569">
        <v>14887855.789999999</v>
      </c>
      <c r="L569">
        <v>-85598949.290000007</v>
      </c>
      <c r="N569">
        <v>-149918759.22999999</v>
      </c>
      <c r="O569">
        <v>-150304746.28</v>
      </c>
      <c r="P569">
        <v>2</v>
      </c>
      <c r="Q569" t="s">
        <v>1355</v>
      </c>
    </row>
    <row r="570" spans="1:17" x14ac:dyDescent="0.3">
      <c r="A570" t="s">
        <v>17</v>
      </c>
      <c r="B570" t="str">
        <f>"600671"</f>
        <v>600671</v>
      </c>
      <c r="C570" t="s">
        <v>1356</v>
      </c>
      <c r="D570" t="s">
        <v>188</v>
      </c>
      <c r="F570">
        <v>45184018</v>
      </c>
      <c r="G570">
        <v>72843449</v>
      </c>
      <c r="H570">
        <v>106023674</v>
      </c>
      <c r="I570">
        <v>56273020</v>
      </c>
      <c r="J570">
        <v>66149372</v>
      </c>
      <c r="K570">
        <v>58970296</v>
      </c>
      <c r="L570">
        <v>57193111</v>
      </c>
      <c r="M570">
        <v>81650167</v>
      </c>
      <c r="N570">
        <v>81280078</v>
      </c>
      <c r="O570">
        <v>79171658</v>
      </c>
      <c r="P570">
        <v>104</v>
      </c>
      <c r="Q570" t="s">
        <v>1357</v>
      </c>
    </row>
    <row r="571" spans="1:17" x14ac:dyDescent="0.3">
      <c r="A571" t="s">
        <v>17</v>
      </c>
      <c r="B571" t="str">
        <f>"600672"</f>
        <v>600672</v>
      </c>
      <c r="C571" t="s">
        <v>1358</v>
      </c>
      <c r="K571">
        <v>49009736.149999999</v>
      </c>
      <c r="L571">
        <v>45539933.920000002</v>
      </c>
      <c r="M571">
        <v>-735243265.08000004</v>
      </c>
      <c r="N571">
        <v>-735134090.85000002</v>
      </c>
      <c r="P571">
        <v>2</v>
      </c>
      <c r="Q571" t="s">
        <v>1359</v>
      </c>
    </row>
    <row r="572" spans="1:17" x14ac:dyDescent="0.3">
      <c r="A572" t="s">
        <v>17</v>
      </c>
      <c r="B572" t="str">
        <f>"600673"</f>
        <v>600673</v>
      </c>
      <c r="C572" t="s">
        <v>1360</v>
      </c>
      <c r="D572" t="s">
        <v>143</v>
      </c>
      <c r="F572">
        <v>8669656742</v>
      </c>
      <c r="G572">
        <v>6986558181</v>
      </c>
      <c r="H572">
        <v>6925128623</v>
      </c>
      <c r="I572">
        <v>6800169849</v>
      </c>
      <c r="J572">
        <v>4300047984</v>
      </c>
      <c r="K572">
        <v>3634549915</v>
      </c>
      <c r="L572">
        <v>3596957541</v>
      </c>
      <c r="M572">
        <v>3567683217</v>
      </c>
      <c r="N572">
        <v>2452609208</v>
      </c>
      <c r="O572">
        <v>2593372527</v>
      </c>
      <c r="P572">
        <v>274</v>
      </c>
      <c r="Q572" t="s">
        <v>1361</v>
      </c>
    </row>
    <row r="573" spans="1:17" x14ac:dyDescent="0.3">
      <c r="A573" t="s">
        <v>17</v>
      </c>
      <c r="B573" t="str">
        <f>"600674"</f>
        <v>600674</v>
      </c>
      <c r="C573" t="s">
        <v>1362</v>
      </c>
      <c r="D573" t="s">
        <v>66</v>
      </c>
      <c r="F573">
        <v>30585001418</v>
      </c>
      <c r="G573">
        <v>28126806271</v>
      </c>
      <c r="H573">
        <v>26460080707</v>
      </c>
      <c r="I573">
        <v>24832331889</v>
      </c>
      <c r="J573">
        <v>22473906633</v>
      </c>
      <c r="K573">
        <v>20529479182</v>
      </c>
      <c r="L573">
        <v>18203533561</v>
      </c>
      <c r="M573">
        <v>15037271030</v>
      </c>
      <c r="N573">
        <v>10487612419</v>
      </c>
      <c r="O573">
        <v>8499524840</v>
      </c>
      <c r="P573">
        <v>1531</v>
      </c>
      <c r="Q573" t="s">
        <v>1363</v>
      </c>
    </row>
    <row r="574" spans="1:17" x14ac:dyDescent="0.3">
      <c r="A574" t="s">
        <v>17</v>
      </c>
      <c r="B574" t="str">
        <f>"600675"</f>
        <v>600675</v>
      </c>
      <c r="C574" t="s">
        <v>1364</v>
      </c>
      <c r="D574" t="s">
        <v>104</v>
      </c>
      <c r="F574">
        <v>15532513211</v>
      </c>
      <c r="G574">
        <v>15723989581</v>
      </c>
      <c r="H574">
        <v>15177847316</v>
      </c>
      <c r="I574">
        <v>13740486046</v>
      </c>
      <c r="J574">
        <v>3609779482</v>
      </c>
      <c r="K574">
        <v>3258529884</v>
      </c>
      <c r="L574">
        <v>2719123633</v>
      </c>
      <c r="M574">
        <v>5080439738</v>
      </c>
      <c r="N574">
        <v>5735471510</v>
      </c>
      <c r="O574">
        <v>5683883408</v>
      </c>
      <c r="P574">
        <v>186</v>
      </c>
      <c r="Q574" t="s">
        <v>1365</v>
      </c>
    </row>
    <row r="575" spans="1:17" x14ac:dyDescent="0.3">
      <c r="A575" t="s">
        <v>17</v>
      </c>
      <c r="B575" t="str">
        <f>"600676"</f>
        <v>600676</v>
      </c>
      <c r="C575" t="s">
        <v>1366</v>
      </c>
      <c r="D575" t="s">
        <v>110</v>
      </c>
      <c r="F575">
        <v>5496064567</v>
      </c>
      <c r="G575">
        <v>5592818763</v>
      </c>
      <c r="H575">
        <v>5836785240</v>
      </c>
      <c r="I575">
        <v>5810576483</v>
      </c>
      <c r="J575">
        <v>5628699223</v>
      </c>
      <c r="K575">
        <v>5324164053</v>
      </c>
      <c r="L575">
        <v>3711333483</v>
      </c>
      <c r="M575">
        <v>3472845743</v>
      </c>
      <c r="N575">
        <v>3171351235</v>
      </c>
      <c r="O575">
        <v>2957843484</v>
      </c>
      <c r="P575">
        <v>88</v>
      </c>
      <c r="Q575" t="s">
        <v>1367</v>
      </c>
    </row>
    <row r="576" spans="1:17" x14ac:dyDescent="0.3">
      <c r="A576" t="s">
        <v>17</v>
      </c>
      <c r="B576" t="str">
        <f>"600677"</f>
        <v>600677</v>
      </c>
      <c r="C576" t="s">
        <v>1368</v>
      </c>
      <c r="H576">
        <v>-147461434</v>
      </c>
      <c r="I576">
        <v>-49005465</v>
      </c>
      <c r="J576">
        <v>1458153671</v>
      </c>
      <c r="K576">
        <v>1981344465</v>
      </c>
      <c r="L576">
        <v>3105412919</v>
      </c>
      <c r="M576">
        <v>1538009175</v>
      </c>
      <c r="N576">
        <v>1790942872</v>
      </c>
      <c r="O576">
        <v>1044919456</v>
      </c>
      <c r="P576">
        <v>77</v>
      </c>
      <c r="Q576" t="s">
        <v>1369</v>
      </c>
    </row>
    <row r="577" spans="1:17" x14ac:dyDescent="0.3">
      <c r="A577" t="s">
        <v>17</v>
      </c>
      <c r="B577" t="str">
        <f>"600678"</f>
        <v>600678</v>
      </c>
      <c r="C577" t="s">
        <v>1370</v>
      </c>
      <c r="D577" t="s">
        <v>731</v>
      </c>
      <c r="F577">
        <v>241960819</v>
      </c>
      <c r="G577">
        <v>161899245</v>
      </c>
      <c r="H577">
        <v>121380773</v>
      </c>
      <c r="I577">
        <v>68647421</v>
      </c>
      <c r="J577">
        <v>28000423</v>
      </c>
      <c r="K577">
        <v>2656069</v>
      </c>
      <c r="L577">
        <v>28185981</v>
      </c>
      <c r="M577">
        <v>23579242</v>
      </c>
      <c r="N577">
        <v>59945800</v>
      </c>
      <c r="O577">
        <v>53284339</v>
      </c>
      <c r="P577">
        <v>194</v>
      </c>
      <c r="Q577" t="s">
        <v>1371</v>
      </c>
    </row>
    <row r="578" spans="1:17" x14ac:dyDescent="0.3">
      <c r="A578" t="s">
        <v>17</v>
      </c>
      <c r="B578" t="str">
        <f>"600679"</f>
        <v>600679</v>
      </c>
      <c r="C578" t="s">
        <v>1372</v>
      </c>
      <c r="D578" t="s">
        <v>233</v>
      </c>
      <c r="F578">
        <v>2469491371</v>
      </c>
      <c r="G578">
        <v>1901516655</v>
      </c>
      <c r="H578">
        <v>1374566185</v>
      </c>
      <c r="I578">
        <v>1338751999</v>
      </c>
      <c r="J578">
        <v>1338377474</v>
      </c>
      <c r="K578">
        <v>1262955703</v>
      </c>
      <c r="L578">
        <v>1218591016</v>
      </c>
      <c r="M578">
        <v>664862198</v>
      </c>
      <c r="N578">
        <v>595138436</v>
      </c>
      <c r="O578">
        <v>589427418</v>
      </c>
      <c r="P578">
        <v>77</v>
      </c>
      <c r="Q578" t="s">
        <v>1373</v>
      </c>
    </row>
    <row r="579" spans="1:17" x14ac:dyDescent="0.3">
      <c r="A579" t="s">
        <v>17</v>
      </c>
      <c r="B579" t="str">
        <f>"600680"</f>
        <v>600680</v>
      </c>
      <c r="C579" t="s">
        <v>1374</v>
      </c>
      <c r="H579">
        <v>15692370</v>
      </c>
      <c r="I579">
        <v>166073222</v>
      </c>
      <c r="J579">
        <v>365008142</v>
      </c>
      <c r="K579">
        <v>799866850</v>
      </c>
      <c r="L579">
        <v>1272129594.0799999</v>
      </c>
      <c r="M579">
        <v>1371715450.74</v>
      </c>
      <c r="N579">
        <v>1358456452.0699999</v>
      </c>
      <c r="O579">
        <v>1343220480.9200001</v>
      </c>
      <c r="P579">
        <v>20</v>
      </c>
      <c r="Q579" t="s">
        <v>1375</v>
      </c>
    </row>
    <row r="580" spans="1:17" x14ac:dyDescent="0.3">
      <c r="A580" t="s">
        <v>17</v>
      </c>
      <c r="B580" t="str">
        <f>"600681"</f>
        <v>600681</v>
      </c>
      <c r="C580" t="s">
        <v>1376</v>
      </c>
      <c r="D580" t="s">
        <v>749</v>
      </c>
      <c r="F580">
        <v>3909610965</v>
      </c>
      <c r="G580">
        <v>4237859334</v>
      </c>
      <c r="H580">
        <v>4516606818</v>
      </c>
      <c r="I580">
        <v>4482415530</v>
      </c>
      <c r="J580">
        <v>3908713314</v>
      </c>
      <c r="K580">
        <v>2134320586</v>
      </c>
      <c r="L580">
        <v>23777087</v>
      </c>
      <c r="M580">
        <v>20516572</v>
      </c>
      <c r="N580">
        <v>18419674</v>
      </c>
      <c r="O580">
        <v>24090441</v>
      </c>
      <c r="P580">
        <v>472</v>
      </c>
      <c r="Q580" t="s">
        <v>1377</v>
      </c>
    </row>
    <row r="581" spans="1:17" x14ac:dyDescent="0.3">
      <c r="A581" t="s">
        <v>17</v>
      </c>
      <c r="B581" t="str">
        <f>"600682"</f>
        <v>600682</v>
      </c>
      <c r="C581" t="s">
        <v>1378</v>
      </c>
      <c r="D581" t="s">
        <v>1379</v>
      </c>
      <c r="F581">
        <v>17183697414</v>
      </c>
      <c r="G581">
        <v>16143925833</v>
      </c>
      <c r="H581">
        <v>15594419984</v>
      </c>
      <c r="I581">
        <v>13237449241</v>
      </c>
      <c r="J581">
        <v>8009173343</v>
      </c>
      <c r="K581">
        <v>2614462936</v>
      </c>
      <c r="L581">
        <v>2379390810</v>
      </c>
      <c r="M581">
        <v>1767472798</v>
      </c>
      <c r="N581">
        <v>1391303613</v>
      </c>
      <c r="O581">
        <v>1268755138</v>
      </c>
      <c r="P581">
        <v>237</v>
      </c>
      <c r="Q581" t="s">
        <v>1380</v>
      </c>
    </row>
    <row r="582" spans="1:17" x14ac:dyDescent="0.3">
      <c r="A582" t="s">
        <v>17</v>
      </c>
      <c r="B582" t="str">
        <f>"600683"</f>
        <v>600683</v>
      </c>
      <c r="C582" t="s">
        <v>1381</v>
      </c>
      <c r="D582" t="s">
        <v>104</v>
      </c>
      <c r="F582">
        <v>3143487928</v>
      </c>
      <c r="G582">
        <v>3390363970</v>
      </c>
      <c r="H582">
        <v>2687037543</v>
      </c>
      <c r="I582">
        <v>2563225128</v>
      </c>
      <c r="J582">
        <v>2351382875</v>
      </c>
      <c r="K582">
        <v>2177791414</v>
      </c>
      <c r="L582">
        <v>1983629091</v>
      </c>
      <c r="M582">
        <v>1868241978</v>
      </c>
      <c r="N582">
        <v>1866061109</v>
      </c>
      <c r="O582">
        <v>1839682851</v>
      </c>
      <c r="P582">
        <v>224</v>
      </c>
      <c r="Q582" t="s">
        <v>1382</v>
      </c>
    </row>
    <row r="583" spans="1:17" x14ac:dyDescent="0.3">
      <c r="A583" t="s">
        <v>17</v>
      </c>
      <c r="B583" t="str">
        <f>"600684"</f>
        <v>600684</v>
      </c>
      <c r="C583" t="s">
        <v>1383</v>
      </c>
      <c r="D583" t="s">
        <v>104</v>
      </c>
      <c r="F583">
        <v>2169785278</v>
      </c>
      <c r="G583">
        <v>2108774708</v>
      </c>
      <c r="H583">
        <v>3214475780</v>
      </c>
      <c r="I583">
        <v>3100804126</v>
      </c>
      <c r="J583">
        <v>2898026770</v>
      </c>
      <c r="K583">
        <v>2577841094</v>
      </c>
      <c r="L583">
        <v>2301567480</v>
      </c>
      <c r="M583">
        <v>2071674158</v>
      </c>
      <c r="N583">
        <v>1830913089</v>
      </c>
      <c r="O583">
        <v>1447722137</v>
      </c>
      <c r="P583">
        <v>124</v>
      </c>
      <c r="Q583" t="s">
        <v>1384</v>
      </c>
    </row>
    <row r="584" spans="1:17" x14ac:dyDescent="0.3">
      <c r="A584" t="s">
        <v>17</v>
      </c>
      <c r="B584" t="str">
        <f>"600685"</f>
        <v>600685</v>
      </c>
      <c r="C584" t="s">
        <v>1385</v>
      </c>
      <c r="D584" t="s">
        <v>167</v>
      </c>
      <c r="F584">
        <v>15524746801</v>
      </c>
      <c r="G584">
        <v>14432091547</v>
      </c>
      <c r="H584">
        <v>10148256839</v>
      </c>
      <c r="I584">
        <v>9727437689</v>
      </c>
      <c r="J584">
        <v>10414542659</v>
      </c>
      <c r="K584">
        <v>10347803099</v>
      </c>
      <c r="L584">
        <v>10318048242</v>
      </c>
      <c r="M584">
        <v>5629276024</v>
      </c>
      <c r="N584">
        <v>3903599341</v>
      </c>
      <c r="O584">
        <v>4145114473</v>
      </c>
      <c r="P584">
        <v>263</v>
      </c>
      <c r="Q584" t="s">
        <v>1386</v>
      </c>
    </row>
    <row r="585" spans="1:17" x14ac:dyDescent="0.3">
      <c r="A585" t="s">
        <v>17</v>
      </c>
      <c r="B585" t="str">
        <f>"600686"</f>
        <v>600686</v>
      </c>
      <c r="C585" t="s">
        <v>1387</v>
      </c>
      <c r="D585" t="s">
        <v>153</v>
      </c>
      <c r="F585">
        <v>3557899628</v>
      </c>
      <c r="G585">
        <v>4208525998</v>
      </c>
      <c r="H585">
        <v>3534311617</v>
      </c>
      <c r="I585">
        <v>3284762058</v>
      </c>
      <c r="J585">
        <v>3527231340</v>
      </c>
      <c r="K585">
        <v>3067930488</v>
      </c>
      <c r="L585">
        <v>3879086482</v>
      </c>
      <c r="M585">
        <v>2435308398</v>
      </c>
      <c r="N585">
        <v>2274501175</v>
      </c>
      <c r="O585">
        <v>2101236566</v>
      </c>
      <c r="P585">
        <v>177</v>
      </c>
      <c r="Q585" t="s">
        <v>1388</v>
      </c>
    </row>
    <row r="586" spans="1:17" x14ac:dyDescent="0.3">
      <c r="A586" t="s">
        <v>17</v>
      </c>
      <c r="B586" t="str">
        <f>"600687"</f>
        <v>600687</v>
      </c>
      <c r="C586" t="s">
        <v>1389</v>
      </c>
      <c r="H586">
        <v>1506048438</v>
      </c>
      <c r="I586">
        <v>4875755272</v>
      </c>
      <c r="J586">
        <v>6098793292</v>
      </c>
      <c r="K586">
        <v>5613461313</v>
      </c>
      <c r="L586">
        <v>5173121767</v>
      </c>
      <c r="M586">
        <v>1606926142</v>
      </c>
      <c r="N586">
        <v>1383555775</v>
      </c>
      <c r="O586">
        <v>361355759</v>
      </c>
      <c r="P586">
        <v>58</v>
      </c>
      <c r="Q586" t="s">
        <v>1390</v>
      </c>
    </row>
    <row r="587" spans="1:17" x14ac:dyDescent="0.3">
      <c r="A587" t="s">
        <v>17</v>
      </c>
      <c r="B587" t="str">
        <f>"600688"</f>
        <v>600688</v>
      </c>
      <c r="C587" t="s">
        <v>1391</v>
      </c>
      <c r="D587" t="s">
        <v>74</v>
      </c>
      <c r="F587">
        <v>30260172000</v>
      </c>
      <c r="G587">
        <v>29218033000</v>
      </c>
      <c r="H587">
        <v>29885341000</v>
      </c>
      <c r="I587">
        <v>30370126000</v>
      </c>
      <c r="J587">
        <v>28256306000</v>
      </c>
      <c r="K587">
        <v>24750048000</v>
      </c>
      <c r="L587">
        <v>19838862000</v>
      </c>
      <c r="M587">
        <v>16570623000</v>
      </c>
      <c r="N587">
        <v>17831617000</v>
      </c>
      <c r="O587">
        <v>16190419000</v>
      </c>
      <c r="P587">
        <v>585</v>
      </c>
      <c r="Q587" t="s">
        <v>1392</v>
      </c>
    </row>
    <row r="588" spans="1:17" x14ac:dyDescent="0.3">
      <c r="A588" t="s">
        <v>17</v>
      </c>
      <c r="B588" t="str">
        <f>"600689"</f>
        <v>600689</v>
      </c>
      <c r="C588" t="s">
        <v>1393</v>
      </c>
      <c r="D588" t="s">
        <v>366</v>
      </c>
      <c r="F588">
        <v>438500500</v>
      </c>
      <c r="G588">
        <v>426690530</v>
      </c>
      <c r="H588">
        <v>464754450</v>
      </c>
      <c r="I588">
        <v>459956578</v>
      </c>
      <c r="J588">
        <v>458916748</v>
      </c>
      <c r="K588">
        <v>423832442</v>
      </c>
      <c r="L588">
        <v>323206257</v>
      </c>
      <c r="M588">
        <v>406069920</v>
      </c>
      <c r="N588">
        <v>318415161</v>
      </c>
      <c r="O588">
        <v>362555641</v>
      </c>
      <c r="P588">
        <v>74</v>
      </c>
      <c r="Q588" t="s">
        <v>1394</v>
      </c>
    </row>
    <row r="589" spans="1:17" x14ac:dyDescent="0.3">
      <c r="A589" t="s">
        <v>17</v>
      </c>
      <c r="B589" t="str">
        <f>"600690"</f>
        <v>600690</v>
      </c>
      <c r="C589" t="s">
        <v>1395</v>
      </c>
      <c r="D589" t="s">
        <v>754</v>
      </c>
      <c r="F589">
        <v>79692909818</v>
      </c>
      <c r="G589">
        <v>64452227281</v>
      </c>
      <c r="H589">
        <v>47456895242</v>
      </c>
      <c r="I589">
        <v>38497865003</v>
      </c>
      <c r="J589">
        <v>31784090677</v>
      </c>
      <c r="K589">
        <v>26364725410</v>
      </c>
      <c r="L589">
        <v>22693976161</v>
      </c>
      <c r="M589">
        <v>21840024641</v>
      </c>
      <c r="N589">
        <v>14467102503</v>
      </c>
      <c r="O589">
        <v>11128546487</v>
      </c>
      <c r="P589">
        <v>41083</v>
      </c>
      <c r="Q589" t="s">
        <v>1396</v>
      </c>
    </row>
    <row r="590" spans="1:17" x14ac:dyDescent="0.3">
      <c r="A590" t="s">
        <v>17</v>
      </c>
      <c r="B590" t="str">
        <f>"600691"</f>
        <v>600691</v>
      </c>
      <c r="C590" t="s">
        <v>1397</v>
      </c>
      <c r="D590" t="s">
        <v>909</v>
      </c>
      <c r="F590">
        <v>5967216164</v>
      </c>
      <c r="G590">
        <v>5532842251</v>
      </c>
      <c r="H590">
        <v>5410263846</v>
      </c>
      <c r="I590">
        <v>5930417398</v>
      </c>
      <c r="J590">
        <v>3829103346</v>
      </c>
      <c r="K590">
        <v>3694503181</v>
      </c>
      <c r="L590">
        <v>4594452351</v>
      </c>
      <c r="M590">
        <v>4548599099</v>
      </c>
      <c r="N590">
        <v>4472276112</v>
      </c>
      <c r="O590">
        <v>4528966189</v>
      </c>
      <c r="P590">
        <v>130</v>
      </c>
      <c r="Q590" t="s">
        <v>1398</v>
      </c>
    </row>
    <row r="591" spans="1:17" x14ac:dyDescent="0.3">
      <c r="A591" t="s">
        <v>17</v>
      </c>
      <c r="B591" t="str">
        <f>"600692"</f>
        <v>600692</v>
      </c>
      <c r="C591" t="s">
        <v>1399</v>
      </c>
      <c r="D591" t="s">
        <v>104</v>
      </c>
      <c r="F591">
        <v>925831476</v>
      </c>
      <c r="G591">
        <v>880816311</v>
      </c>
      <c r="H591">
        <v>820708738</v>
      </c>
      <c r="I591">
        <v>740951502</v>
      </c>
      <c r="J591">
        <v>697920868</v>
      </c>
      <c r="K591">
        <v>634029931</v>
      </c>
      <c r="L591">
        <v>586908689</v>
      </c>
      <c r="M591">
        <v>545684474</v>
      </c>
      <c r="N591">
        <v>507389840</v>
      </c>
      <c r="O591">
        <v>481265988</v>
      </c>
      <c r="P591">
        <v>76</v>
      </c>
      <c r="Q591" t="s">
        <v>1400</v>
      </c>
    </row>
    <row r="592" spans="1:17" x14ac:dyDescent="0.3">
      <c r="A592" t="s">
        <v>17</v>
      </c>
      <c r="B592" t="str">
        <f>"600693"</f>
        <v>600693</v>
      </c>
      <c r="C592" t="s">
        <v>1401</v>
      </c>
      <c r="D592" t="s">
        <v>633</v>
      </c>
      <c r="F592">
        <v>3435327102</v>
      </c>
      <c r="G592">
        <v>3645449212</v>
      </c>
      <c r="H592">
        <v>2499934975</v>
      </c>
      <c r="I592">
        <v>2317882755</v>
      </c>
      <c r="J592">
        <v>2160545584</v>
      </c>
      <c r="K592">
        <v>1913522714</v>
      </c>
      <c r="L592">
        <v>1812485104</v>
      </c>
      <c r="M592">
        <v>1212843031</v>
      </c>
      <c r="N592">
        <v>1066604623</v>
      </c>
      <c r="O592">
        <v>1009490012</v>
      </c>
      <c r="P592">
        <v>103</v>
      </c>
      <c r="Q592" t="s">
        <v>1402</v>
      </c>
    </row>
    <row r="593" spans="1:17" x14ac:dyDescent="0.3">
      <c r="A593" t="s">
        <v>17</v>
      </c>
      <c r="B593" t="str">
        <f>"600694"</f>
        <v>600694</v>
      </c>
      <c r="C593" t="s">
        <v>1403</v>
      </c>
      <c r="D593" t="s">
        <v>1404</v>
      </c>
      <c r="F593">
        <v>8835650918</v>
      </c>
      <c r="G593">
        <v>9268338984</v>
      </c>
      <c r="H593">
        <v>8995099499</v>
      </c>
      <c r="I593">
        <v>8079241544</v>
      </c>
      <c r="J593">
        <v>7355029337</v>
      </c>
      <c r="K593">
        <v>6942475627</v>
      </c>
      <c r="L593">
        <v>6389751600</v>
      </c>
      <c r="M593">
        <v>6097010895</v>
      </c>
      <c r="N593">
        <v>5313719918</v>
      </c>
      <c r="O593">
        <v>4428623165</v>
      </c>
      <c r="P593">
        <v>543</v>
      </c>
      <c r="Q593" t="s">
        <v>1405</v>
      </c>
    </row>
    <row r="594" spans="1:17" x14ac:dyDescent="0.3">
      <c r="A594" t="s">
        <v>17</v>
      </c>
      <c r="B594" t="str">
        <f>"600695"</f>
        <v>600695</v>
      </c>
      <c r="C594" t="s">
        <v>1406</v>
      </c>
      <c r="D594" t="s">
        <v>116</v>
      </c>
      <c r="F594">
        <v>650001627</v>
      </c>
      <c r="G594">
        <v>665719048</v>
      </c>
      <c r="H594">
        <v>705014849</v>
      </c>
      <c r="I594">
        <v>655174080</v>
      </c>
      <c r="J594">
        <v>693891523</v>
      </c>
      <c r="K594">
        <v>723623072</v>
      </c>
      <c r="L594">
        <v>777192205</v>
      </c>
      <c r="M594">
        <v>507936902</v>
      </c>
      <c r="N594">
        <v>407269813</v>
      </c>
      <c r="O594">
        <v>290172944</v>
      </c>
      <c r="P594">
        <v>74</v>
      </c>
      <c r="Q594" t="s">
        <v>1407</v>
      </c>
    </row>
    <row r="595" spans="1:17" x14ac:dyDescent="0.3">
      <c r="A595" t="s">
        <v>17</v>
      </c>
      <c r="B595" t="str">
        <f>"600696"</f>
        <v>600696</v>
      </c>
      <c r="C595" t="s">
        <v>1408</v>
      </c>
      <c r="D595" t="s">
        <v>110</v>
      </c>
      <c r="F595">
        <v>482400591</v>
      </c>
      <c r="G595">
        <v>309921166</v>
      </c>
      <c r="H595">
        <v>254827360</v>
      </c>
      <c r="I595">
        <v>296006254</v>
      </c>
      <c r="J595">
        <v>276632786</v>
      </c>
      <c r="K595">
        <v>44437880</v>
      </c>
      <c r="L595">
        <v>504213738</v>
      </c>
      <c r="M595">
        <v>595589328</v>
      </c>
      <c r="N595">
        <v>524513027</v>
      </c>
      <c r="O595">
        <v>515684777</v>
      </c>
      <c r="P595">
        <v>95</v>
      </c>
      <c r="Q595" t="s">
        <v>1409</v>
      </c>
    </row>
    <row r="596" spans="1:17" x14ac:dyDescent="0.3">
      <c r="A596" t="s">
        <v>17</v>
      </c>
      <c r="B596" t="str">
        <f>"600697"</f>
        <v>600697</v>
      </c>
      <c r="C596" t="s">
        <v>1410</v>
      </c>
      <c r="D596" t="s">
        <v>1404</v>
      </c>
      <c r="F596">
        <v>2599101497</v>
      </c>
      <c r="G596">
        <v>2655898124</v>
      </c>
      <c r="H596">
        <v>2626554151</v>
      </c>
      <c r="I596">
        <v>2499893164</v>
      </c>
      <c r="J596">
        <v>2337954971</v>
      </c>
      <c r="K596">
        <v>2128041127</v>
      </c>
      <c r="L596">
        <v>1868718594</v>
      </c>
      <c r="M596">
        <v>1590194338</v>
      </c>
      <c r="N596">
        <v>1343257563</v>
      </c>
      <c r="O596">
        <v>1144121436</v>
      </c>
      <c r="P596">
        <v>275</v>
      </c>
      <c r="Q596" t="s">
        <v>1411</v>
      </c>
    </row>
    <row r="597" spans="1:17" x14ac:dyDescent="0.3">
      <c r="A597" t="s">
        <v>17</v>
      </c>
      <c r="B597" t="str">
        <f>"600698"</f>
        <v>600698</v>
      </c>
      <c r="C597" t="s">
        <v>1412</v>
      </c>
      <c r="D597" t="s">
        <v>348</v>
      </c>
      <c r="F597">
        <v>788581187</v>
      </c>
      <c r="G597">
        <v>779429466</v>
      </c>
      <c r="H597">
        <v>762938111</v>
      </c>
      <c r="I597">
        <v>488340269</v>
      </c>
      <c r="J597">
        <v>577281057</v>
      </c>
      <c r="K597">
        <v>661319805</v>
      </c>
      <c r="L597">
        <v>651323532</v>
      </c>
      <c r="M597">
        <v>698238235</v>
      </c>
      <c r="N597">
        <v>683875415</v>
      </c>
      <c r="O597">
        <v>624853319</v>
      </c>
      <c r="P597">
        <v>93</v>
      </c>
      <c r="Q597" t="s">
        <v>1413</v>
      </c>
    </row>
    <row r="598" spans="1:17" x14ac:dyDescent="0.3">
      <c r="A598" t="s">
        <v>17</v>
      </c>
      <c r="B598" t="str">
        <f>"600699"</f>
        <v>600699</v>
      </c>
      <c r="C598" t="s">
        <v>1414</v>
      </c>
      <c r="D598" t="s">
        <v>1415</v>
      </c>
      <c r="F598">
        <v>11373274591</v>
      </c>
      <c r="G598">
        <v>15168987920</v>
      </c>
      <c r="H598">
        <v>12578193940</v>
      </c>
      <c r="I598">
        <v>12438093709</v>
      </c>
      <c r="J598">
        <v>12690213523</v>
      </c>
      <c r="K598">
        <v>12703408884</v>
      </c>
      <c r="L598">
        <v>3794230053</v>
      </c>
      <c r="M598">
        <v>2420335889</v>
      </c>
      <c r="N598">
        <v>2287876529</v>
      </c>
      <c r="O598">
        <v>1677211668</v>
      </c>
      <c r="P598">
        <v>958</v>
      </c>
      <c r="Q598" t="s">
        <v>1416</v>
      </c>
    </row>
    <row r="599" spans="1:17" x14ac:dyDescent="0.3">
      <c r="A599" t="s">
        <v>17</v>
      </c>
      <c r="B599" t="str">
        <f>"600700"</f>
        <v>600700</v>
      </c>
      <c r="C599" t="s">
        <v>1417</v>
      </c>
      <c r="K599">
        <v>-1296535607.0799999</v>
      </c>
      <c r="L599">
        <v>-1236806244.8499999</v>
      </c>
      <c r="M599">
        <v>-1177121788.27</v>
      </c>
      <c r="N599">
        <v>-1117304718.1600001</v>
      </c>
      <c r="O599">
        <v>-1057004599.22</v>
      </c>
      <c r="P599">
        <v>5</v>
      </c>
      <c r="Q599" t="s">
        <v>1418</v>
      </c>
    </row>
    <row r="600" spans="1:17" x14ac:dyDescent="0.3">
      <c r="A600" t="s">
        <v>17</v>
      </c>
      <c r="B600" t="str">
        <f>"600701"</f>
        <v>600701</v>
      </c>
      <c r="C600" t="s">
        <v>1419</v>
      </c>
      <c r="G600">
        <v>-5976813036</v>
      </c>
      <c r="H600">
        <v>-3952535592</v>
      </c>
      <c r="I600">
        <v>-44352453</v>
      </c>
      <c r="J600">
        <v>3579016674</v>
      </c>
      <c r="K600">
        <v>4201894109</v>
      </c>
      <c r="L600">
        <v>887358345</v>
      </c>
      <c r="M600">
        <v>905721076</v>
      </c>
      <c r="N600">
        <v>916234258</v>
      </c>
      <c r="O600">
        <v>908061112</v>
      </c>
      <c r="P600">
        <v>55</v>
      </c>
      <c r="Q600" t="s">
        <v>1420</v>
      </c>
    </row>
    <row r="601" spans="1:17" x14ac:dyDescent="0.3">
      <c r="A601" t="s">
        <v>17</v>
      </c>
      <c r="B601" t="str">
        <f>"600702"</f>
        <v>600702</v>
      </c>
      <c r="C601" t="s">
        <v>1421</v>
      </c>
      <c r="D601" t="s">
        <v>458</v>
      </c>
      <c r="F601">
        <v>4794122265</v>
      </c>
      <c r="G601">
        <v>3580178259</v>
      </c>
      <c r="H601">
        <v>3038055646</v>
      </c>
      <c r="I601">
        <v>2516035089</v>
      </c>
      <c r="J601">
        <v>2483961747</v>
      </c>
      <c r="K601">
        <v>2325321758</v>
      </c>
      <c r="L601">
        <v>2245832799</v>
      </c>
      <c r="M601">
        <v>2245450676</v>
      </c>
      <c r="N601">
        <v>2238807323</v>
      </c>
      <c r="O601">
        <v>2338342129</v>
      </c>
      <c r="P601">
        <v>1462</v>
      </c>
      <c r="Q601" t="s">
        <v>1422</v>
      </c>
    </row>
    <row r="602" spans="1:17" x14ac:dyDescent="0.3">
      <c r="A602" t="s">
        <v>17</v>
      </c>
      <c r="B602" t="str">
        <f>"600703"</f>
        <v>600703</v>
      </c>
      <c r="C602" t="s">
        <v>1423</v>
      </c>
      <c r="D602" t="s">
        <v>803</v>
      </c>
      <c r="F602">
        <v>30454423427</v>
      </c>
      <c r="G602">
        <v>29672063464</v>
      </c>
      <c r="H602">
        <v>21745258139</v>
      </c>
      <c r="I602">
        <v>21248879747</v>
      </c>
      <c r="J602">
        <v>19769165745</v>
      </c>
      <c r="K602">
        <v>17435812515</v>
      </c>
      <c r="L602">
        <v>15918589069</v>
      </c>
      <c r="M602">
        <v>11319486268</v>
      </c>
      <c r="N602">
        <v>6967504358</v>
      </c>
      <c r="O602">
        <v>6041716029</v>
      </c>
      <c r="P602">
        <v>2761</v>
      </c>
      <c r="Q602" t="s">
        <v>1424</v>
      </c>
    </row>
    <row r="603" spans="1:17" x14ac:dyDescent="0.3">
      <c r="A603" t="s">
        <v>17</v>
      </c>
      <c r="B603" t="str">
        <f>"600704"</f>
        <v>600704</v>
      </c>
      <c r="C603" t="s">
        <v>1425</v>
      </c>
      <c r="D603" t="s">
        <v>128</v>
      </c>
      <c r="F603">
        <v>28511953017</v>
      </c>
      <c r="G603">
        <v>24882136407</v>
      </c>
      <c r="H603">
        <v>23166756043</v>
      </c>
      <c r="I603">
        <v>17930118604</v>
      </c>
      <c r="J603">
        <v>18000675841</v>
      </c>
      <c r="K603">
        <v>16216583928</v>
      </c>
      <c r="L603">
        <v>14854793197</v>
      </c>
      <c r="M603">
        <v>5804505238</v>
      </c>
      <c r="N603">
        <v>4180961011</v>
      </c>
      <c r="O603">
        <v>3931088614</v>
      </c>
      <c r="P603">
        <v>749</v>
      </c>
      <c r="Q603" t="s">
        <v>1426</v>
      </c>
    </row>
    <row r="604" spans="1:17" x14ac:dyDescent="0.3">
      <c r="A604" t="s">
        <v>17</v>
      </c>
      <c r="B604" t="str">
        <f>"600705"</f>
        <v>600705</v>
      </c>
      <c r="C604" t="s">
        <v>1427</v>
      </c>
      <c r="D604" t="s">
        <v>140</v>
      </c>
      <c r="F604">
        <v>38582581295</v>
      </c>
      <c r="G604">
        <v>34359835289</v>
      </c>
      <c r="H604">
        <v>29882788501</v>
      </c>
      <c r="I604">
        <v>27709476759</v>
      </c>
      <c r="J604">
        <v>23263436364</v>
      </c>
      <c r="K604">
        <v>22237000360</v>
      </c>
      <c r="L604">
        <v>20914792060</v>
      </c>
      <c r="M604">
        <v>13452282965</v>
      </c>
      <c r="N604">
        <v>4993478801</v>
      </c>
      <c r="O604">
        <v>5304936257</v>
      </c>
      <c r="P604">
        <v>440</v>
      </c>
      <c r="Q604" t="s">
        <v>1428</v>
      </c>
    </row>
    <row r="605" spans="1:17" x14ac:dyDescent="0.3">
      <c r="A605" t="s">
        <v>17</v>
      </c>
      <c r="B605" t="str">
        <f>"600706"</f>
        <v>600706</v>
      </c>
      <c r="C605" t="s">
        <v>1429</v>
      </c>
      <c r="D605" t="s">
        <v>333</v>
      </c>
      <c r="F605">
        <v>1210495636</v>
      </c>
      <c r="G605">
        <v>981267389</v>
      </c>
      <c r="H605">
        <v>1056792656</v>
      </c>
      <c r="I605">
        <v>1024597444</v>
      </c>
      <c r="J605">
        <v>948499886</v>
      </c>
      <c r="K605">
        <v>886070669</v>
      </c>
      <c r="L605">
        <v>832669690</v>
      </c>
      <c r="M605">
        <v>784748046</v>
      </c>
      <c r="N605">
        <v>755670291</v>
      </c>
      <c r="O605">
        <v>670919179</v>
      </c>
      <c r="P605">
        <v>122</v>
      </c>
      <c r="Q605" t="s">
        <v>1430</v>
      </c>
    </row>
    <row r="606" spans="1:17" x14ac:dyDescent="0.3">
      <c r="A606" t="s">
        <v>17</v>
      </c>
      <c r="B606" t="str">
        <f>"600707"</f>
        <v>600707</v>
      </c>
      <c r="C606" t="s">
        <v>1431</v>
      </c>
      <c r="D606" t="s">
        <v>1117</v>
      </c>
      <c r="F606">
        <v>22323797120</v>
      </c>
      <c r="G606">
        <v>19677626942</v>
      </c>
      <c r="H606">
        <v>20485080513</v>
      </c>
      <c r="I606">
        <v>20420184077</v>
      </c>
      <c r="J606">
        <v>20409189678</v>
      </c>
      <c r="K606">
        <v>1299243573</v>
      </c>
      <c r="L606">
        <v>1562759703</v>
      </c>
      <c r="M606">
        <v>1411193871</v>
      </c>
      <c r="N606">
        <v>2044520469</v>
      </c>
      <c r="O606">
        <v>1969724839</v>
      </c>
      <c r="P606">
        <v>251</v>
      </c>
      <c r="Q606" t="s">
        <v>1432</v>
      </c>
    </row>
    <row r="607" spans="1:17" x14ac:dyDescent="0.3">
      <c r="A607" t="s">
        <v>17</v>
      </c>
      <c r="B607" t="str">
        <f>"600708"</f>
        <v>600708</v>
      </c>
      <c r="C607" t="s">
        <v>1433</v>
      </c>
      <c r="D607" t="s">
        <v>104</v>
      </c>
      <c r="F607">
        <v>10833784760</v>
      </c>
      <c r="G607">
        <v>10982042067</v>
      </c>
      <c r="H607">
        <v>11403834926</v>
      </c>
      <c r="I607">
        <v>11445465801</v>
      </c>
      <c r="J607">
        <v>10390498076</v>
      </c>
      <c r="K607">
        <v>8822179273</v>
      </c>
      <c r="L607">
        <v>7942753064</v>
      </c>
      <c r="M607">
        <v>1594495802</v>
      </c>
      <c r="N607">
        <v>1471546655</v>
      </c>
      <c r="O607">
        <v>1361903541</v>
      </c>
      <c r="P607">
        <v>677</v>
      </c>
      <c r="Q607" t="s">
        <v>1434</v>
      </c>
    </row>
    <row r="608" spans="1:17" x14ac:dyDescent="0.3">
      <c r="A608" t="s">
        <v>17</v>
      </c>
      <c r="B608" t="str">
        <f>"600709"</f>
        <v>600709</v>
      </c>
      <c r="C608" t="s">
        <v>1435</v>
      </c>
      <c r="K608">
        <v>143745906.56</v>
      </c>
      <c r="L608">
        <v>156744896.96000001</v>
      </c>
      <c r="M608">
        <v>155248855.44</v>
      </c>
      <c r="N608">
        <v>153850811.59</v>
      </c>
      <c r="P608">
        <v>4</v>
      </c>
      <c r="Q608" t="s">
        <v>1436</v>
      </c>
    </row>
    <row r="609" spans="1:17" x14ac:dyDescent="0.3">
      <c r="A609" t="s">
        <v>17</v>
      </c>
      <c r="B609" t="str">
        <f>"600710"</f>
        <v>600710</v>
      </c>
      <c r="C609" t="s">
        <v>1437</v>
      </c>
      <c r="D609" t="s">
        <v>131</v>
      </c>
      <c r="F609">
        <v>5660589853</v>
      </c>
      <c r="G609">
        <v>5219912195</v>
      </c>
      <c r="H609">
        <v>4824581323</v>
      </c>
      <c r="I609">
        <v>4422817355</v>
      </c>
      <c r="J609">
        <v>3991852247</v>
      </c>
      <c r="K609">
        <v>3715653345</v>
      </c>
      <c r="L609">
        <v>1162620159</v>
      </c>
      <c r="M609">
        <v>1690763520</v>
      </c>
      <c r="N609">
        <v>1871806737</v>
      </c>
      <c r="O609">
        <v>2087525482</v>
      </c>
      <c r="P609">
        <v>166</v>
      </c>
      <c r="Q609" t="s">
        <v>1438</v>
      </c>
    </row>
    <row r="610" spans="1:17" x14ac:dyDescent="0.3">
      <c r="A610" t="s">
        <v>17</v>
      </c>
      <c r="B610" t="str">
        <f>"600711"</f>
        <v>600711</v>
      </c>
      <c r="C610" t="s">
        <v>1439</v>
      </c>
      <c r="D610" t="s">
        <v>1440</v>
      </c>
      <c r="F610">
        <v>11886025478</v>
      </c>
      <c r="G610">
        <v>10591650120</v>
      </c>
      <c r="H610">
        <v>8985240572</v>
      </c>
      <c r="I610">
        <v>7492736760</v>
      </c>
      <c r="J610">
        <v>4588788114</v>
      </c>
      <c r="K610">
        <v>4009492133</v>
      </c>
      <c r="L610">
        <v>3843651634</v>
      </c>
      <c r="M610">
        <v>3606606724</v>
      </c>
      <c r="N610">
        <v>2432685077</v>
      </c>
      <c r="O610">
        <v>875524093</v>
      </c>
      <c r="P610">
        <v>377</v>
      </c>
      <c r="Q610" t="s">
        <v>1441</v>
      </c>
    </row>
    <row r="611" spans="1:17" x14ac:dyDescent="0.3">
      <c r="A611" t="s">
        <v>17</v>
      </c>
      <c r="B611" t="str">
        <f>"600712"</f>
        <v>600712</v>
      </c>
      <c r="C611" t="s">
        <v>1442</v>
      </c>
      <c r="D611" t="s">
        <v>633</v>
      </c>
      <c r="F611">
        <v>885582310</v>
      </c>
      <c r="G611">
        <v>893239204</v>
      </c>
      <c r="H611">
        <v>1025125341</v>
      </c>
      <c r="I611">
        <v>1017124179</v>
      </c>
      <c r="J611">
        <v>1063623031</v>
      </c>
      <c r="K611">
        <v>1061852220</v>
      </c>
      <c r="L611">
        <v>1104843113</v>
      </c>
      <c r="M611">
        <v>1082066467</v>
      </c>
      <c r="N611">
        <v>1071254810</v>
      </c>
      <c r="O611">
        <v>1071462462</v>
      </c>
      <c r="P611">
        <v>87</v>
      </c>
      <c r="Q611" t="s">
        <v>1443</v>
      </c>
    </row>
    <row r="612" spans="1:17" x14ac:dyDescent="0.3">
      <c r="A612" t="s">
        <v>17</v>
      </c>
      <c r="B612" t="str">
        <f>"600713"</f>
        <v>600713</v>
      </c>
      <c r="C612" t="s">
        <v>1444</v>
      </c>
      <c r="D612" t="s">
        <v>125</v>
      </c>
      <c r="F612">
        <v>4606308664</v>
      </c>
      <c r="G612">
        <v>4257542948</v>
      </c>
      <c r="H612">
        <v>4013572692</v>
      </c>
      <c r="I612">
        <v>3669168161</v>
      </c>
      <c r="J612">
        <v>2777721432</v>
      </c>
      <c r="K612">
        <v>2626180870</v>
      </c>
      <c r="L612">
        <v>2301164869</v>
      </c>
      <c r="M612">
        <v>2141220845</v>
      </c>
      <c r="N612">
        <v>1014670257</v>
      </c>
      <c r="O612">
        <v>999110086</v>
      </c>
      <c r="P612">
        <v>188</v>
      </c>
      <c r="Q612" t="s">
        <v>1445</v>
      </c>
    </row>
    <row r="613" spans="1:17" x14ac:dyDescent="0.3">
      <c r="A613" t="s">
        <v>17</v>
      </c>
      <c r="B613" t="str">
        <f>"600714"</f>
        <v>600714</v>
      </c>
      <c r="C613" t="s">
        <v>1446</v>
      </c>
      <c r="D613" t="s">
        <v>736</v>
      </c>
      <c r="F613">
        <v>698691108</v>
      </c>
      <c r="G613">
        <v>620090412</v>
      </c>
      <c r="H613">
        <v>615682965</v>
      </c>
      <c r="I613">
        <v>624735922</v>
      </c>
      <c r="J613">
        <v>601484506</v>
      </c>
      <c r="K613">
        <v>589010845</v>
      </c>
      <c r="L613">
        <v>530722292</v>
      </c>
      <c r="M613">
        <v>450823237</v>
      </c>
      <c r="N613">
        <v>434590028</v>
      </c>
      <c r="O613">
        <v>429533244</v>
      </c>
      <c r="P613">
        <v>68</v>
      </c>
      <c r="Q613" t="s">
        <v>1447</v>
      </c>
    </row>
    <row r="614" spans="1:17" x14ac:dyDescent="0.3">
      <c r="A614" t="s">
        <v>17</v>
      </c>
      <c r="B614" t="str">
        <f>"600715"</f>
        <v>600715</v>
      </c>
      <c r="C614" t="s">
        <v>1448</v>
      </c>
      <c r="D614" t="s">
        <v>517</v>
      </c>
      <c r="F614">
        <v>2139162938</v>
      </c>
      <c r="G614">
        <v>2848178743</v>
      </c>
      <c r="H614">
        <v>6400705594</v>
      </c>
      <c r="I614">
        <v>6360829712</v>
      </c>
      <c r="J614">
        <v>7179118338</v>
      </c>
      <c r="K614">
        <v>4524961221</v>
      </c>
      <c r="L614">
        <v>3947300074</v>
      </c>
      <c r="M614">
        <v>-37985552</v>
      </c>
      <c r="N614">
        <v>9819698</v>
      </c>
      <c r="O614">
        <v>37132434</v>
      </c>
      <c r="P614">
        <v>127</v>
      </c>
      <c r="Q614" t="s">
        <v>1449</v>
      </c>
    </row>
    <row r="615" spans="1:17" x14ac:dyDescent="0.3">
      <c r="A615" t="s">
        <v>17</v>
      </c>
      <c r="B615" t="str">
        <f>"600716"</f>
        <v>600716</v>
      </c>
      <c r="C615" t="s">
        <v>1450</v>
      </c>
      <c r="D615" t="s">
        <v>104</v>
      </c>
      <c r="F615">
        <v>5769144989</v>
      </c>
      <c r="G615">
        <v>5728355253</v>
      </c>
      <c r="H615">
        <v>5736466335</v>
      </c>
      <c r="I615">
        <v>4772607824</v>
      </c>
      <c r="J615">
        <v>3259449035</v>
      </c>
      <c r="K615">
        <v>3507068810</v>
      </c>
      <c r="L615">
        <v>1974640906</v>
      </c>
      <c r="M615">
        <v>2118625305</v>
      </c>
      <c r="N615">
        <v>2041308748</v>
      </c>
      <c r="O615">
        <v>1813699725</v>
      </c>
      <c r="P615">
        <v>95</v>
      </c>
      <c r="Q615" t="s">
        <v>1451</v>
      </c>
    </row>
    <row r="616" spans="1:17" x14ac:dyDescent="0.3">
      <c r="A616" t="s">
        <v>17</v>
      </c>
      <c r="B616" t="str">
        <f>"600717"</f>
        <v>600717</v>
      </c>
      <c r="C616" t="s">
        <v>1452</v>
      </c>
      <c r="D616" t="s">
        <v>51</v>
      </c>
      <c r="F616">
        <v>17382690158</v>
      </c>
      <c r="G616">
        <v>16838943804</v>
      </c>
      <c r="H616">
        <v>16332716709</v>
      </c>
      <c r="I616">
        <v>15788003437</v>
      </c>
      <c r="J616">
        <v>15657760866</v>
      </c>
      <c r="K616">
        <v>15350202394</v>
      </c>
      <c r="L616">
        <v>14469512252</v>
      </c>
      <c r="M616">
        <v>13591141725</v>
      </c>
      <c r="N616">
        <v>12686480040</v>
      </c>
      <c r="O616">
        <v>11935524823</v>
      </c>
      <c r="P616">
        <v>262</v>
      </c>
      <c r="Q616" t="s">
        <v>1453</v>
      </c>
    </row>
    <row r="617" spans="1:17" x14ac:dyDescent="0.3">
      <c r="A617" t="s">
        <v>17</v>
      </c>
      <c r="B617" t="str">
        <f>"600718"</f>
        <v>600718</v>
      </c>
      <c r="C617" t="s">
        <v>1454</v>
      </c>
      <c r="D617" t="s">
        <v>316</v>
      </c>
      <c r="F617">
        <v>9579208066</v>
      </c>
      <c r="G617">
        <v>8359943631</v>
      </c>
      <c r="H617">
        <v>8742815263</v>
      </c>
      <c r="I617">
        <v>8843201015</v>
      </c>
      <c r="J617">
        <v>8920924836</v>
      </c>
      <c r="K617">
        <v>7711935832</v>
      </c>
      <c r="L617">
        <v>6076042386</v>
      </c>
      <c r="M617">
        <v>5414820299</v>
      </c>
      <c r="N617">
        <v>5329762555</v>
      </c>
      <c r="O617">
        <v>5119337733</v>
      </c>
      <c r="P617">
        <v>396</v>
      </c>
      <c r="Q617" t="s">
        <v>1455</v>
      </c>
    </row>
    <row r="618" spans="1:17" x14ac:dyDescent="0.3">
      <c r="A618" t="s">
        <v>17</v>
      </c>
      <c r="B618" t="str">
        <f>"600719"</f>
        <v>600719</v>
      </c>
      <c r="C618" t="s">
        <v>1456</v>
      </c>
      <c r="D618" t="s">
        <v>351</v>
      </c>
      <c r="F618">
        <v>597158063</v>
      </c>
      <c r="G618">
        <v>743614625</v>
      </c>
      <c r="H618">
        <v>737597653</v>
      </c>
      <c r="I618">
        <v>728349410</v>
      </c>
      <c r="J618">
        <v>726856338</v>
      </c>
      <c r="K618">
        <v>727950125</v>
      </c>
      <c r="L618">
        <v>718402945</v>
      </c>
      <c r="M618">
        <v>726010257</v>
      </c>
      <c r="N618">
        <v>717588551</v>
      </c>
      <c r="O618">
        <v>714448431</v>
      </c>
      <c r="P618">
        <v>68</v>
      </c>
      <c r="Q618" t="s">
        <v>1457</v>
      </c>
    </row>
    <row r="619" spans="1:17" x14ac:dyDescent="0.3">
      <c r="A619" t="s">
        <v>17</v>
      </c>
      <c r="B619" t="str">
        <f>"600720"</f>
        <v>600720</v>
      </c>
      <c r="C619" t="s">
        <v>1458</v>
      </c>
      <c r="D619" t="s">
        <v>731</v>
      </c>
      <c r="F619">
        <v>8240770802</v>
      </c>
      <c r="G619">
        <v>7815174478</v>
      </c>
      <c r="H619">
        <v>6802459935</v>
      </c>
      <c r="I619">
        <v>5757614326</v>
      </c>
      <c r="J619">
        <v>5338607548</v>
      </c>
      <c r="K619">
        <v>4874136653</v>
      </c>
      <c r="L619">
        <v>4809385167</v>
      </c>
      <c r="M619">
        <v>4790725493</v>
      </c>
      <c r="N619">
        <v>4152007646</v>
      </c>
      <c r="O619">
        <v>3704253569</v>
      </c>
      <c r="P619">
        <v>864</v>
      </c>
      <c r="Q619" t="s">
        <v>1459</v>
      </c>
    </row>
    <row r="620" spans="1:17" x14ac:dyDescent="0.3">
      <c r="A620" t="s">
        <v>17</v>
      </c>
      <c r="B620" t="str">
        <f>"600721"</f>
        <v>600721</v>
      </c>
      <c r="C620" t="s">
        <v>1460</v>
      </c>
      <c r="D620" t="s">
        <v>1461</v>
      </c>
      <c r="F620">
        <v>681303921</v>
      </c>
      <c r="G620">
        <v>619263890</v>
      </c>
      <c r="H620">
        <v>954695566</v>
      </c>
      <c r="I620">
        <v>913643130</v>
      </c>
      <c r="J620">
        <v>1721507811</v>
      </c>
      <c r="K620">
        <v>2285623104</v>
      </c>
      <c r="L620">
        <v>333361202</v>
      </c>
      <c r="M620">
        <v>739133949</v>
      </c>
      <c r="N620">
        <v>976033725</v>
      </c>
      <c r="O620">
        <v>941595343</v>
      </c>
      <c r="P620">
        <v>78</v>
      </c>
      <c r="Q620" t="s">
        <v>1462</v>
      </c>
    </row>
    <row r="621" spans="1:17" x14ac:dyDescent="0.3">
      <c r="A621" t="s">
        <v>17</v>
      </c>
      <c r="B621" t="str">
        <f>"600722"</f>
        <v>600722</v>
      </c>
      <c r="C621" t="s">
        <v>1463</v>
      </c>
      <c r="D621" t="s">
        <v>175</v>
      </c>
      <c r="F621">
        <v>1059479873</v>
      </c>
      <c r="G621">
        <v>1012459572</v>
      </c>
      <c r="H621">
        <v>1005973189</v>
      </c>
      <c r="I621">
        <v>975373146</v>
      </c>
      <c r="J621">
        <v>916153472</v>
      </c>
      <c r="K621">
        <v>881224220</v>
      </c>
      <c r="L621">
        <v>855318619</v>
      </c>
      <c r="M621">
        <v>610778308</v>
      </c>
      <c r="N621">
        <v>923907697</v>
      </c>
      <c r="O621">
        <v>1109748444</v>
      </c>
      <c r="P621">
        <v>97</v>
      </c>
      <c r="Q621" t="s">
        <v>1464</v>
      </c>
    </row>
    <row r="622" spans="1:17" x14ac:dyDescent="0.3">
      <c r="A622" t="s">
        <v>17</v>
      </c>
      <c r="B622" t="str">
        <f>"600723"</f>
        <v>600723</v>
      </c>
      <c r="C622" t="s">
        <v>1465</v>
      </c>
      <c r="G622">
        <v>4120589642</v>
      </c>
      <c r="H622">
        <v>4279714015</v>
      </c>
      <c r="I622">
        <v>3983520415</v>
      </c>
      <c r="J622">
        <v>3738045930</v>
      </c>
      <c r="K622">
        <v>3480582667</v>
      </c>
      <c r="L622">
        <v>3290110377</v>
      </c>
      <c r="M622">
        <v>3051147729</v>
      </c>
      <c r="N622">
        <v>2821732878</v>
      </c>
      <c r="O622">
        <v>2657149843</v>
      </c>
      <c r="P622">
        <v>180</v>
      </c>
      <c r="Q622" t="s">
        <v>1466</v>
      </c>
    </row>
    <row r="623" spans="1:17" x14ac:dyDescent="0.3">
      <c r="A623" t="s">
        <v>17</v>
      </c>
      <c r="B623" t="str">
        <f>"600724"</f>
        <v>600724</v>
      </c>
      <c r="C623" t="s">
        <v>1467</v>
      </c>
      <c r="D623" t="s">
        <v>731</v>
      </c>
      <c r="F623">
        <v>2995506482</v>
      </c>
      <c r="G623">
        <v>2952826695</v>
      </c>
      <c r="H623">
        <v>2921353666</v>
      </c>
      <c r="I623">
        <v>2461057426</v>
      </c>
      <c r="J623">
        <v>1713838404</v>
      </c>
      <c r="K623">
        <v>2586003242</v>
      </c>
      <c r="L623">
        <v>2458644723</v>
      </c>
      <c r="M623">
        <v>3761598984</v>
      </c>
      <c r="N623">
        <v>3823179990</v>
      </c>
      <c r="O623">
        <v>3560860619</v>
      </c>
      <c r="P623">
        <v>169</v>
      </c>
      <c r="Q623" t="s">
        <v>1468</v>
      </c>
    </row>
    <row r="624" spans="1:17" x14ac:dyDescent="0.3">
      <c r="A624" t="s">
        <v>17</v>
      </c>
      <c r="B624" t="str">
        <f>"600725"</f>
        <v>600725</v>
      </c>
      <c r="C624" t="s">
        <v>1469</v>
      </c>
      <c r="D624" t="s">
        <v>885</v>
      </c>
      <c r="F624">
        <v>333165156</v>
      </c>
      <c r="G624">
        <v>317117339</v>
      </c>
      <c r="H624">
        <v>301082915</v>
      </c>
      <c r="I624">
        <v>288484324</v>
      </c>
      <c r="J624">
        <v>275476582</v>
      </c>
      <c r="K624">
        <v>95899236</v>
      </c>
      <c r="L624">
        <v>-1867329591</v>
      </c>
      <c r="M624">
        <v>319873341</v>
      </c>
      <c r="N624">
        <v>1384032257</v>
      </c>
      <c r="O624">
        <v>1351758252</v>
      </c>
      <c r="P624">
        <v>69</v>
      </c>
      <c r="Q624" t="s">
        <v>1470</v>
      </c>
    </row>
    <row r="625" spans="1:17" x14ac:dyDescent="0.3">
      <c r="A625" t="s">
        <v>17</v>
      </c>
      <c r="B625" t="str">
        <f>"600726"</f>
        <v>600726</v>
      </c>
      <c r="C625" t="s">
        <v>1471</v>
      </c>
      <c r="D625" t="s">
        <v>41</v>
      </c>
      <c r="F625">
        <v>-2108545728</v>
      </c>
      <c r="G625">
        <v>602353950</v>
      </c>
      <c r="H625">
        <v>1663703930</v>
      </c>
      <c r="I625">
        <v>1573152739</v>
      </c>
      <c r="J625">
        <v>2308256197</v>
      </c>
      <c r="K625">
        <v>3391825445</v>
      </c>
      <c r="L625">
        <v>3195562561</v>
      </c>
      <c r="M625">
        <v>3131188451</v>
      </c>
      <c r="N625">
        <v>2976095320</v>
      </c>
      <c r="O625">
        <v>2923678482</v>
      </c>
      <c r="P625">
        <v>110</v>
      </c>
      <c r="Q625" t="s">
        <v>1472</v>
      </c>
    </row>
    <row r="626" spans="1:17" x14ac:dyDescent="0.3">
      <c r="A626" t="s">
        <v>17</v>
      </c>
      <c r="B626" t="str">
        <f>"600727"</f>
        <v>600727</v>
      </c>
      <c r="C626" t="s">
        <v>1473</v>
      </c>
      <c r="D626" t="s">
        <v>1474</v>
      </c>
      <c r="F626">
        <v>3024684175</v>
      </c>
      <c r="G626">
        <v>2683721600</v>
      </c>
      <c r="H626">
        <v>1413946243</v>
      </c>
      <c r="I626">
        <v>1255850332</v>
      </c>
      <c r="J626">
        <v>1161278136</v>
      </c>
      <c r="K626">
        <v>1085153234</v>
      </c>
      <c r="L626">
        <v>1055951504</v>
      </c>
      <c r="M626">
        <v>1030013132</v>
      </c>
      <c r="N626">
        <v>1023328740</v>
      </c>
      <c r="O626">
        <v>1009952303</v>
      </c>
      <c r="P626">
        <v>138</v>
      </c>
      <c r="Q626" t="s">
        <v>1475</v>
      </c>
    </row>
    <row r="627" spans="1:17" x14ac:dyDescent="0.3">
      <c r="A627" t="s">
        <v>17</v>
      </c>
      <c r="B627" t="str">
        <f>"600728"</f>
        <v>600728</v>
      </c>
      <c r="C627" t="s">
        <v>1476</v>
      </c>
      <c r="D627" t="s">
        <v>316</v>
      </c>
      <c r="F627">
        <v>5667264617</v>
      </c>
      <c r="G627">
        <v>5452386546</v>
      </c>
      <c r="H627">
        <v>4761277540</v>
      </c>
      <c r="I627">
        <v>3459152438</v>
      </c>
      <c r="J627">
        <v>3205840478</v>
      </c>
      <c r="K627">
        <v>2684894100</v>
      </c>
      <c r="L627">
        <v>1400676682</v>
      </c>
      <c r="M627">
        <v>1199508746</v>
      </c>
      <c r="N627">
        <v>1084587278</v>
      </c>
      <c r="O627">
        <v>741578929</v>
      </c>
      <c r="P627">
        <v>345</v>
      </c>
      <c r="Q627" t="s">
        <v>1477</v>
      </c>
    </row>
    <row r="628" spans="1:17" x14ac:dyDescent="0.3">
      <c r="A628" t="s">
        <v>17</v>
      </c>
      <c r="B628" t="str">
        <f>"600729"</f>
        <v>600729</v>
      </c>
      <c r="C628" t="s">
        <v>1478</v>
      </c>
      <c r="D628" t="s">
        <v>1404</v>
      </c>
      <c r="F628">
        <v>5796552819</v>
      </c>
      <c r="G628">
        <v>6938304224</v>
      </c>
      <c r="H628">
        <v>6291822885</v>
      </c>
      <c r="I628">
        <v>5563243046</v>
      </c>
      <c r="J628">
        <v>4993633169</v>
      </c>
      <c r="K628">
        <v>4650456616</v>
      </c>
      <c r="L628">
        <v>4782255093</v>
      </c>
      <c r="M628">
        <v>4561187771</v>
      </c>
      <c r="N628">
        <v>4381747001</v>
      </c>
      <c r="O628">
        <v>3255567685</v>
      </c>
      <c r="P628">
        <v>540</v>
      </c>
      <c r="Q628" t="s">
        <v>1479</v>
      </c>
    </row>
    <row r="629" spans="1:17" x14ac:dyDescent="0.3">
      <c r="A629" t="s">
        <v>17</v>
      </c>
      <c r="B629" t="str">
        <f>"600730"</f>
        <v>600730</v>
      </c>
      <c r="C629" t="s">
        <v>1480</v>
      </c>
      <c r="D629" t="s">
        <v>1336</v>
      </c>
      <c r="F629">
        <v>1856418432</v>
      </c>
      <c r="G629">
        <v>1906907056</v>
      </c>
      <c r="H629">
        <v>1888114871</v>
      </c>
      <c r="I629">
        <v>1983521838</v>
      </c>
      <c r="J629">
        <v>2019682003</v>
      </c>
      <c r="K629">
        <v>1946797461</v>
      </c>
      <c r="L629">
        <v>1405476170</v>
      </c>
      <c r="M629">
        <v>1342503239</v>
      </c>
      <c r="N629">
        <v>1216011075</v>
      </c>
      <c r="O629">
        <v>767577195</v>
      </c>
      <c r="P629">
        <v>99</v>
      </c>
      <c r="Q629" t="s">
        <v>1481</v>
      </c>
    </row>
    <row r="630" spans="1:17" x14ac:dyDescent="0.3">
      <c r="A630" t="s">
        <v>17</v>
      </c>
      <c r="B630" t="str">
        <f>"600731"</f>
        <v>600731</v>
      </c>
      <c r="C630" t="s">
        <v>1482</v>
      </c>
      <c r="D630" t="s">
        <v>853</v>
      </c>
      <c r="F630">
        <v>1709241891</v>
      </c>
      <c r="G630">
        <v>1464090237</v>
      </c>
      <c r="H630">
        <v>1171099298</v>
      </c>
      <c r="I630">
        <v>1069725466</v>
      </c>
      <c r="J630">
        <v>809524553</v>
      </c>
      <c r="K630">
        <v>765873692</v>
      </c>
      <c r="L630">
        <v>750937335</v>
      </c>
      <c r="M630">
        <v>736970526</v>
      </c>
      <c r="N630">
        <v>789852767</v>
      </c>
      <c r="O630">
        <v>368367377</v>
      </c>
      <c r="P630">
        <v>244</v>
      </c>
      <c r="Q630" t="s">
        <v>1483</v>
      </c>
    </row>
    <row r="631" spans="1:17" x14ac:dyDescent="0.3">
      <c r="A631" t="s">
        <v>17</v>
      </c>
      <c r="B631" t="str">
        <f>"600732"</f>
        <v>600732</v>
      </c>
      <c r="C631" t="s">
        <v>1484</v>
      </c>
      <c r="D631" t="s">
        <v>356</v>
      </c>
      <c r="F631">
        <v>5081693027</v>
      </c>
      <c r="G631">
        <v>5343271847</v>
      </c>
      <c r="H631">
        <v>2076092173</v>
      </c>
      <c r="I631">
        <v>466292075</v>
      </c>
      <c r="J631">
        <v>447848929</v>
      </c>
      <c r="K631">
        <v>386882335</v>
      </c>
      <c r="L631">
        <v>361992794</v>
      </c>
      <c r="M631">
        <v>473884228</v>
      </c>
      <c r="N631">
        <v>508398460</v>
      </c>
      <c r="O631">
        <v>559926020</v>
      </c>
      <c r="P631">
        <v>357</v>
      </c>
      <c r="Q631" t="s">
        <v>1485</v>
      </c>
    </row>
    <row r="632" spans="1:17" x14ac:dyDescent="0.3">
      <c r="A632" t="s">
        <v>17</v>
      </c>
      <c r="B632" t="str">
        <f>"600733"</f>
        <v>600733</v>
      </c>
      <c r="C632" t="s">
        <v>1486</v>
      </c>
      <c r="D632" t="s">
        <v>247</v>
      </c>
      <c r="F632">
        <v>11121454860</v>
      </c>
      <c r="G632">
        <v>10920972149</v>
      </c>
      <c r="H632">
        <v>17384686548</v>
      </c>
      <c r="I632">
        <v>16260433924</v>
      </c>
      <c r="J632">
        <v>192564899</v>
      </c>
      <c r="K632">
        <v>184842694</v>
      </c>
      <c r="L632">
        <v>218244794</v>
      </c>
      <c r="M632">
        <v>308534886</v>
      </c>
      <c r="N632">
        <v>294863588</v>
      </c>
      <c r="O632">
        <v>244459247</v>
      </c>
      <c r="P632">
        <v>369</v>
      </c>
      <c r="Q632" t="s">
        <v>1487</v>
      </c>
    </row>
    <row r="633" spans="1:17" x14ac:dyDescent="0.3">
      <c r="A633" t="s">
        <v>17</v>
      </c>
      <c r="B633" t="str">
        <f>"600734"</f>
        <v>600734</v>
      </c>
      <c r="C633" t="s">
        <v>1488</v>
      </c>
      <c r="D633" t="s">
        <v>786</v>
      </c>
      <c r="F633">
        <v>455133466</v>
      </c>
      <c r="G633">
        <v>-1071613582</v>
      </c>
      <c r="H633">
        <v>-468255419</v>
      </c>
      <c r="I633">
        <v>2610191479</v>
      </c>
      <c r="J633">
        <v>2874784003</v>
      </c>
      <c r="K633">
        <v>2533877757</v>
      </c>
      <c r="L633">
        <v>271962445</v>
      </c>
      <c r="M633">
        <v>117143318</v>
      </c>
      <c r="N633">
        <v>156714839</v>
      </c>
      <c r="O633">
        <v>155168944</v>
      </c>
      <c r="P633">
        <v>175</v>
      </c>
      <c r="Q633" t="s">
        <v>1489</v>
      </c>
    </row>
    <row r="634" spans="1:17" x14ac:dyDescent="0.3">
      <c r="A634" t="s">
        <v>17</v>
      </c>
      <c r="B634" t="str">
        <f>"600735"</f>
        <v>600735</v>
      </c>
      <c r="C634" t="s">
        <v>1490</v>
      </c>
      <c r="D634" t="s">
        <v>932</v>
      </c>
      <c r="F634">
        <v>993902392</v>
      </c>
      <c r="G634">
        <v>934208381</v>
      </c>
      <c r="H634">
        <v>962639104</v>
      </c>
      <c r="I634">
        <v>888896832</v>
      </c>
      <c r="J634">
        <v>822802714</v>
      </c>
      <c r="K634">
        <v>765302429</v>
      </c>
      <c r="L634">
        <v>694736511</v>
      </c>
      <c r="M634">
        <v>644000193</v>
      </c>
      <c r="N634">
        <v>587245696</v>
      </c>
      <c r="O634">
        <v>549028841</v>
      </c>
      <c r="P634">
        <v>105</v>
      </c>
      <c r="Q634" t="s">
        <v>1491</v>
      </c>
    </row>
    <row r="635" spans="1:17" x14ac:dyDescent="0.3">
      <c r="A635" t="s">
        <v>17</v>
      </c>
      <c r="B635" t="str">
        <f>"600736"</f>
        <v>600736</v>
      </c>
      <c r="C635" t="s">
        <v>1492</v>
      </c>
      <c r="D635" t="s">
        <v>104</v>
      </c>
      <c r="F635">
        <v>7285355189</v>
      </c>
      <c r="G635">
        <v>6986154718</v>
      </c>
      <c r="H635">
        <v>6850319256</v>
      </c>
      <c r="I635">
        <v>6052833586</v>
      </c>
      <c r="J635">
        <v>6008664544</v>
      </c>
      <c r="K635">
        <v>5325242379</v>
      </c>
      <c r="L635">
        <v>4928415776</v>
      </c>
      <c r="M635">
        <v>3505940319</v>
      </c>
      <c r="N635">
        <v>3404959836</v>
      </c>
      <c r="O635">
        <v>3250383420</v>
      </c>
      <c r="P635">
        <v>142</v>
      </c>
      <c r="Q635" t="s">
        <v>1493</v>
      </c>
    </row>
    <row r="636" spans="1:17" x14ac:dyDescent="0.3">
      <c r="A636" t="s">
        <v>17</v>
      </c>
      <c r="B636" t="str">
        <f>"600737"</f>
        <v>600737</v>
      </c>
      <c r="C636" t="s">
        <v>1494</v>
      </c>
      <c r="D636" t="s">
        <v>445</v>
      </c>
      <c r="F636">
        <v>10017513293</v>
      </c>
      <c r="G636">
        <v>9015182718</v>
      </c>
      <c r="H636">
        <v>8067291583</v>
      </c>
      <c r="I636">
        <v>7328150579</v>
      </c>
      <c r="J636">
        <v>7180940499</v>
      </c>
      <c r="K636">
        <v>6651229792</v>
      </c>
      <c r="L636">
        <v>5933894573</v>
      </c>
      <c r="M636">
        <v>5934569824</v>
      </c>
      <c r="N636">
        <v>6019250193</v>
      </c>
      <c r="O636">
        <v>1995074202</v>
      </c>
      <c r="P636">
        <v>515</v>
      </c>
      <c r="Q636" t="s">
        <v>1495</v>
      </c>
    </row>
    <row r="637" spans="1:17" x14ac:dyDescent="0.3">
      <c r="A637" t="s">
        <v>17</v>
      </c>
      <c r="B637" t="str">
        <f>"600738"</f>
        <v>600738</v>
      </c>
      <c r="C637" t="s">
        <v>1496</v>
      </c>
      <c r="D637" t="s">
        <v>633</v>
      </c>
      <c r="F637">
        <v>1839587600</v>
      </c>
      <c r="G637">
        <v>1684768926</v>
      </c>
      <c r="H637">
        <v>1598107401</v>
      </c>
      <c r="I637">
        <v>3025280206</v>
      </c>
      <c r="J637">
        <v>1832599943</v>
      </c>
      <c r="K637">
        <v>1243458896</v>
      </c>
      <c r="L637">
        <v>1181020052</v>
      </c>
      <c r="M637">
        <v>1096535102</v>
      </c>
      <c r="N637">
        <v>1029505086</v>
      </c>
      <c r="O637">
        <v>475371123</v>
      </c>
      <c r="P637">
        <v>153</v>
      </c>
      <c r="Q637" t="s">
        <v>1497</v>
      </c>
    </row>
    <row r="638" spans="1:17" x14ac:dyDescent="0.3">
      <c r="A638" t="s">
        <v>17</v>
      </c>
      <c r="B638" t="str">
        <f>"600739"</f>
        <v>600739</v>
      </c>
      <c r="C638" t="s">
        <v>1498</v>
      </c>
      <c r="D638" t="s">
        <v>1499</v>
      </c>
      <c r="F638">
        <v>27986311916</v>
      </c>
      <c r="G638">
        <v>24059899633</v>
      </c>
      <c r="H638">
        <v>21565505090</v>
      </c>
      <c r="I638">
        <v>20266226839</v>
      </c>
      <c r="J638">
        <v>20035768794</v>
      </c>
      <c r="K638">
        <v>18562932009</v>
      </c>
      <c r="L638">
        <v>17432753855</v>
      </c>
      <c r="M638">
        <v>13457654790</v>
      </c>
      <c r="N638">
        <v>11134003575</v>
      </c>
      <c r="O638">
        <v>10361643589</v>
      </c>
      <c r="P638">
        <v>338</v>
      </c>
      <c r="Q638" t="s">
        <v>1500</v>
      </c>
    </row>
    <row r="639" spans="1:17" x14ac:dyDescent="0.3">
      <c r="A639" t="s">
        <v>17</v>
      </c>
      <c r="B639" t="str">
        <f>"600740"</f>
        <v>600740</v>
      </c>
      <c r="C639" t="s">
        <v>1501</v>
      </c>
      <c r="D639" t="s">
        <v>885</v>
      </c>
      <c r="F639">
        <v>12170351055</v>
      </c>
      <c r="G639">
        <v>11161655349</v>
      </c>
      <c r="H639">
        <v>10206028361</v>
      </c>
      <c r="I639">
        <v>9234591651</v>
      </c>
      <c r="J639">
        <v>2132641610</v>
      </c>
      <c r="K639">
        <v>2040758337</v>
      </c>
      <c r="L639">
        <v>1996368209</v>
      </c>
      <c r="M639">
        <v>2826378946</v>
      </c>
      <c r="N639">
        <v>2805793883</v>
      </c>
      <c r="O639">
        <v>1279352977</v>
      </c>
      <c r="P639">
        <v>331</v>
      </c>
      <c r="Q639" t="s">
        <v>1502</v>
      </c>
    </row>
    <row r="640" spans="1:17" x14ac:dyDescent="0.3">
      <c r="A640" t="s">
        <v>17</v>
      </c>
      <c r="B640" t="str">
        <f>"600741"</f>
        <v>600741</v>
      </c>
      <c r="C640" t="s">
        <v>1503</v>
      </c>
      <c r="D640" t="s">
        <v>191</v>
      </c>
      <c r="F640">
        <v>49543015959</v>
      </c>
      <c r="G640">
        <v>52538855205</v>
      </c>
      <c r="H640">
        <v>49422998182</v>
      </c>
      <c r="I640">
        <v>45364483948</v>
      </c>
      <c r="J640">
        <v>41283559419</v>
      </c>
      <c r="K640">
        <v>38096768607</v>
      </c>
      <c r="L640">
        <v>27267464548</v>
      </c>
      <c r="M640">
        <v>23618713462</v>
      </c>
      <c r="N640">
        <v>18624876334</v>
      </c>
      <c r="O640">
        <v>19270282299</v>
      </c>
      <c r="P640">
        <v>6373</v>
      </c>
      <c r="Q640" t="s">
        <v>1504</v>
      </c>
    </row>
    <row r="641" spans="1:17" x14ac:dyDescent="0.3">
      <c r="A641" t="s">
        <v>17</v>
      </c>
      <c r="B641" t="str">
        <f>"600742"</f>
        <v>600742</v>
      </c>
      <c r="C641" t="s">
        <v>1505</v>
      </c>
      <c r="D641" t="s">
        <v>191</v>
      </c>
      <c r="F641">
        <v>6785108139</v>
      </c>
      <c r="G641">
        <v>6312424190</v>
      </c>
      <c r="H641">
        <v>5500783411</v>
      </c>
      <c r="I641">
        <v>4849299934</v>
      </c>
      <c r="J641">
        <v>4557730548</v>
      </c>
      <c r="K641">
        <v>4290366840</v>
      </c>
      <c r="L641">
        <v>3963136213</v>
      </c>
      <c r="M641">
        <v>3634090753</v>
      </c>
      <c r="N641">
        <v>3153604099</v>
      </c>
      <c r="O641">
        <v>2901387716</v>
      </c>
      <c r="P641">
        <v>417</v>
      </c>
      <c r="Q641" t="s">
        <v>1506</v>
      </c>
    </row>
    <row r="642" spans="1:17" x14ac:dyDescent="0.3">
      <c r="A642" t="s">
        <v>17</v>
      </c>
      <c r="B642" t="str">
        <f>"600743"</f>
        <v>600743</v>
      </c>
      <c r="C642" t="s">
        <v>1507</v>
      </c>
      <c r="D642" t="s">
        <v>104</v>
      </c>
      <c r="F642">
        <v>7559676385</v>
      </c>
      <c r="G642">
        <v>8467495298</v>
      </c>
      <c r="H642">
        <v>8289547542</v>
      </c>
      <c r="I642">
        <v>7836873071</v>
      </c>
      <c r="J642">
        <v>7321521535</v>
      </c>
      <c r="K642">
        <v>6714640789</v>
      </c>
      <c r="L642">
        <v>4377274927</v>
      </c>
      <c r="M642">
        <v>3864897102</v>
      </c>
      <c r="N642">
        <v>3421393598</v>
      </c>
      <c r="O642">
        <v>2844349510</v>
      </c>
      <c r="P642">
        <v>603</v>
      </c>
      <c r="Q642" t="s">
        <v>1508</v>
      </c>
    </row>
    <row r="643" spans="1:17" x14ac:dyDescent="0.3">
      <c r="A643" t="s">
        <v>17</v>
      </c>
      <c r="B643" t="str">
        <f>"600744"</f>
        <v>600744</v>
      </c>
      <c r="C643" t="s">
        <v>1509</v>
      </c>
      <c r="D643" t="s">
        <v>41</v>
      </c>
      <c r="F643">
        <v>532930206</v>
      </c>
      <c r="G643">
        <v>3039492861</v>
      </c>
      <c r="H643">
        <v>3074222030</v>
      </c>
      <c r="I643">
        <v>3035313686</v>
      </c>
      <c r="J643">
        <v>2986048335</v>
      </c>
      <c r="K643">
        <v>4142641762</v>
      </c>
      <c r="L643">
        <v>3954615778</v>
      </c>
      <c r="M643">
        <v>1276462835</v>
      </c>
      <c r="N643">
        <v>1451138565</v>
      </c>
      <c r="O643">
        <v>1440441769</v>
      </c>
      <c r="P643">
        <v>182</v>
      </c>
      <c r="Q643" t="s">
        <v>1510</v>
      </c>
    </row>
    <row r="644" spans="1:17" x14ac:dyDescent="0.3">
      <c r="A644" t="s">
        <v>17</v>
      </c>
      <c r="B644" t="str">
        <f>"600745"</f>
        <v>600745</v>
      </c>
      <c r="C644" t="s">
        <v>1511</v>
      </c>
      <c r="D644" t="s">
        <v>313</v>
      </c>
      <c r="F644">
        <v>32155051076</v>
      </c>
      <c r="G644">
        <v>29059595381</v>
      </c>
      <c r="H644">
        <v>21189373053</v>
      </c>
      <c r="I644">
        <v>3594617313</v>
      </c>
      <c r="J644">
        <v>3538802949</v>
      </c>
      <c r="K644">
        <v>4325623592</v>
      </c>
      <c r="L644">
        <v>4277212339</v>
      </c>
      <c r="M644">
        <v>2603676705</v>
      </c>
      <c r="N644">
        <v>855185148</v>
      </c>
      <c r="O644">
        <v>801213553</v>
      </c>
      <c r="P644">
        <v>1617</v>
      </c>
      <c r="Q644" t="s">
        <v>1512</v>
      </c>
    </row>
    <row r="645" spans="1:17" x14ac:dyDescent="0.3">
      <c r="A645" t="s">
        <v>17</v>
      </c>
      <c r="B645" t="str">
        <f>"600746"</f>
        <v>600746</v>
      </c>
      <c r="C645" t="s">
        <v>1513</v>
      </c>
      <c r="D645" t="s">
        <v>914</v>
      </c>
      <c r="F645">
        <v>6147438878</v>
      </c>
      <c r="G645">
        <v>2947384220</v>
      </c>
      <c r="H645">
        <v>2437865357</v>
      </c>
      <c r="I645">
        <v>470180413</v>
      </c>
      <c r="J645">
        <v>503370520</v>
      </c>
      <c r="K645">
        <v>438995332</v>
      </c>
      <c r="L645">
        <v>417223168</v>
      </c>
      <c r="M645">
        <v>437452129</v>
      </c>
      <c r="N645">
        <v>435475085</v>
      </c>
      <c r="O645">
        <v>407379842</v>
      </c>
      <c r="P645">
        <v>230</v>
      </c>
      <c r="Q645" t="s">
        <v>1514</v>
      </c>
    </row>
    <row r="646" spans="1:17" x14ac:dyDescent="0.3">
      <c r="A646" t="s">
        <v>17</v>
      </c>
      <c r="B646" t="str">
        <f>"600747"</f>
        <v>600747</v>
      </c>
      <c r="C646" t="s">
        <v>1515</v>
      </c>
      <c r="H646">
        <v>-1862614508</v>
      </c>
      <c r="I646">
        <v>427681773</v>
      </c>
      <c r="J646">
        <v>1977397957</v>
      </c>
      <c r="K646">
        <v>1946202011</v>
      </c>
      <c r="L646">
        <v>2044666537</v>
      </c>
      <c r="M646">
        <v>2126733775</v>
      </c>
      <c r="N646">
        <v>749077363</v>
      </c>
      <c r="O646">
        <v>694980555</v>
      </c>
      <c r="P646">
        <v>21</v>
      </c>
      <c r="Q646" t="s">
        <v>1516</v>
      </c>
    </row>
    <row r="647" spans="1:17" x14ac:dyDescent="0.3">
      <c r="A647" t="s">
        <v>17</v>
      </c>
      <c r="B647" t="str">
        <f>"600748"</f>
        <v>600748</v>
      </c>
      <c r="C647" t="s">
        <v>1517</v>
      </c>
      <c r="D647" t="s">
        <v>104</v>
      </c>
      <c r="F647">
        <v>10024030365</v>
      </c>
      <c r="G647">
        <v>11148729222</v>
      </c>
      <c r="H647">
        <v>10567586351</v>
      </c>
      <c r="I647">
        <v>9988255603</v>
      </c>
      <c r="J647">
        <v>9974537369</v>
      </c>
      <c r="K647">
        <v>9102958328</v>
      </c>
      <c r="L647">
        <v>4771171288</v>
      </c>
      <c r="M647">
        <v>4782631355</v>
      </c>
      <c r="N647">
        <v>4966808867</v>
      </c>
      <c r="O647">
        <v>4772154952</v>
      </c>
      <c r="P647">
        <v>188</v>
      </c>
      <c r="Q647" t="s">
        <v>1518</v>
      </c>
    </row>
    <row r="648" spans="1:17" x14ac:dyDescent="0.3">
      <c r="A648" t="s">
        <v>17</v>
      </c>
      <c r="B648" t="str">
        <f>"600749"</f>
        <v>600749</v>
      </c>
      <c r="C648" t="s">
        <v>1519</v>
      </c>
      <c r="D648" t="s">
        <v>119</v>
      </c>
      <c r="F648">
        <v>1025676476</v>
      </c>
      <c r="G648">
        <v>1033788289</v>
      </c>
      <c r="H648">
        <v>1055157295</v>
      </c>
      <c r="I648">
        <v>1055308819</v>
      </c>
      <c r="J648">
        <v>460445125</v>
      </c>
      <c r="K648">
        <v>539618530</v>
      </c>
      <c r="L648">
        <v>634742666</v>
      </c>
      <c r="M648">
        <v>629387414</v>
      </c>
      <c r="N648">
        <v>658521467</v>
      </c>
      <c r="O648">
        <v>655442215</v>
      </c>
      <c r="P648">
        <v>106</v>
      </c>
      <c r="Q648" t="s">
        <v>1520</v>
      </c>
    </row>
    <row r="649" spans="1:17" x14ac:dyDescent="0.3">
      <c r="A649" t="s">
        <v>17</v>
      </c>
      <c r="B649" t="str">
        <f>"600750"</f>
        <v>600750</v>
      </c>
      <c r="C649" t="s">
        <v>1521</v>
      </c>
      <c r="D649" t="s">
        <v>188</v>
      </c>
      <c r="F649">
        <v>4003034098</v>
      </c>
      <c r="G649">
        <v>3876867968</v>
      </c>
      <c r="H649">
        <v>3560628580</v>
      </c>
      <c r="I649">
        <v>3253296387</v>
      </c>
      <c r="J649">
        <v>2915203146</v>
      </c>
      <c r="K649">
        <v>2615544788</v>
      </c>
      <c r="L649">
        <v>2354319880</v>
      </c>
      <c r="M649">
        <v>2077307735</v>
      </c>
      <c r="N649">
        <v>2079344074</v>
      </c>
      <c r="O649">
        <v>2000433669</v>
      </c>
      <c r="P649">
        <v>817</v>
      </c>
      <c r="Q649" t="s">
        <v>1522</v>
      </c>
    </row>
    <row r="650" spans="1:17" x14ac:dyDescent="0.3">
      <c r="A650" t="s">
        <v>17</v>
      </c>
      <c r="B650" t="str">
        <f>"600751"</f>
        <v>600751</v>
      </c>
      <c r="C650" t="s">
        <v>1523</v>
      </c>
      <c r="D650" t="s">
        <v>651</v>
      </c>
      <c r="F650">
        <v>6924691000</v>
      </c>
      <c r="G650">
        <v>3835385000</v>
      </c>
      <c r="H650">
        <v>13871360000</v>
      </c>
      <c r="I650">
        <v>13340445000</v>
      </c>
      <c r="J650">
        <v>13411159000</v>
      </c>
      <c r="K650">
        <v>12769812000</v>
      </c>
      <c r="L650">
        <v>12136486376</v>
      </c>
      <c r="M650">
        <v>11895205497</v>
      </c>
      <c r="N650">
        <v>41861598</v>
      </c>
      <c r="O650">
        <v>171452996</v>
      </c>
      <c r="P650">
        <v>226</v>
      </c>
      <c r="Q650" t="s">
        <v>1524</v>
      </c>
    </row>
    <row r="651" spans="1:17" x14ac:dyDescent="0.3">
      <c r="A651" t="s">
        <v>17</v>
      </c>
      <c r="B651" t="str">
        <f>"600752"</f>
        <v>600752</v>
      </c>
      <c r="C651" t="s">
        <v>1525</v>
      </c>
      <c r="K651">
        <v>-559995534.17999995</v>
      </c>
      <c r="L651">
        <v>-304589272.61000001</v>
      </c>
      <c r="M651">
        <v>-302402471.88</v>
      </c>
      <c r="N651">
        <v>-286533138.39999998</v>
      </c>
      <c r="O651">
        <v>-275070948.31999999</v>
      </c>
      <c r="P651">
        <v>2</v>
      </c>
      <c r="Q651" t="s">
        <v>1526</v>
      </c>
    </row>
    <row r="652" spans="1:17" x14ac:dyDescent="0.3">
      <c r="A652" t="s">
        <v>17</v>
      </c>
      <c r="B652" t="str">
        <f>"600753"</f>
        <v>600753</v>
      </c>
      <c r="C652" t="s">
        <v>1527</v>
      </c>
      <c r="D652" t="s">
        <v>128</v>
      </c>
      <c r="F652">
        <v>268665105</v>
      </c>
      <c r="G652">
        <v>223151089</v>
      </c>
      <c r="H652">
        <v>201875234</v>
      </c>
      <c r="I652">
        <v>182486082</v>
      </c>
      <c r="J652">
        <v>161555480</v>
      </c>
      <c r="K652">
        <v>142580445</v>
      </c>
      <c r="L652">
        <v>139957580</v>
      </c>
      <c r="M652">
        <v>101344166</v>
      </c>
      <c r="N652">
        <v>100987107</v>
      </c>
      <c r="O652">
        <v>101423761</v>
      </c>
      <c r="P652">
        <v>91</v>
      </c>
      <c r="Q652" t="s">
        <v>1528</v>
      </c>
    </row>
    <row r="653" spans="1:17" x14ac:dyDescent="0.3">
      <c r="A653" t="s">
        <v>17</v>
      </c>
      <c r="B653" t="str">
        <f>"600754"</f>
        <v>600754</v>
      </c>
      <c r="C653" t="s">
        <v>1529</v>
      </c>
      <c r="D653" t="s">
        <v>590</v>
      </c>
      <c r="F653">
        <v>16611607379</v>
      </c>
      <c r="G653">
        <v>12709518765</v>
      </c>
      <c r="H653">
        <v>13255122013</v>
      </c>
      <c r="I653">
        <v>12621560059</v>
      </c>
      <c r="J653">
        <v>12984302937</v>
      </c>
      <c r="K653">
        <v>12801182452</v>
      </c>
      <c r="L653">
        <v>8283799001</v>
      </c>
      <c r="M653">
        <v>8698798318</v>
      </c>
      <c r="N653">
        <v>4343634098</v>
      </c>
      <c r="O653">
        <v>4246411924</v>
      </c>
      <c r="P653">
        <v>668</v>
      </c>
      <c r="Q653" t="s">
        <v>1530</v>
      </c>
    </row>
    <row r="654" spans="1:17" x14ac:dyDescent="0.3">
      <c r="A654" t="s">
        <v>17</v>
      </c>
      <c r="B654" t="str">
        <f>"600755"</f>
        <v>600755</v>
      </c>
      <c r="C654" t="s">
        <v>1531</v>
      </c>
      <c r="D654" t="s">
        <v>128</v>
      </c>
      <c r="F654">
        <v>19040204985</v>
      </c>
      <c r="G654">
        <v>15631389357</v>
      </c>
      <c r="H654">
        <v>13420827313</v>
      </c>
      <c r="I654">
        <v>12213302602</v>
      </c>
      <c r="J654">
        <v>11512691695</v>
      </c>
      <c r="K654">
        <v>8656100468</v>
      </c>
      <c r="L654">
        <v>7942004755</v>
      </c>
      <c r="M654">
        <v>7412130373</v>
      </c>
      <c r="N654">
        <v>5518006681</v>
      </c>
      <c r="O654">
        <v>4756741523</v>
      </c>
      <c r="P654">
        <v>742</v>
      </c>
      <c r="Q654" t="s">
        <v>1532</v>
      </c>
    </row>
    <row r="655" spans="1:17" x14ac:dyDescent="0.3">
      <c r="A655" t="s">
        <v>17</v>
      </c>
      <c r="B655" t="str">
        <f>"600756"</f>
        <v>600756</v>
      </c>
      <c r="C655" t="s">
        <v>1533</v>
      </c>
      <c r="D655" t="s">
        <v>316</v>
      </c>
      <c r="F655">
        <v>2165371530</v>
      </c>
      <c r="G655">
        <v>2123932182</v>
      </c>
      <c r="H655">
        <v>2436954709</v>
      </c>
      <c r="I655">
        <v>2437362614</v>
      </c>
      <c r="J655">
        <v>2150867928</v>
      </c>
      <c r="K655">
        <v>2045853668</v>
      </c>
      <c r="L655">
        <v>962345445</v>
      </c>
      <c r="M655">
        <v>844981593</v>
      </c>
      <c r="N655">
        <v>769004745</v>
      </c>
      <c r="O655">
        <v>780521452</v>
      </c>
      <c r="P655">
        <v>265</v>
      </c>
      <c r="Q655" t="s">
        <v>1534</v>
      </c>
    </row>
    <row r="656" spans="1:17" x14ac:dyDescent="0.3">
      <c r="A656" t="s">
        <v>17</v>
      </c>
      <c r="B656" t="str">
        <f>"600757"</f>
        <v>600757</v>
      </c>
      <c r="C656" t="s">
        <v>1535</v>
      </c>
      <c r="D656" t="s">
        <v>1536</v>
      </c>
      <c r="F656">
        <v>8157026717</v>
      </c>
      <c r="G656">
        <v>7882663063</v>
      </c>
      <c r="H656">
        <v>7287516842</v>
      </c>
      <c r="I656">
        <v>6684146930</v>
      </c>
      <c r="J656">
        <v>6087725290</v>
      </c>
      <c r="K656">
        <v>5532439774</v>
      </c>
      <c r="L656">
        <v>5019101371</v>
      </c>
      <c r="M656">
        <v>4746088313</v>
      </c>
      <c r="N656">
        <v>4447466165</v>
      </c>
      <c r="O656">
        <v>2947791578</v>
      </c>
      <c r="P656">
        <v>437</v>
      </c>
      <c r="Q656" t="s">
        <v>1537</v>
      </c>
    </row>
    <row r="657" spans="1:17" x14ac:dyDescent="0.3">
      <c r="A657" t="s">
        <v>17</v>
      </c>
      <c r="B657" t="str">
        <f>"600758"</f>
        <v>600758</v>
      </c>
      <c r="C657" t="s">
        <v>1538</v>
      </c>
      <c r="D657" t="s">
        <v>298</v>
      </c>
      <c r="F657">
        <v>5068610335</v>
      </c>
      <c r="G657">
        <v>4961243038</v>
      </c>
      <c r="H657">
        <v>5437113589</v>
      </c>
      <c r="I657">
        <v>5440339083</v>
      </c>
      <c r="J657">
        <v>5562516624</v>
      </c>
      <c r="K657">
        <v>5153368403</v>
      </c>
      <c r="L657">
        <v>4967727022</v>
      </c>
      <c r="M657">
        <v>340581314</v>
      </c>
      <c r="N657">
        <v>333894504</v>
      </c>
      <c r="O657">
        <v>322567013</v>
      </c>
      <c r="P657">
        <v>126</v>
      </c>
      <c r="Q657" t="s">
        <v>1539</v>
      </c>
    </row>
    <row r="658" spans="1:17" x14ac:dyDescent="0.3">
      <c r="A658" t="s">
        <v>17</v>
      </c>
      <c r="B658" t="str">
        <f>"600759"</f>
        <v>600759</v>
      </c>
      <c r="C658" t="s">
        <v>1540</v>
      </c>
      <c r="D658" t="s">
        <v>1541</v>
      </c>
      <c r="F658">
        <v>4294414010</v>
      </c>
      <c r="G658">
        <v>5296459758</v>
      </c>
      <c r="H658">
        <v>5364150082</v>
      </c>
      <c r="I658">
        <v>5274961193</v>
      </c>
      <c r="J658">
        <v>5111646325</v>
      </c>
      <c r="K658">
        <v>5581925870</v>
      </c>
      <c r="L658">
        <v>5241027565</v>
      </c>
      <c r="M658">
        <v>5372344885</v>
      </c>
      <c r="N658">
        <v>2265970391</v>
      </c>
      <c r="O658">
        <v>2331230638</v>
      </c>
      <c r="P658">
        <v>125</v>
      </c>
      <c r="Q658" t="s">
        <v>1542</v>
      </c>
    </row>
    <row r="659" spans="1:17" x14ac:dyDescent="0.3">
      <c r="A659" t="s">
        <v>17</v>
      </c>
      <c r="B659" t="str">
        <f>"600760"</f>
        <v>600760</v>
      </c>
      <c r="C659" t="s">
        <v>1543</v>
      </c>
      <c r="D659" t="s">
        <v>98</v>
      </c>
      <c r="F659">
        <v>11412522698</v>
      </c>
      <c r="G659">
        <v>10148447602</v>
      </c>
      <c r="H659">
        <v>8688133453</v>
      </c>
      <c r="I659">
        <v>7862837123</v>
      </c>
      <c r="J659">
        <v>7132901066</v>
      </c>
      <c r="K659">
        <v>439216980</v>
      </c>
      <c r="L659">
        <v>393477767</v>
      </c>
      <c r="M659">
        <v>607293768</v>
      </c>
      <c r="N659">
        <v>749072469</v>
      </c>
      <c r="O659">
        <v>731391611</v>
      </c>
      <c r="P659">
        <v>827</v>
      </c>
      <c r="Q659" t="s">
        <v>1544</v>
      </c>
    </row>
    <row r="660" spans="1:17" x14ac:dyDescent="0.3">
      <c r="A660" t="s">
        <v>17</v>
      </c>
      <c r="B660" t="str">
        <f>"600761"</f>
        <v>600761</v>
      </c>
      <c r="C660" t="s">
        <v>1545</v>
      </c>
      <c r="D660" t="s">
        <v>83</v>
      </c>
      <c r="F660">
        <v>5810446130</v>
      </c>
      <c r="G660">
        <v>5442353291</v>
      </c>
      <c r="H660">
        <v>4971466574</v>
      </c>
      <c r="I660">
        <v>4581406615</v>
      </c>
      <c r="J660">
        <v>4532909973</v>
      </c>
      <c r="K660">
        <v>4309443823</v>
      </c>
      <c r="L660">
        <v>4040657677</v>
      </c>
      <c r="M660">
        <v>3828381579</v>
      </c>
      <c r="N660">
        <v>3412808199</v>
      </c>
      <c r="O660">
        <v>3018675252</v>
      </c>
      <c r="P660">
        <v>442</v>
      </c>
      <c r="Q660" t="s">
        <v>1546</v>
      </c>
    </row>
    <row r="661" spans="1:17" x14ac:dyDescent="0.3">
      <c r="A661" t="s">
        <v>17</v>
      </c>
      <c r="B661" t="str">
        <f>"600763"</f>
        <v>600763</v>
      </c>
      <c r="C661" t="s">
        <v>1547</v>
      </c>
      <c r="D661" t="s">
        <v>1147</v>
      </c>
      <c r="F661">
        <v>2880668974</v>
      </c>
      <c r="G661">
        <v>2150129168</v>
      </c>
      <c r="H661">
        <v>1785441699</v>
      </c>
      <c r="I661">
        <v>1315208573</v>
      </c>
      <c r="J661">
        <v>992569274</v>
      </c>
      <c r="K661">
        <v>817658659</v>
      </c>
      <c r="L661">
        <v>822084717</v>
      </c>
      <c r="M661">
        <v>629602885</v>
      </c>
      <c r="N661">
        <v>519424797</v>
      </c>
      <c r="O661">
        <v>419006795</v>
      </c>
      <c r="P661">
        <v>38183</v>
      </c>
      <c r="Q661" t="s">
        <v>1548</v>
      </c>
    </row>
    <row r="662" spans="1:17" x14ac:dyDescent="0.3">
      <c r="A662" t="s">
        <v>17</v>
      </c>
      <c r="B662" t="str">
        <f>"600764"</f>
        <v>600764</v>
      </c>
      <c r="C662" t="s">
        <v>1549</v>
      </c>
      <c r="D662" t="s">
        <v>167</v>
      </c>
      <c r="F662">
        <v>7441850839</v>
      </c>
      <c r="G662">
        <v>6828986389</v>
      </c>
      <c r="H662">
        <v>4158225262</v>
      </c>
      <c r="I662">
        <v>1064704048</v>
      </c>
      <c r="J662">
        <v>1099861987</v>
      </c>
      <c r="K662">
        <v>511864804</v>
      </c>
      <c r="L662">
        <v>482152776</v>
      </c>
      <c r="M662">
        <v>608032349</v>
      </c>
      <c r="N662">
        <v>605032975</v>
      </c>
      <c r="O662">
        <v>615465875</v>
      </c>
      <c r="P662">
        <v>233</v>
      </c>
      <c r="Q662" t="s">
        <v>1550</v>
      </c>
    </row>
    <row r="663" spans="1:17" x14ac:dyDescent="0.3">
      <c r="A663" t="s">
        <v>17</v>
      </c>
      <c r="B663" t="str">
        <f>"600765"</f>
        <v>600765</v>
      </c>
      <c r="C663" t="s">
        <v>1551</v>
      </c>
      <c r="D663" t="s">
        <v>98</v>
      </c>
      <c r="F663">
        <v>9359613483</v>
      </c>
      <c r="G663">
        <v>6711656205</v>
      </c>
      <c r="H663">
        <v>6129042086</v>
      </c>
      <c r="I663">
        <v>4250204246</v>
      </c>
      <c r="J663">
        <v>3743931291</v>
      </c>
      <c r="K663">
        <v>3503312536</v>
      </c>
      <c r="L663">
        <v>3247132186</v>
      </c>
      <c r="M663">
        <v>3528142516</v>
      </c>
      <c r="N663">
        <v>3353750196</v>
      </c>
      <c r="O663">
        <v>3214764336</v>
      </c>
      <c r="P663">
        <v>355</v>
      </c>
      <c r="Q663" t="s">
        <v>1552</v>
      </c>
    </row>
    <row r="664" spans="1:17" x14ac:dyDescent="0.3">
      <c r="A664" t="s">
        <v>17</v>
      </c>
      <c r="B664" t="str">
        <f>"600766"</f>
        <v>600766</v>
      </c>
      <c r="C664" t="s">
        <v>1553</v>
      </c>
      <c r="D664" t="s">
        <v>701</v>
      </c>
      <c r="F664">
        <v>58348035</v>
      </c>
      <c r="G664">
        <v>55373219</v>
      </c>
      <c r="H664">
        <v>61266419</v>
      </c>
      <c r="I664">
        <v>51471230</v>
      </c>
      <c r="J664">
        <v>55585407</v>
      </c>
      <c r="K664">
        <v>52439613</v>
      </c>
      <c r="L664">
        <v>47400351</v>
      </c>
      <c r="M664">
        <v>34865295</v>
      </c>
      <c r="N664">
        <v>25321052</v>
      </c>
      <c r="O664">
        <v>26043618</v>
      </c>
      <c r="P664">
        <v>79</v>
      </c>
      <c r="Q664" t="s">
        <v>1554</v>
      </c>
    </row>
    <row r="665" spans="1:17" x14ac:dyDescent="0.3">
      <c r="A665" t="s">
        <v>17</v>
      </c>
      <c r="B665" t="str">
        <f>"600767"</f>
        <v>600767</v>
      </c>
      <c r="C665" t="s">
        <v>1555</v>
      </c>
      <c r="D665" t="s">
        <v>125</v>
      </c>
      <c r="F665">
        <v>242762888</v>
      </c>
      <c r="G665">
        <v>223778978</v>
      </c>
      <c r="H665">
        <v>214199594</v>
      </c>
      <c r="I665">
        <v>286300686</v>
      </c>
      <c r="J665">
        <v>266794072</v>
      </c>
      <c r="K665">
        <v>223466304</v>
      </c>
      <c r="L665">
        <v>296190163</v>
      </c>
      <c r="M665">
        <v>366355101</v>
      </c>
      <c r="N665">
        <v>340367089</v>
      </c>
      <c r="O665">
        <v>398860691</v>
      </c>
      <c r="P665">
        <v>62</v>
      </c>
      <c r="Q665" t="s">
        <v>1556</v>
      </c>
    </row>
    <row r="666" spans="1:17" x14ac:dyDescent="0.3">
      <c r="A666" t="s">
        <v>17</v>
      </c>
      <c r="B666" t="str">
        <f>"600768"</f>
        <v>600768</v>
      </c>
      <c r="C666" t="s">
        <v>1557</v>
      </c>
      <c r="D666" t="s">
        <v>504</v>
      </c>
      <c r="F666">
        <v>222667399</v>
      </c>
      <c r="G666">
        <v>226439026</v>
      </c>
      <c r="H666">
        <v>224721462</v>
      </c>
      <c r="I666">
        <v>105271385</v>
      </c>
      <c r="J666">
        <v>135041098</v>
      </c>
      <c r="K666">
        <v>64387013</v>
      </c>
      <c r="L666">
        <v>46073167</v>
      </c>
      <c r="M666">
        <v>98842363</v>
      </c>
      <c r="N666">
        <v>99867719</v>
      </c>
      <c r="O666">
        <v>139574040</v>
      </c>
      <c r="P666">
        <v>88</v>
      </c>
      <c r="Q666" t="s">
        <v>1558</v>
      </c>
    </row>
    <row r="667" spans="1:17" x14ac:dyDescent="0.3">
      <c r="A667" t="s">
        <v>17</v>
      </c>
      <c r="B667" t="str">
        <f>"600769"</f>
        <v>600769</v>
      </c>
      <c r="C667" t="s">
        <v>1559</v>
      </c>
      <c r="D667" t="s">
        <v>33</v>
      </c>
      <c r="F667">
        <v>67325850</v>
      </c>
      <c r="G667">
        <v>60404412</v>
      </c>
      <c r="H667">
        <v>55601807</v>
      </c>
      <c r="I667">
        <v>51722435</v>
      </c>
      <c r="J667">
        <v>48323019</v>
      </c>
      <c r="K667">
        <v>44312157</v>
      </c>
      <c r="L667">
        <v>42520208</v>
      </c>
      <c r="M667">
        <v>36208127</v>
      </c>
      <c r="N667">
        <v>34905264</v>
      </c>
      <c r="O667">
        <v>-480827453</v>
      </c>
      <c r="P667">
        <v>65</v>
      </c>
      <c r="Q667" t="s">
        <v>1560</v>
      </c>
    </row>
    <row r="668" spans="1:17" x14ac:dyDescent="0.3">
      <c r="A668" t="s">
        <v>17</v>
      </c>
      <c r="B668" t="str">
        <f>"600770"</f>
        <v>600770</v>
      </c>
      <c r="C668" t="s">
        <v>1561</v>
      </c>
      <c r="D668" t="s">
        <v>110</v>
      </c>
      <c r="F668">
        <v>3633090179</v>
      </c>
      <c r="G668">
        <v>3707785553</v>
      </c>
      <c r="H668">
        <v>3560192153</v>
      </c>
      <c r="I668">
        <v>3458164347</v>
      </c>
      <c r="J668">
        <v>3518011650</v>
      </c>
      <c r="K668">
        <v>3401777289</v>
      </c>
      <c r="L668">
        <v>3319594178</v>
      </c>
      <c r="M668">
        <v>3425839530</v>
      </c>
      <c r="N668">
        <v>2373826697</v>
      </c>
      <c r="O668">
        <v>3243198749</v>
      </c>
      <c r="P668">
        <v>3055</v>
      </c>
      <c r="Q668" t="s">
        <v>1562</v>
      </c>
    </row>
    <row r="669" spans="1:17" x14ac:dyDescent="0.3">
      <c r="A669" t="s">
        <v>17</v>
      </c>
      <c r="B669" t="str">
        <f>"600771"</f>
        <v>600771</v>
      </c>
      <c r="C669" t="s">
        <v>1563</v>
      </c>
      <c r="D669" t="s">
        <v>188</v>
      </c>
      <c r="F669">
        <v>2099406592</v>
      </c>
      <c r="G669">
        <v>2412130935</v>
      </c>
      <c r="H669">
        <v>2356936419</v>
      </c>
      <c r="I669">
        <v>2287570597</v>
      </c>
      <c r="J669">
        <v>1913826433</v>
      </c>
      <c r="K669">
        <v>1708248138</v>
      </c>
      <c r="L669">
        <v>715044652</v>
      </c>
      <c r="M669">
        <v>84109134</v>
      </c>
      <c r="N669">
        <v>47462751</v>
      </c>
      <c r="O669">
        <v>21209740</v>
      </c>
      <c r="P669">
        <v>477</v>
      </c>
      <c r="Q669" t="s">
        <v>1564</v>
      </c>
    </row>
    <row r="670" spans="1:17" x14ac:dyDescent="0.3">
      <c r="A670" t="s">
        <v>17</v>
      </c>
      <c r="B670" t="str">
        <f>"600773"</f>
        <v>600773</v>
      </c>
      <c r="C670" t="s">
        <v>1565</v>
      </c>
      <c r="D670" t="s">
        <v>104</v>
      </c>
      <c r="F670">
        <v>3687586103</v>
      </c>
      <c r="G670">
        <v>3591714681</v>
      </c>
      <c r="H670">
        <v>3486190121</v>
      </c>
      <c r="I670">
        <v>3307127114</v>
      </c>
      <c r="J670">
        <v>3211934137</v>
      </c>
      <c r="K670">
        <v>2558314500</v>
      </c>
      <c r="L670">
        <v>2487978547</v>
      </c>
      <c r="M670">
        <v>2432842173</v>
      </c>
      <c r="N670">
        <v>1234098783</v>
      </c>
      <c r="O670">
        <v>1172807272</v>
      </c>
      <c r="P670">
        <v>143</v>
      </c>
      <c r="Q670" t="s">
        <v>1566</v>
      </c>
    </row>
    <row r="671" spans="1:17" x14ac:dyDescent="0.3">
      <c r="A671" t="s">
        <v>17</v>
      </c>
      <c r="B671" t="str">
        <f>"600774"</f>
        <v>600774</v>
      </c>
      <c r="C671" t="s">
        <v>1567</v>
      </c>
      <c r="D671" t="s">
        <v>1404</v>
      </c>
      <c r="F671">
        <v>1647013976</v>
      </c>
      <c r="G671">
        <v>662462197</v>
      </c>
      <c r="H671">
        <v>620726028</v>
      </c>
      <c r="I671">
        <v>597892714</v>
      </c>
      <c r="J671">
        <v>583563407</v>
      </c>
      <c r="K671">
        <v>574256586</v>
      </c>
      <c r="L671">
        <v>569595950</v>
      </c>
      <c r="M671">
        <v>559410805</v>
      </c>
      <c r="N671">
        <v>539843716</v>
      </c>
      <c r="O671">
        <v>526372658</v>
      </c>
      <c r="P671">
        <v>84</v>
      </c>
      <c r="Q671" t="s">
        <v>1568</v>
      </c>
    </row>
    <row r="672" spans="1:17" x14ac:dyDescent="0.3">
      <c r="A672" t="s">
        <v>17</v>
      </c>
      <c r="B672" t="str">
        <f>"600775"</f>
        <v>600775</v>
      </c>
      <c r="C672" t="s">
        <v>1569</v>
      </c>
      <c r="D672" t="s">
        <v>786</v>
      </c>
      <c r="F672">
        <v>3527207782</v>
      </c>
      <c r="G672">
        <v>3509430718</v>
      </c>
      <c r="H672">
        <v>3448072752</v>
      </c>
      <c r="I672">
        <v>3468424299</v>
      </c>
      <c r="J672">
        <v>3363593137</v>
      </c>
      <c r="K672">
        <v>3320270553</v>
      </c>
      <c r="L672">
        <v>3263279380</v>
      </c>
      <c r="M672">
        <v>3178952960</v>
      </c>
      <c r="N672">
        <v>3122698041</v>
      </c>
      <c r="O672">
        <v>1684756014</v>
      </c>
      <c r="P672">
        <v>179</v>
      </c>
      <c r="Q672" t="s">
        <v>1570</v>
      </c>
    </row>
    <row r="673" spans="1:17" x14ac:dyDescent="0.3">
      <c r="A673" t="s">
        <v>17</v>
      </c>
      <c r="B673" t="str">
        <f>"600776"</f>
        <v>600776</v>
      </c>
      <c r="C673" t="s">
        <v>1571</v>
      </c>
      <c r="D673" t="s">
        <v>595</v>
      </c>
      <c r="F673">
        <v>3285149202</v>
      </c>
      <c r="G673">
        <v>3185974314</v>
      </c>
      <c r="H673">
        <v>3131664187</v>
      </c>
      <c r="I673">
        <v>3073877814</v>
      </c>
      <c r="J673">
        <v>3021432913</v>
      </c>
      <c r="K673">
        <v>2978584262</v>
      </c>
      <c r="L673">
        <v>2958173413</v>
      </c>
      <c r="M673">
        <v>2865184766</v>
      </c>
      <c r="N673">
        <v>2742757447</v>
      </c>
      <c r="O673">
        <v>2645036420</v>
      </c>
      <c r="P673">
        <v>284</v>
      </c>
      <c r="Q673" t="s">
        <v>1572</v>
      </c>
    </row>
    <row r="674" spans="1:17" x14ac:dyDescent="0.3">
      <c r="A674" t="s">
        <v>17</v>
      </c>
      <c r="B674" t="str">
        <f>"600777"</f>
        <v>600777</v>
      </c>
      <c r="C674" t="s">
        <v>1573</v>
      </c>
      <c r="D674" t="s">
        <v>1541</v>
      </c>
      <c r="F674">
        <v>12206913077</v>
      </c>
      <c r="G674">
        <v>12428067036</v>
      </c>
      <c r="H674">
        <v>16119425780</v>
      </c>
      <c r="I674">
        <v>14820921791</v>
      </c>
      <c r="J674">
        <v>13563528127</v>
      </c>
      <c r="K674">
        <v>5458638907</v>
      </c>
      <c r="L674">
        <v>3447010457</v>
      </c>
      <c r="M674">
        <v>1177871393</v>
      </c>
      <c r="N674">
        <v>1216527809</v>
      </c>
      <c r="O674">
        <v>1183651197</v>
      </c>
      <c r="P674">
        <v>212</v>
      </c>
      <c r="Q674" t="s">
        <v>1574</v>
      </c>
    </row>
    <row r="675" spans="1:17" x14ac:dyDescent="0.3">
      <c r="A675" t="s">
        <v>17</v>
      </c>
      <c r="B675" t="str">
        <f>"600778"</f>
        <v>600778</v>
      </c>
      <c r="C675" t="s">
        <v>1575</v>
      </c>
      <c r="D675" t="s">
        <v>1404</v>
      </c>
      <c r="F675">
        <v>551128649</v>
      </c>
      <c r="G675">
        <v>628369736</v>
      </c>
      <c r="H675">
        <v>913813807</v>
      </c>
      <c r="I675">
        <v>750102090</v>
      </c>
      <c r="J675">
        <v>712808865</v>
      </c>
      <c r="K675">
        <v>1198639465</v>
      </c>
      <c r="L675">
        <v>1598358354</v>
      </c>
      <c r="M675">
        <v>1717823449</v>
      </c>
      <c r="N675">
        <v>1635414263</v>
      </c>
      <c r="O675">
        <v>1457496913</v>
      </c>
      <c r="P675">
        <v>82</v>
      </c>
      <c r="Q675" t="s">
        <v>1576</v>
      </c>
    </row>
    <row r="676" spans="1:17" x14ac:dyDescent="0.3">
      <c r="A676" t="s">
        <v>17</v>
      </c>
      <c r="B676" t="str">
        <f>"600779"</f>
        <v>600779</v>
      </c>
      <c r="C676" t="s">
        <v>1577</v>
      </c>
      <c r="D676" t="s">
        <v>458</v>
      </c>
      <c r="F676">
        <v>2631699776</v>
      </c>
      <c r="G676">
        <v>2135986370</v>
      </c>
      <c r="H676">
        <v>2111993534</v>
      </c>
      <c r="I676">
        <v>1856832693</v>
      </c>
      <c r="J676">
        <v>1580281125</v>
      </c>
      <c r="K676">
        <v>1469524123</v>
      </c>
      <c r="L676">
        <v>1281373150</v>
      </c>
      <c r="M676">
        <v>1205933668</v>
      </c>
      <c r="N676">
        <v>1624407444</v>
      </c>
      <c r="O676">
        <v>1890343694</v>
      </c>
      <c r="P676">
        <v>2794</v>
      </c>
      <c r="Q676" t="s">
        <v>1578</v>
      </c>
    </row>
    <row r="677" spans="1:17" x14ac:dyDescent="0.3">
      <c r="A677" t="s">
        <v>17</v>
      </c>
      <c r="B677" t="str">
        <f>"600780"</f>
        <v>600780</v>
      </c>
      <c r="C677" t="s">
        <v>1579</v>
      </c>
      <c r="D677" t="s">
        <v>41</v>
      </c>
      <c r="F677">
        <v>5750160043</v>
      </c>
      <c r="G677">
        <v>5648046296</v>
      </c>
      <c r="H677">
        <v>5381858509</v>
      </c>
      <c r="I677">
        <v>5101863545</v>
      </c>
      <c r="J677">
        <v>4817508725</v>
      </c>
      <c r="K677">
        <v>4705448315</v>
      </c>
      <c r="L677">
        <v>4579741519</v>
      </c>
      <c r="M677">
        <v>4341526962</v>
      </c>
      <c r="N677">
        <v>3851397789</v>
      </c>
      <c r="O677">
        <v>3532879327</v>
      </c>
      <c r="P677">
        <v>108</v>
      </c>
      <c r="Q677" t="s">
        <v>1580</v>
      </c>
    </row>
    <row r="678" spans="1:17" x14ac:dyDescent="0.3">
      <c r="A678" t="s">
        <v>17</v>
      </c>
      <c r="B678" t="str">
        <f>"600781"</f>
        <v>600781</v>
      </c>
      <c r="C678" t="s">
        <v>1581</v>
      </c>
      <c r="D678" t="s">
        <v>143</v>
      </c>
      <c r="G678">
        <v>3999049574</v>
      </c>
      <c r="H678">
        <v>5779434977</v>
      </c>
      <c r="I678">
        <v>5400594646</v>
      </c>
      <c r="J678">
        <v>4599610504</v>
      </c>
      <c r="K678">
        <v>369148532</v>
      </c>
      <c r="L678">
        <v>354251958</v>
      </c>
      <c r="M678">
        <v>314978366</v>
      </c>
      <c r="N678">
        <v>278035350</v>
      </c>
      <c r="O678">
        <v>258405111</v>
      </c>
      <c r="P678">
        <v>194</v>
      </c>
      <c r="Q678" t="s">
        <v>1582</v>
      </c>
    </row>
    <row r="679" spans="1:17" x14ac:dyDescent="0.3">
      <c r="A679" t="s">
        <v>17</v>
      </c>
      <c r="B679" t="str">
        <f>"600782"</f>
        <v>600782</v>
      </c>
      <c r="C679" t="s">
        <v>1583</v>
      </c>
      <c r="D679" t="s">
        <v>38</v>
      </c>
      <c r="F679">
        <v>26899150392</v>
      </c>
      <c r="G679">
        <v>23498365151</v>
      </c>
      <c r="H679">
        <v>21711391190</v>
      </c>
      <c r="I679">
        <v>18975602490</v>
      </c>
      <c r="J679">
        <v>13350879802</v>
      </c>
      <c r="K679">
        <v>8573668828</v>
      </c>
      <c r="L679">
        <v>8103503768</v>
      </c>
      <c r="M679">
        <v>8038540053</v>
      </c>
      <c r="N679">
        <v>7634062074</v>
      </c>
      <c r="O679">
        <v>7525132927</v>
      </c>
      <c r="P679">
        <v>1414</v>
      </c>
      <c r="Q679" t="s">
        <v>1584</v>
      </c>
    </row>
    <row r="680" spans="1:17" x14ac:dyDescent="0.3">
      <c r="A680" t="s">
        <v>17</v>
      </c>
      <c r="B680" t="str">
        <f>"600783"</f>
        <v>600783</v>
      </c>
      <c r="C680" t="s">
        <v>1585</v>
      </c>
      <c r="D680" t="s">
        <v>110</v>
      </c>
      <c r="F680">
        <v>4193033164</v>
      </c>
      <c r="G680">
        <v>3737282399</v>
      </c>
      <c r="H680">
        <v>3644078737</v>
      </c>
      <c r="I680">
        <v>3623285250</v>
      </c>
      <c r="J680">
        <v>3504138171</v>
      </c>
      <c r="K680">
        <v>3717901585</v>
      </c>
      <c r="L680">
        <v>3426509993</v>
      </c>
      <c r="M680">
        <v>3277865014</v>
      </c>
      <c r="N680">
        <v>3050123289</v>
      </c>
      <c r="O680">
        <v>2917177033</v>
      </c>
      <c r="P680">
        <v>124</v>
      </c>
      <c r="Q680" t="s">
        <v>1586</v>
      </c>
    </row>
    <row r="681" spans="1:17" x14ac:dyDescent="0.3">
      <c r="A681" t="s">
        <v>17</v>
      </c>
      <c r="B681" t="str">
        <f>"600784"</f>
        <v>600784</v>
      </c>
      <c r="C681" t="s">
        <v>1587</v>
      </c>
      <c r="D681" t="s">
        <v>110</v>
      </c>
      <c r="F681">
        <v>1871751666</v>
      </c>
      <c r="G681">
        <v>1684040678</v>
      </c>
      <c r="H681">
        <v>1550771655</v>
      </c>
      <c r="I681">
        <v>1502770711</v>
      </c>
      <c r="J681">
        <v>1432894298</v>
      </c>
      <c r="K681">
        <v>1601466637</v>
      </c>
      <c r="L681">
        <v>1441101216</v>
      </c>
      <c r="M681">
        <v>1404559944</v>
      </c>
      <c r="N681">
        <v>986062267</v>
      </c>
      <c r="O681">
        <v>903888382</v>
      </c>
      <c r="P681">
        <v>75</v>
      </c>
      <c r="Q681" t="s">
        <v>1588</v>
      </c>
    </row>
    <row r="682" spans="1:17" x14ac:dyDescent="0.3">
      <c r="A682" t="s">
        <v>17</v>
      </c>
      <c r="B682" t="str">
        <f>"600785"</f>
        <v>600785</v>
      </c>
      <c r="C682" t="s">
        <v>1589</v>
      </c>
      <c r="D682" t="s">
        <v>1404</v>
      </c>
      <c r="F682">
        <v>1951974933</v>
      </c>
      <c r="G682">
        <v>2368581790</v>
      </c>
      <c r="H682">
        <v>2370421823</v>
      </c>
      <c r="I682">
        <v>2125454463</v>
      </c>
      <c r="J682">
        <v>1988111728</v>
      </c>
      <c r="K682">
        <v>1918616445</v>
      </c>
      <c r="L682">
        <v>1855658155</v>
      </c>
      <c r="M682">
        <v>1718930344</v>
      </c>
      <c r="N682">
        <v>1546803507</v>
      </c>
      <c r="O682">
        <v>1407941060</v>
      </c>
      <c r="P682">
        <v>99</v>
      </c>
      <c r="Q682" t="s">
        <v>1590</v>
      </c>
    </row>
    <row r="683" spans="1:17" x14ac:dyDescent="0.3">
      <c r="A683" t="s">
        <v>17</v>
      </c>
      <c r="B683" t="str">
        <f>"600787"</f>
        <v>600787</v>
      </c>
      <c r="C683" t="s">
        <v>1591</v>
      </c>
      <c r="D683" t="s">
        <v>1592</v>
      </c>
      <c r="F683">
        <v>12741602534</v>
      </c>
      <c r="G683">
        <v>11725867067</v>
      </c>
      <c r="H683">
        <v>11194284193</v>
      </c>
      <c r="I683">
        <v>11043869032</v>
      </c>
      <c r="J683">
        <v>10556836774</v>
      </c>
      <c r="K683">
        <v>9361503705</v>
      </c>
      <c r="L683">
        <v>8654668279</v>
      </c>
      <c r="M683">
        <v>6087155863</v>
      </c>
      <c r="N683">
        <v>5599351967</v>
      </c>
      <c r="O683">
        <v>4477475510</v>
      </c>
      <c r="P683">
        <v>165</v>
      </c>
      <c r="Q683" t="s">
        <v>1593</v>
      </c>
    </row>
    <row r="684" spans="1:17" x14ac:dyDescent="0.3">
      <c r="A684" t="s">
        <v>17</v>
      </c>
      <c r="B684" t="str">
        <f>"600788"</f>
        <v>600788</v>
      </c>
      <c r="C684" t="s">
        <v>1594</v>
      </c>
      <c r="K684">
        <v>-214798219.56999999</v>
      </c>
      <c r="P684">
        <v>5</v>
      </c>
      <c r="Q684" t="s">
        <v>1595</v>
      </c>
    </row>
    <row r="685" spans="1:17" x14ac:dyDescent="0.3">
      <c r="A685" t="s">
        <v>17</v>
      </c>
      <c r="B685" t="str">
        <f>"600789"</f>
        <v>600789</v>
      </c>
      <c r="C685" t="s">
        <v>1596</v>
      </c>
      <c r="D685" t="s">
        <v>143</v>
      </c>
      <c r="F685">
        <v>3254030523</v>
      </c>
      <c r="G685">
        <v>3213975897</v>
      </c>
      <c r="H685">
        <v>3021159129</v>
      </c>
      <c r="I685">
        <v>2927215866</v>
      </c>
      <c r="J685">
        <v>1957905627</v>
      </c>
      <c r="K685">
        <v>1855300431</v>
      </c>
      <c r="L685">
        <v>1810198429</v>
      </c>
      <c r="M685">
        <v>1408811411</v>
      </c>
      <c r="N685">
        <v>1527517110</v>
      </c>
      <c r="O685">
        <v>1518646436</v>
      </c>
      <c r="P685">
        <v>245</v>
      </c>
      <c r="Q685" t="s">
        <v>1597</v>
      </c>
    </row>
    <row r="686" spans="1:17" x14ac:dyDescent="0.3">
      <c r="A686" t="s">
        <v>17</v>
      </c>
      <c r="B686" t="str">
        <f>"600790"</f>
        <v>600790</v>
      </c>
      <c r="C686" t="s">
        <v>1598</v>
      </c>
      <c r="D686" t="s">
        <v>271</v>
      </c>
      <c r="F686">
        <v>5816673460</v>
      </c>
      <c r="G686">
        <v>5721203137</v>
      </c>
      <c r="H686">
        <v>5860576998</v>
      </c>
      <c r="I686">
        <v>5357560277</v>
      </c>
      <c r="J686">
        <v>4920605930</v>
      </c>
      <c r="K686">
        <v>4731450793</v>
      </c>
      <c r="L686">
        <v>3705618021</v>
      </c>
      <c r="M686">
        <v>3400839678</v>
      </c>
      <c r="N686">
        <v>3212194856</v>
      </c>
      <c r="O686">
        <v>3032813278</v>
      </c>
      <c r="P686">
        <v>184</v>
      </c>
      <c r="Q686" t="s">
        <v>1599</v>
      </c>
    </row>
    <row r="687" spans="1:17" x14ac:dyDescent="0.3">
      <c r="A687" t="s">
        <v>17</v>
      </c>
      <c r="B687" t="str">
        <f>"600791"</f>
        <v>600791</v>
      </c>
      <c r="C687" t="s">
        <v>1600</v>
      </c>
      <c r="D687" t="s">
        <v>104</v>
      </c>
      <c r="F687">
        <v>1456294512</v>
      </c>
      <c r="G687">
        <v>1583312257</v>
      </c>
      <c r="H687">
        <v>1703192413</v>
      </c>
      <c r="I687">
        <v>1656597006</v>
      </c>
      <c r="J687">
        <v>1613854142</v>
      </c>
      <c r="K687">
        <v>1538087709</v>
      </c>
      <c r="L687">
        <v>1501779103</v>
      </c>
      <c r="M687">
        <v>1433764972</v>
      </c>
      <c r="N687">
        <v>1371975236</v>
      </c>
      <c r="O687">
        <v>1239173212</v>
      </c>
      <c r="P687">
        <v>105</v>
      </c>
      <c r="Q687" t="s">
        <v>1601</v>
      </c>
    </row>
    <row r="688" spans="1:17" x14ac:dyDescent="0.3">
      <c r="A688" t="s">
        <v>17</v>
      </c>
      <c r="B688" t="str">
        <f>"600792"</f>
        <v>600792</v>
      </c>
      <c r="C688" t="s">
        <v>1602</v>
      </c>
      <c r="D688" t="s">
        <v>885</v>
      </c>
      <c r="F688">
        <v>3366659604</v>
      </c>
      <c r="G688">
        <v>3416616206</v>
      </c>
      <c r="H688">
        <v>3356217092</v>
      </c>
      <c r="I688">
        <v>3107025729</v>
      </c>
      <c r="J688">
        <v>2915325719</v>
      </c>
      <c r="K688">
        <v>2972228314</v>
      </c>
      <c r="L688">
        <v>2754406635</v>
      </c>
      <c r="M688">
        <v>3421214716</v>
      </c>
      <c r="N688">
        <v>3175162941</v>
      </c>
      <c r="O688">
        <v>2229419373</v>
      </c>
      <c r="P688">
        <v>97</v>
      </c>
      <c r="Q688" t="s">
        <v>1603</v>
      </c>
    </row>
    <row r="689" spans="1:17" x14ac:dyDescent="0.3">
      <c r="A689" t="s">
        <v>17</v>
      </c>
      <c r="B689" t="str">
        <f>"600793"</f>
        <v>600793</v>
      </c>
      <c r="C689" t="s">
        <v>1604</v>
      </c>
      <c r="D689" t="s">
        <v>244</v>
      </c>
      <c r="F689">
        <v>628325283</v>
      </c>
      <c r="G689">
        <v>600001070</v>
      </c>
      <c r="H689">
        <v>699565706</v>
      </c>
      <c r="I689">
        <v>320166284</v>
      </c>
      <c r="J689">
        <v>145703742</v>
      </c>
      <c r="K689">
        <v>53239082</v>
      </c>
      <c r="L689">
        <v>50060841</v>
      </c>
      <c r="M689">
        <v>41184236</v>
      </c>
      <c r="N689">
        <v>32835558</v>
      </c>
      <c r="O689">
        <v>25582267</v>
      </c>
      <c r="P689">
        <v>109</v>
      </c>
      <c r="Q689" t="s">
        <v>1605</v>
      </c>
    </row>
    <row r="690" spans="1:17" x14ac:dyDescent="0.3">
      <c r="A690" t="s">
        <v>17</v>
      </c>
      <c r="B690" t="str">
        <f>"600794"</f>
        <v>600794</v>
      </c>
      <c r="C690" t="s">
        <v>1606</v>
      </c>
      <c r="D690" t="s">
        <v>1592</v>
      </c>
      <c r="F690">
        <v>2249840048</v>
      </c>
      <c r="G690">
        <v>2165607241</v>
      </c>
      <c r="H690">
        <v>1950837908</v>
      </c>
      <c r="I690">
        <v>1807518879</v>
      </c>
      <c r="J690">
        <v>1792670840</v>
      </c>
      <c r="K690">
        <v>2007746117</v>
      </c>
      <c r="L690">
        <v>1885087062</v>
      </c>
      <c r="M690">
        <v>1782050901</v>
      </c>
      <c r="N690">
        <v>1000283024</v>
      </c>
      <c r="O690">
        <v>877723202</v>
      </c>
      <c r="P690">
        <v>100</v>
      </c>
      <c r="Q690" t="s">
        <v>1607</v>
      </c>
    </row>
    <row r="691" spans="1:17" x14ac:dyDescent="0.3">
      <c r="A691" t="s">
        <v>17</v>
      </c>
      <c r="B691" t="str">
        <f>"600795"</f>
        <v>600795</v>
      </c>
      <c r="C691" t="s">
        <v>1608</v>
      </c>
      <c r="D691" t="s">
        <v>41</v>
      </c>
      <c r="F691">
        <v>43817791837</v>
      </c>
      <c r="G691">
        <v>49983685590</v>
      </c>
      <c r="H691">
        <v>50948885640</v>
      </c>
      <c r="I691">
        <v>48091352979</v>
      </c>
      <c r="J691">
        <v>48821723435</v>
      </c>
      <c r="K691">
        <v>49345471339</v>
      </c>
      <c r="L691">
        <v>47708764545</v>
      </c>
      <c r="M691">
        <v>47152725295</v>
      </c>
      <c r="N691">
        <v>38314541050</v>
      </c>
      <c r="O691">
        <v>34647004633</v>
      </c>
      <c r="P691">
        <v>548</v>
      </c>
      <c r="Q691" t="s">
        <v>1609</v>
      </c>
    </row>
    <row r="692" spans="1:17" x14ac:dyDescent="0.3">
      <c r="A692" t="s">
        <v>17</v>
      </c>
      <c r="B692" t="str">
        <f>"600796"</f>
        <v>600796</v>
      </c>
      <c r="C692" t="s">
        <v>1610</v>
      </c>
      <c r="D692" t="s">
        <v>853</v>
      </c>
      <c r="F692">
        <v>2893001169</v>
      </c>
      <c r="G692">
        <v>601201432</v>
      </c>
      <c r="H692">
        <v>597091102</v>
      </c>
      <c r="I692">
        <v>577949891</v>
      </c>
      <c r="J692">
        <v>631629461</v>
      </c>
      <c r="K692">
        <v>605531974</v>
      </c>
      <c r="L692">
        <v>572534526</v>
      </c>
      <c r="M692">
        <v>546097565</v>
      </c>
      <c r="N692">
        <v>532812938</v>
      </c>
      <c r="O692">
        <v>502065067</v>
      </c>
      <c r="P692">
        <v>74</v>
      </c>
      <c r="Q692" t="s">
        <v>1611</v>
      </c>
    </row>
    <row r="693" spans="1:17" x14ac:dyDescent="0.3">
      <c r="A693" t="s">
        <v>17</v>
      </c>
      <c r="B693" t="str">
        <f>"600797"</f>
        <v>600797</v>
      </c>
      <c r="C693" t="s">
        <v>1612</v>
      </c>
      <c r="D693" t="s">
        <v>316</v>
      </c>
      <c r="F693">
        <v>3445037364</v>
      </c>
      <c r="G693">
        <v>4063130919</v>
      </c>
      <c r="H693">
        <v>4403523151</v>
      </c>
      <c r="I693">
        <v>4493676083</v>
      </c>
      <c r="J693">
        <v>4464907454</v>
      </c>
      <c r="K693">
        <v>2265484707</v>
      </c>
      <c r="L693">
        <v>2053034816</v>
      </c>
      <c r="M693">
        <v>1544596416</v>
      </c>
      <c r="N693">
        <v>1822763963</v>
      </c>
      <c r="O693">
        <v>1828460362</v>
      </c>
      <c r="P693">
        <v>221</v>
      </c>
      <c r="Q693" t="s">
        <v>1613</v>
      </c>
    </row>
    <row r="694" spans="1:17" x14ac:dyDescent="0.3">
      <c r="A694" t="s">
        <v>17</v>
      </c>
      <c r="B694" t="str">
        <f>"600798"</f>
        <v>600798</v>
      </c>
      <c r="C694" t="s">
        <v>1614</v>
      </c>
      <c r="D694" t="s">
        <v>69</v>
      </c>
      <c r="F694">
        <v>3871204413</v>
      </c>
      <c r="G694">
        <v>3629777140</v>
      </c>
      <c r="H694">
        <v>3536970813</v>
      </c>
      <c r="I694">
        <v>3443419183</v>
      </c>
      <c r="J694">
        <v>2830608005</v>
      </c>
      <c r="K694">
        <v>2713381494</v>
      </c>
      <c r="L694">
        <v>2634842220</v>
      </c>
      <c r="M694">
        <v>1933011234</v>
      </c>
      <c r="N694">
        <v>1928650164</v>
      </c>
      <c r="O694">
        <v>1924314661</v>
      </c>
      <c r="P694">
        <v>142</v>
      </c>
      <c r="Q694" t="s">
        <v>1615</v>
      </c>
    </row>
    <row r="695" spans="1:17" x14ac:dyDescent="0.3">
      <c r="A695" t="s">
        <v>17</v>
      </c>
      <c r="B695" t="str">
        <f>"600800"</f>
        <v>600800</v>
      </c>
      <c r="C695" t="s">
        <v>1616</v>
      </c>
      <c r="D695" t="s">
        <v>1617</v>
      </c>
      <c r="F695">
        <v>2945228067</v>
      </c>
      <c r="G695">
        <v>2773315499</v>
      </c>
      <c r="H695">
        <v>87960253</v>
      </c>
      <c r="I695">
        <v>153005026</v>
      </c>
      <c r="J695">
        <v>58504960</v>
      </c>
      <c r="K695">
        <v>118267949</v>
      </c>
      <c r="L695">
        <v>88973833</v>
      </c>
      <c r="M695">
        <v>110458144</v>
      </c>
      <c r="N695">
        <v>75222729</v>
      </c>
      <c r="O695">
        <v>68035279</v>
      </c>
      <c r="P695">
        <v>147</v>
      </c>
      <c r="Q695" t="s">
        <v>1618</v>
      </c>
    </row>
    <row r="696" spans="1:17" x14ac:dyDescent="0.3">
      <c r="A696" t="s">
        <v>17</v>
      </c>
      <c r="B696" t="str">
        <f>"600801"</f>
        <v>600801</v>
      </c>
      <c r="C696" t="s">
        <v>1619</v>
      </c>
      <c r="D696" t="s">
        <v>731</v>
      </c>
      <c r="F696">
        <v>26729911468</v>
      </c>
      <c r="G696">
        <v>23571375317</v>
      </c>
      <c r="H696">
        <v>21309042690</v>
      </c>
      <c r="I696">
        <v>16672962778</v>
      </c>
      <c r="J696">
        <v>11899804274</v>
      </c>
      <c r="K696">
        <v>9994864233</v>
      </c>
      <c r="L696">
        <v>9605669251</v>
      </c>
      <c r="M696">
        <v>9780495250</v>
      </c>
      <c r="N696">
        <v>8740467757</v>
      </c>
      <c r="O696">
        <v>7734577308</v>
      </c>
      <c r="P696">
        <v>1595</v>
      </c>
      <c r="Q696" t="s">
        <v>1620</v>
      </c>
    </row>
    <row r="697" spans="1:17" x14ac:dyDescent="0.3">
      <c r="A697" t="s">
        <v>17</v>
      </c>
      <c r="B697" t="str">
        <f>"600802"</f>
        <v>600802</v>
      </c>
      <c r="C697" t="s">
        <v>1621</v>
      </c>
      <c r="D697" t="s">
        <v>731</v>
      </c>
      <c r="F697">
        <v>1930058942</v>
      </c>
      <c r="G697">
        <v>1661418540</v>
      </c>
      <c r="H697">
        <v>1395365288</v>
      </c>
      <c r="I697">
        <v>855474686</v>
      </c>
      <c r="J697">
        <v>603146303</v>
      </c>
      <c r="K697">
        <v>734452328</v>
      </c>
      <c r="L697">
        <v>957691159</v>
      </c>
      <c r="M697">
        <v>1354541673</v>
      </c>
      <c r="N697">
        <v>1054923861</v>
      </c>
      <c r="O697">
        <v>1185557091</v>
      </c>
      <c r="P697">
        <v>248</v>
      </c>
      <c r="Q697" t="s">
        <v>1622</v>
      </c>
    </row>
    <row r="698" spans="1:17" x14ac:dyDescent="0.3">
      <c r="A698" t="s">
        <v>17</v>
      </c>
      <c r="B698" t="str">
        <f>"600803"</f>
        <v>600803</v>
      </c>
      <c r="C698" t="s">
        <v>1623</v>
      </c>
      <c r="D698" t="s">
        <v>749</v>
      </c>
      <c r="F698">
        <v>14833220000</v>
      </c>
      <c r="G698">
        <v>8132290000</v>
      </c>
      <c r="H698">
        <v>9353552584</v>
      </c>
      <c r="I698">
        <v>8541895933</v>
      </c>
      <c r="J698">
        <v>5153132802</v>
      </c>
      <c r="K698">
        <v>4544088651</v>
      </c>
      <c r="L698">
        <v>4257761069</v>
      </c>
      <c r="M698">
        <v>4497817168</v>
      </c>
      <c r="N698">
        <v>3734762739</v>
      </c>
      <c r="O698">
        <v>815572086</v>
      </c>
      <c r="P698">
        <v>577</v>
      </c>
      <c r="Q698" t="s">
        <v>1624</v>
      </c>
    </row>
    <row r="699" spans="1:17" x14ac:dyDescent="0.3">
      <c r="A699" t="s">
        <v>17</v>
      </c>
      <c r="B699" t="str">
        <f>"600804"</f>
        <v>600804</v>
      </c>
      <c r="C699" t="s">
        <v>1625</v>
      </c>
      <c r="D699" t="s">
        <v>107</v>
      </c>
      <c r="F699">
        <v>1373667679</v>
      </c>
      <c r="G699">
        <v>900393835</v>
      </c>
      <c r="H699">
        <v>750510418</v>
      </c>
      <c r="I699">
        <v>6899209686</v>
      </c>
      <c r="J699">
        <v>7155852405</v>
      </c>
      <c r="K699">
        <v>6348909948</v>
      </c>
      <c r="L699">
        <v>5496581565</v>
      </c>
      <c r="M699">
        <v>4905458139</v>
      </c>
      <c r="N699">
        <v>4299793123</v>
      </c>
      <c r="O699">
        <v>3728996338</v>
      </c>
      <c r="P699">
        <v>460</v>
      </c>
      <c r="Q699" t="s">
        <v>1626</v>
      </c>
    </row>
    <row r="700" spans="1:17" x14ac:dyDescent="0.3">
      <c r="A700" t="s">
        <v>17</v>
      </c>
      <c r="B700" t="str">
        <f>"600805"</f>
        <v>600805</v>
      </c>
      <c r="C700" t="s">
        <v>1627</v>
      </c>
      <c r="D700" t="s">
        <v>110</v>
      </c>
      <c r="F700">
        <v>4173017178</v>
      </c>
      <c r="G700">
        <v>4934351742</v>
      </c>
      <c r="H700">
        <v>6211441218</v>
      </c>
      <c r="I700">
        <v>6051628328</v>
      </c>
      <c r="J700">
        <v>6091562058</v>
      </c>
      <c r="K700">
        <v>6562107694</v>
      </c>
      <c r="L700">
        <v>6319739757</v>
      </c>
      <c r="M700">
        <v>6303202463</v>
      </c>
      <c r="N700">
        <v>5220482597</v>
      </c>
      <c r="O700">
        <v>4034572399</v>
      </c>
      <c r="P700">
        <v>106</v>
      </c>
      <c r="Q700" t="s">
        <v>1628</v>
      </c>
    </row>
    <row r="701" spans="1:17" x14ac:dyDescent="0.3">
      <c r="A701" t="s">
        <v>17</v>
      </c>
      <c r="B701" t="str">
        <f>"600806"</f>
        <v>600806</v>
      </c>
      <c r="C701" t="s">
        <v>1629</v>
      </c>
      <c r="J701">
        <v>-38221029</v>
      </c>
      <c r="K701">
        <v>418150146</v>
      </c>
      <c r="L701">
        <v>889172358.15999997</v>
      </c>
      <c r="M701">
        <v>1085557573.8199999</v>
      </c>
      <c r="N701">
        <v>1325736720.1700001</v>
      </c>
      <c r="O701">
        <v>1318296555.8299999</v>
      </c>
      <c r="P701">
        <v>11</v>
      </c>
      <c r="Q701" t="s">
        <v>1630</v>
      </c>
    </row>
    <row r="702" spans="1:17" x14ac:dyDescent="0.3">
      <c r="A702" t="s">
        <v>17</v>
      </c>
      <c r="B702" t="str">
        <f>"600807"</f>
        <v>600807</v>
      </c>
      <c r="C702" t="s">
        <v>1631</v>
      </c>
      <c r="D702" t="s">
        <v>104</v>
      </c>
      <c r="F702">
        <v>442104186</v>
      </c>
      <c r="G702">
        <v>486765509</v>
      </c>
      <c r="H702">
        <v>1297661030</v>
      </c>
      <c r="I702">
        <v>1228717962</v>
      </c>
      <c r="J702">
        <v>1244539929</v>
      </c>
      <c r="K702">
        <v>1915682853</v>
      </c>
      <c r="L702">
        <v>1637086122</v>
      </c>
      <c r="M702">
        <v>587833710</v>
      </c>
      <c r="N702">
        <v>506705606</v>
      </c>
      <c r="O702">
        <v>491648021</v>
      </c>
      <c r="P702">
        <v>111</v>
      </c>
      <c r="Q702" t="s">
        <v>1632</v>
      </c>
    </row>
    <row r="703" spans="1:17" x14ac:dyDescent="0.3">
      <c r="A703" t="s">
        <v>17</v>
      </c>
      <c r="B703" t="str">
        <f>"600808"</f>
        <v>600808</v>
      </c>
      <c r="C703" t="s">
        <v>1633</v>
      </c>
      <c r="D703" t="s">
        <v>38</v>
      </c>
      <c r="F703">
        <v>32752858934</v>
      </c>
      <c r="G703">
        <v>28386124992</v>
      </c>
      <c r="H703">
        <v>26933162065</v>
      </c>
      <c r="I703">
        <v>28173623272</v>
      </c>
      <c r="J703">
        <v>23895739812</v>
      </c>
      <c r="K703">
        <v>19764171955</v>
      </c>
      <c r="L703">
        <v>18455838015</v>
      </c>
      <c r="M703">
        <v>23295565989</v>
      </c>
      <c r="N703">
        <v>23131445621</v>
      </c>
      <c r="O703">
        <v>23126644187</v>
      </c>
      <c r="P703">
        <v>636</v>
      </c>
      <c r="Q703" t="s">
        <v>1634</v>
      </c>
    </row>
    <row r="704" spans="1:17" x14ac:dyDescent="0.3">
      <c r="A704" t="s">
        <v>17</v>
      </c>
      <c r="B704" t="str">
        <f>"600809"</f>
        <v>600809</v>
      </c>
      <c r="C704" t="s">
        <v>1635</v>
      </c>
      <c r="D704" t="s">
        <v>458</v>
      </c>
      <c r="F704">
        <v>15222725795</v>
      </c>
      <c r="G704">
        <v>9776959789</v>
      </c>
      <c r="H704">
        <v>7446945788</v>
      </c>
      <c r="I704">
        <v>6214160849</v>
      </c>
      <c r="J704">
        <v>5236179627</v>
      </c>
      <c r="K704">
        <v>4760065136</v>
      </c>
      <c r="L704">
        <v>4424730319</v>
      </c>
      <c r="M704">
        <v>3891860999</v>
      </c>
      <c r="N704">
        <v>3828853355</v>
      </c>
      <c r="O704">
        <v>3552280245</v>
      </c>
      <c r="P704">
        <v>3742</v>
      </c>
      <c r="Q704" t="s">
        <v>1636</v>
      </c>
    </row>
    <row r="705" spans="1:17" x14ac:dyDescent="0.3">
      <c r="A705" t="s">
        <v>17</v>
      </c>
      <c r="B705" t="str">
        <f>"600810"</f>
        <v>600810</v>
      </c>
      <c r="C705" t="s">
        <v>1637</v>
      </c>
      <c r="D705" t="s">
        <v>1638</v>
      </c>
      <c r="F705">
        <v>7712411081</v>
      </c>
      <c r="G705">
        <v>4819738419</v>
      </c>
      <c r="H705">
        <v>3370465481</v>
      </c>
      <c r="I705">
        <v>3179099955</v>
      </c>
      <c r="J705">
        <v>2529585809</v>
      </c>
      <c r="K705">
        <v>2462465211</v>
      </c>
      <c r="L705">
        <v>2385183806</v>
      </c>
      <c r="M705">
        <v>2322054202</v>
      </c>
      <c r="N705">
        <v>2292330727</v>
      </c>
      <c r="O705">
        <v>2273331674</v>
      </c>
      <c r="P705">
        <v>354</v>
      </c>
      <c r="Q705" t="s">
        <v>1639</v>
      </c>
    </row>
    <row r="706" spans="1:17" x14ac:dyDescent="0.3">
      <c r="A706" t="s">
        <v>17</v>
      </c>
      <c r="B706" t="str">
        <f>"600811"</f>
        <v>600811</v>
      </c>
      <c r="C706" t="s">
        <v>1640</v>
      </c>
      <c r="D706" t="s">
        <v>110</v>
      </c>
      <c r="F706">
        <v>19414186363</v>
      </c>
      <c r="G706">
        <v>21122037537</v>
      </c>
      <c r="H706">
        <v>21016239832</v>
      </c>
      <c r="I706">
        <v>20589865019</v>
      </c>
      <c r="J706">
        <v>20083196205</v>
      </c>
      <c r="K706">
        <v>19383836458</v>
      </c>
      <c r="L706">
        <v>10384707984</v>
      </c>
      <c r="M706">
        <v>10147599393</v>
      </c>
      <c r="N706">
        <v>8422273778</v>
      </c>
      <c r="O706">
        <v>7345809899</v>
      </c>
      <c r="P706">
        <v>205</v>
      </c>
      <c r="Q706" t="s">
        <v>1641</v>
      </c>
    </row>
    <row r="707" spans="1:17" x14ac:dyDescent="0.3">
      <c r="A707" t="s">
        <v>17</v>
      </c>
      <c r="B707" t="str">
        <f>"600812"</f>
        <v>600812</v>
      </c>
      <c r="C707" t="s">
        <v>1642</v>
      </c>
      <c r="D707" t="s">
        <v>143</v>
      </c>
      <c r="F707">
        <v>6085481126</v>
      </c>
      <c r="G707">
        <v>6124327256</v>
      </c>
      <c r="H707">
        <v>5560028966</v>
      </c>
      <c r="I707">
        <v>5442464535</v>
      </c>
      <c r="J707">
        <v>5306362380</v>
      </c>
      <c r="K707">
        <v>5312746741</v>
      </c>
      <c r="L707">
        <v>5288411983</v>
      </c>
      <c r="M707">
        <v>5203653416</v>
      </c>
      <c r="N707">
        <v>4039125515</v>
      </c>
      <c r="O707">
        <v>4072222165</v>
      </c>
      <c r="P707">
        <v>226</v>
      </c>
      <c r="Q707" t="s">
        <v>1643</v>
      </c>
    </row>
    <row r="708" spans="1:17" x14ac:dyDescent="0.3">
      <c r="A708" t="s">
        <v>17</v>
      </c>
      <c r="B708" t="str">
        <f>"600813"</f>
        <v>600813</v>
      </c>
      <c r="C708" t="s">
        <v>1644</v>
      </c>
      <c r="K708">
        <v>38530482.539999999</v>
      </c>
      <c r="L708">
        <v>16957931.079999998</v>
      </c>
      <c r="M708">
        <v>-2776720749.5100002</v>
      </c>
      <c r="N708">
        <v>-2249999638.2800002</v>
      </c>
      <c r="O708">
        <v>-2142707708.53</v>
      </c>
      <c r="P708">
        <v>2</v>
      </c>
      <c r="Q708" t="s">
        <v>1645</v>
      </c>
    </row>
    <row r="709" spans="1:17" x14ac:dyDescent="0.3">
      <c r="A709" t="s">
        <v>17</v>
      </c>
      <c r="B709" t="str">
        <f>"600814"</f>
        <v>600814</v>
      </c>
      <c r="C709" t="s">
        <v>1646</v>
      </c>
      <c r="D709" t="s">
        <v>633</v>
      </c>
      <c r="F709">
        <v>3138865433</v>
      </c>
      <c r="G709">
        <v>2765832642</v>
      </c>
      <c r="H709">
        <v>2570464435</v>
      </c>
      <c r="I709">
        <v>2381653597</v>
      </c>
      <c r="J709">
        <v>2320033224</v>
      </c>
      <c r="K709">
        <v>2220753402</v>
      </c>
      <c r="L709">
        <v>2006004855</v>
      </c>
      <c r="M709">
        <v>1854875118</v>
      </c>
      <c r="N709">
        <v>817946766</v>
      </c>
      <c r="O709">
        <v>775604579</v>
      </c>
      <c r="P709">
        <v>150</v>
      </c>
      <c r="Q709" t="s">
        <v>1647</v>
      </c>
    </row>
    <row r="710" spans="1:17" x14ac:dyDescent="0.3">
      <c r="A710" t="s">
        <v>17</v>
      </c>
      <c r="B710" t="str">
        <f>"600815"</f>
        <v>600815</v>
      </c>
      <c r="C710" t="s">
        <v>1648</v>
      </c>
      <c r="D710" t="s">
        <v>83</v>
      </c>
      <c r="F710">
        <v>1257374883</v>
      </c>
      <c r="G710">
        <v>1369330147</v>
      </c>
      <c r="H710">
        <v>1326961235</v>
      </c>
      <c r="I710">
        <v>-185411457</v>
      </c>
      <c r="J710">
        <v>546391833</v>
      </c>
      <c r="K710">
        <v>385019931</v>
      </c>
      <c r="L710">
        <v>3075824585</v>
      </c>
      <c r="M710">
        <v>4072865747</v>
      </c>
      <c r="N710">
        <v>4063028215</v>
      </c>
      <c r="O710">
        <v>4700854759</v>
      </c>
      <c r="P710">
        <v>67</v>
      </c>
      <c r="Q710" t="s">
        <v>1649</v>
      </c>
    </row>
    <row r="711" spans="1:17" x14ac:dyDescent="0.3">
      <c r="A711" t="s">
        <v>17</v>
      </c>
      <c r="B711" t="str">
        <f>"600816"</f>
        <v>600816</v>
      </c>
      <c r="C711" t="s">
        <v>1650</v>
      </c>
      <c r="D711" t="s">
        <v>1651</v>
      </c>
      <c r="F711">
        <v>249553314</v>
      </c>
      <c r="G711">
        <v>892905151</v>
      </c>
      <c r="H711">
        <v>7630907984</v>
      </c>
      <c r="I711">
        <v>12011949119</v>
      </c>
      <c r="J711">
        <v>16191481860</v>
      </c>
      <c r="K711">
        <v>13718166573</v>
      </c>
      <c r="L711">
        <v>6308919297</v>
      </c>
      <c r="M711">
        <v>1804637335</v>
      </c>
      <c r="N711">
        <v>864764327</v>
      </c>
      <c r="O711">
        <v>630573505</v>
      </c>
      <c r="P711">
        <v>6688</v>
      </c>
      <c r="Q711" t="s">
        <v>1652</v>
      </c>
    </row>
    <row r="712" spans="1:17" x14ac:dyDescent="0.3">
      <c r="A712" t="s">
        <v>17</v>
      </c>
      <c r="B712" t="str">
        <f>"600817"</f>
        <v>600817</v>
      </c>
      <c r="C712" t="s">
        <v>1653</v>
      </c>
      <c r="D712" t="s">
        <v>83</v>
      </c>
      <c r="F712">
        <v>2212032427</v>
      </c>
      <c r="G712">
        <v>1752183157</v>
      </c>
      <c r="H712">
        <v>103421678</v>
      </c>
      <c r="I712">
        <v>101570134</v>
      </c>
      <c r="J712">
        <v>96573953</v>
      </c>
      <c r="K712">
        <v>98090806</v>
      </c>
      <c r="L712">
        <v>94780511</v>
      </c>
      <c r="M712">
        <v>108198483</v>
      </c>
      <c r="N712">
        <v>120080901</v>
      </c>
      <c r="O712">
        <v>117603784</v>
      </c>
      <c r="P712">
        <v>102</v>
      </c>
      <c r="Q712" t="s">
        <v>1654</v>
      </c>
    </row>
    <row r="713" spans="1:17" x14ac:dyDescent="0.3">
      <c r="A713" t="s">
        <v>17</v>
      </c>
      <c r="B713" t="str">
        <f>"600818"</f>
        <v>600818</v>
      </c>
      <c r="C713" t="s">
        <v>1655</v>
      </c>
      <c r="D713" t="s">
        <v>1656</v>
      </c>
      <c r="F713">
        <v>682568875</v>
      </c>
      <c r="G713">
        <v>645447546</v>
      </c>
      <c r="H713">
        <v>568514841</v>
      </c>
      <c r="I713">
        <v>634932046</v>
      </c>
      <c r="J713">
        <v>671606768</v>
      </c>
      <c r="K713">
        <v>589897809</v>
      </c>
      <c r="L713">
        <v>488641118</v>
      </c>
      <c r="M713">
        <v>379927046</v>
      </c>
      <c r="N713">
        <v>378609688</v>
      </c>
      <c r="O713">
        <v>386021567</v>
      </c>
      <c r="P713">
        <v>82</v>
      </c>
      <c r="Q713" t="s">
        <v>1657</v>
      </c>
    </row>
    <row r="714" spans="1:17" x14ac:dyDescent="0.3">
      <c r="A714" t="s">
        <v>17</v>
      </c>
      <c r="B714" t="str">
        <f>"600819"</f>
        <v>600819</v>
      </c>
      <c r="C714" t="s">
        <v>1658</v>
      </c>
      <c r="D714" t="s">
        <v>666</v>
      </c>
      <c r="F714">
        <v>3495829829</v>
      </c>
      <c r="G714">
        <v>3443335431</v>
      </c>
      <c r="H714">
        <v>3288240437</v>
      </c>
      <c r="I714">
        <v>3083545318</v>
      </c>
      <c r="J714">
        <v>3007822123</v>
      </c>
      <c r="K714">
        <v>3021324152</v>
      </c>
      <c r="L714">
        <v>2876389465</v>
      </c>
      <c r="M714">
        <v>3178515148</v>
      </c>
      <c r="N714">
        <v>3183173280</v>
      </c>
      <c r="O714">
        <v>2103709532</v>
      </c>
      <c r="P714">
        <v>94</v>
      </c>
      <c r="Q714" t="s">
        <v>1659</v>
      </c>
    </row>
    <row r="715" spans="1:17" x14ac:dyDescent="0.3">
      <c r="A715" t="s">
        <v>17</v>
      </c>
      <c r="B715" t="str">
        <f>"600820"</f>
        <v>600820</v>
      </c>
      <c r="C715" t="s">
        <v>1660</v>
      </c>
      <c r="D715" t="s">
        <v>101</v>
      </c>
      <c r="F715">
        <v>24911923516</v>
      </c>
      <c r="G715">
        <v>23159426725</v>
      </c>
      <c r="H715">
        <v>21954479704</v>
      </c>
      <c r="I715">
        <v>20438461048</v>
      </c>
      <c r="J715">
        <v>19055726509</v>
      </c>
      <c r="K715">
        <v>17804478295</v>
      </c>
      <c r="L715">
        <v>16649471866</v>
      </c>
      <c r="M715">
        <v>15639188314</v>
      </c>
      <c r="N715">
        <v>12424828741</v>
      </c>
      <c r="O715">
        <v>11025543318</v>
      </c>
      <c r="P715">
        <v>685</v>
      </c>
      <c r="Q715" t="s">
        <v>1661</v>
      </c>
    </row>
    <row r="716" spans="1:17" x14ac:dyDescent="0.3">
      <c r="A716" t="s">
        <v>17</v>
      </c>
      <c r="B716" t="str">
        <f>"600821"</f>
        <v>600821</v>
      </c>
      <c r="C716" t="s">
        <v>1662</v>
      </c>
      <c r="D716" t="s">
        <v>633</v>
      </c>
      <c r="F716">
        <v>4888909600</v>
      </c>
      <c r="G716">
        <v>3159713134</v>
      </c>
      <c r="H716">
        <v>11866359</v>
      </c>
      <c r="I716">
        <v>239611461</v>
      </c>
      <c r="J716">
        <v>513602866</v>
      </c>
      <c r="K716">
        <v>504920198</v>
      </c>
      <c r="L716">
        <v>603688088</v>
      </c>
      <c r="M716">
        <v>598593124</v>
      </c>
      <c r="N716">
        <v>588127404</v>
      </c>
      <c r="O716">
        <v>573719799</v>
      </c>
      <c r="P716">
        <v>125</v>
      </c>
      <c r="Q716" t="s">
        <v>1663</v>
      </c>
    </row>
    <row r="717" spans="1:17" x14ac:dyDescent="0.3">
      <c r="A717" t="s">
        <v>17</v>
      </c>
      <c r="B717" t="str">
        <f>"600822"</f>
        <v>600822</v>
      </c>
      <c r="C717" t="s">
        <v>1664</v>
      </c>
      <c r="D717" t="s">
        <v>672</v>
      </c>
      <c r="F717">
        <v>928571486</v>
      </c>
      <c r="G717">
        <v>788568353</v>
      </c>
      <c r="H717">
        <v>671063284</v>
      </c>
      <c r="I717">
        <v>603486742</v>
      </c>
      <c r="J717">
        <v>559279064</v>
      </c>
      <c r="K717">
        <v>530083495</v>
      </c>
      <c r="L717">
        <v>277287234</v>
      </c>
      <c r="M717">
        <v>973052720</v>
      </c>
      <c r="N717">
        <v>965204521</v>
      </c>
      <c r="O717">
        <v>975327330</v>
      </c>
      <c r="P717">
        <v>75</v>
      </c>
      <c r="Q717" t="s">
        <v>1665</v>
      </c>
    </row>
    <row r="718" spans="1:17" x14ac:dyDescent="0.3">
      <c r="A718" t="s">
        <v>17</v>
      </c>
      <c r="B718" t="str">
        <f>"600823"</f>
        <v>600823</v>
      </c>
      <c r="C718" t="s">
        <v>1666</v>
      </c>
      <c r="D718" t="s">
        <v>104</v>
      </c>
      <c r="F718">
        <v>25809346745</v>
      </c>
      <c r="G718">
        <v>26088435706</v>
      </c>
      <c r="H718">
        <v>25383301275</v>
      </c>
      <c r="I718">
        <v>23676184098</v>
      </c>
      <c r="J718">
        <v>21747283989</v>
      </c>
      <c r="K718">
        <v>19804666894</v>
      </c>
      <c r="L718">
        <v>19461636909</v>
      </c>
      <c r="M718">
        <v>16077935248</v>
      </c>
      <c r="N718">
        <v>14202296759</v>
      </c>
      <c r="O718">
        <v>12557004056</v>
      </c>
      <c r="P718">
        <v>1056</v>
      </c>
      <c r="Q718" t="s">
        <v>1667</v>
      </c>
    </row>
    <row r="719" spans="1:17" x14ac:dyDescent="0.3">
      <c r="A719" t="s">
        <v>17</v>
      </c>
      <c r="B719" t="str">
        <f>"600824"</f>
        <v>600824</v>
      </c>
      <c r="C719" t="s">
        <v>1668</v>
      </c>
      <c r="D719" t="s">
        <v>1404</v>
      </c>
      <c r="F719">
        <v>2664974543</v>
      </c>
      <c r="G719">
        <v>2625337052</v>
      </c>
      <c r="H719">
        <v>2476243538</v>
      </c>
      <c r="I719">
        <v>2209125810</v>
      </c>
      <c r="J719">
        <v>2141939925</v>
      </c>
      <c r="K719">
        <v>2047342410</v>
      </c>
      <c r="L719">
        <v>1954787294</v>
      </c>
      <c r="M719">
        <v>1795312866</v>
      </c>
      <c r="N719">
        <v>1666311850</v>
      </c>
      <c r="O719">
        <v>1549050805</v>
      </c>
      <c r="P719">
        <v>81</v>
      </c>
      <c r="Q719" t="s">
        <v>1669</v>
      </c>
    </row>
    <row r="720" spans="1:17" x14ac:dyDescent="0.3">
      <c r="A720" t="s">
        <v>17</v>
      </c>
      <c r="B720" t="str">
        <f>"600825"</f>
        <v>600825</v>
      </c>
      <c r="C720" t="s">
        <v>1670</v>
      </c>
      <c r="D720" t="s">
        <v>525</v>
      </c>
      <c r="F720">
        <v>2609656170</v>
      </c>
      <c r="G720">
        <v>2406147034</v>
      </c>
      <c r="H720">
        <v>2676104067</v>
      </c>
      <c r="I720">
        <v>2634048335</v>
      </c>
      <c r="J720">
        <v>2619553082</v>
      </c>
      <c r="K720">
        <v>2589858261</v>
      </c>
      <c r="L720">
        <v>2559324424</v>
      </c>
      <c r="M720">
        <v>2519134059</v>
      </c>
      <c r="N720">
        <v>2489610212</v>
      </c>
      <c r="O720">
        <v>2541548160</v>
      </c>
      <c r="P720">
        <v>84</v>
      </c>
      <c r="Q720" t="s">
        <v>1671</v>
      </c>
    </row>
    <row r="721" spans="1:17" x14ac:dyDescent="0.3">
      <c r="A721" t="s">
        <v>17</v>
      </c>
      <c r="B721" t="str">
        <f>"600826"</f>
        <v>600826</v>
      </c>
      <c r="C721" t="s">
        <v>1672</v>
      </c>
      <c r="D721" t="s">
        <v>1673</v>
      </c>
      <c r="F721">
        <v>3715953979</v>
      </c>
      <c r="G721">
        <v>3707861894</v>
      </c>
      <c r="H721">
        <v>3511851618</v>
      </c>
      <c r="I721">
        <v>2905553206</v>
      </c>
      <c r="J721">
        <v>3442895117</v>
      </c>
      <c r="K721">
        <v>3853982466</v>
      </c>
      <c r="L721">
        <v>1737746510</v>
      </c>
      <c r="M721">
        <v>4026089955</v>
      </c>
      <c r="N721">
        <v>2306478971</v>
      </c>
      <c r="O721">
        <v>2066149151</v>
      </c>
      <c r="P721">
        <v>145</v>
      </c>
      <c r="Q721" t="s">
        <v>1674</v>
      </c>
    </row>
    <row r="722" spans="1:17" x14ac:dyDescent="0.3">
      <c r="A722" t="s">
        <v>17</v>
      </c>
      <c r="B722" t="str">
        <f>"600827"</f>
        <v>600827</v>
      </c>
      <c r="C722" t="s">
        <v>1276</v>
      </c>
      <c r="D722" t="s">
        <v>1404</v>
      </c>
      <c r="F722">
        <v>17904019025</v>
      </c>
      <c r="G722">
        <v>18283516915</v>
      </c>
      <c r="H722">
        <v>18298390762</v>
      </c>
      <c r="I722">
        <v>16314042740</v>
      </c>
      <c r="J722">
        <v>16650088658</v>
      </c>
      <c r="K722">
        <v>16585222100</v>
      </c>
      <c r="L722">
        <v>15138922473</v>
      </c>
      <c r="M722">
        <v>15971674269</v>
      </c>
      <c r="N722">
        <v>12927950657</v>
      </c>
      <c r="O722">
        <v>12257817304</v>
      </c>
      <c r="P722">
        <v>274</v>
      </c>
      <c r="Q722" t="s">
        <v>1675</v>
      </c>
    </row>
    <row r="723" spans="1:17" x14ac:dyDescent="0.3">
      <c r="A723" t="s">
        <v>17</v>
      </c>
      <c r="B723" t="str">
        <f>"600828"</f>
        <v>600828</v>
      </c>
      <c r="C723" t="s">
        <v>1676</v>
      </c>
      <c r="D723" t="s">
        <v>633</v>
      </c>
      <c r="F723">
        <v>7065071825</v>
      </c>
      <c r="G723">
        <v>6561520550</v>
      </c>
      <c r="H723">
        <v>6749184076</v>
      </c>
      <c r="I723">
        <v>5604364449</v>
      </c>
      <c r="J723">
        <v>5211186813</v>
      </c>
      <c r="K723">
        <v>3906170733</v>
      </c>
      <c r="L723">
        <v>1297918010</v>
      </c>
      <c r="M723">
        <v>1249770474</v>
      </c>
      <c r="N723">
        <v>1115516387</v>
      </c>
      <c r="O723">
        <v>928123477</v>
      </c>
      <c r="P723">
        <v>628</v>
      </c>
      <c r="Q723" t="s">
        <v>1677</v>
      </c>
    </row>
    <row r="724" spans="1:17" x14ac:dyDescent="0.3">
      <c r="A724" t="s">
        <v>17</v>
      </c>
      <c r="B724" t="str">
        <f>"600829"</f>
        <v>600829</v>
      </c>
      <c r="C724" t="s">
        <v>1678</v>
      </c>
      <c r="D724" t="s">
        <v>125</v>
      </c>
      <c r="F724">
        <v>2200251091</v>
      </c>
      <c r="G724">
        <v>1992541549</v>
      </c>
      <c r="H724">
        <v>1847277920</v>
      </c>
      <c r="I724">
        <v>1579943375</v>
      </c>
      <c r="J724">
        <v>1612028237</v>
      </c>
      <c r="K724">
        <v>1647776501</v>
      </c>
      <c r="L724">
        <v>1423266575</v>
      </c>
      <c r="M724">
        <v>2092791882</v>
      </c>
      <c r="N724">
        <v>2171461946</v>
      </c>
      <c r="O724">
        <v>2165254237</v>
      </c>
      <c r="P724">
        <v>1902</v>
      </c>
      <c r="Q724" t="s">
        <v>1679</v>
      </c>
    </row>
    <row r="725" spans="1:17" x14ac:dyDescent="0.3">
      <c r="A725" t="s">
        <v>17</v>
      </c>
      <c r="B725" t="str">
        <f>"600830"</f>
        <v>600830</v>
      </c>
      <c r="C725" t="s">
        <v>1680</v>
      </c>
      <c r="D725" t="s">
        <v>140</v>
      </c>
      <c r="F725">
        <v>2098983458</v>
      </c>
      <c r="G725">
        <v>2080154718</v>
      </c>
      <c r="H725">
        <v>2113010159</v>
      </c>
      <c r="I725">
        <v>2074383944</v>
      </c>
      <c r="J725">
        <v>2054474103</v>
      </c>
      <c r="K725">
        <v>1973015454</v>
      </c>
      <c r="L725">
        <v>1949420187</v>
      </c>
      <c r="M725">
        <v>1871155998</v>
      </c>
      <c r="N725">
        <v>1802233594</v>
      </c>
      <c r="O725">
        <v>1661564606</v>
      </c>
      <c r="P725">
        <v>73</v>
      </c>
      <c r="Q725" t="s">
        <v>1681</v>
      </c>
    </row>
    <row r="726" spans="1:17" x14ac:dyDescent="0.3">
      <c r="A726" t="s">
        <v>17</v>
      </c>
      <c r="B726" t="str">
        <f>"600831"</f>
        <v>600831</v>
      </c>
      <c r="C726" t="s">
        <v>1682</v>
      </c>
      <c r="D726" t="s">
        <v>95</v>
      </c>
      <c r="F726">
        <v>3770260883</v>
      </c>
      <c r="G726">
        <v>3725632236</v>
      </c>
      <c r="H726">
        <v>3641040222</v>
      </c>
      <c r="I726">
        <v>3034009779</v>
      </c>
      <c r="J726">
        <v>2953144732</v>
      </c>
      <c r="K726">
        <v>2802053181</v>
      </c>
      <c r="L726">
        <v>1906797243</v>
      </c>
      <c r="M726">
        <v>1790471991</v>
      </c>
      <c r="N726">
        <v>1679428194</v>
      </c>
      <c r="O726">
        <v>1565576314</v>
      </c>
      <c r="P726">
        <v>199</v>
      </c>
      <c r="Q726" t="s">
        <v>1683</v>
      </c>
    </row>
    <row r="727" spans="1:17" x14ac:dyDescent="0.3">
      <c r="A727" t="s">
        <v>17</v>
      </c>
      <c r="B727" t="str">
        <f>"600832"</f>
        <v>600832</v>
      </c>
      <c r="C727" t="s">
        <v>1287</v>
      </c>
      <c r="M727">
        <v>9102909671.9599991</v>
      </c>
      <c r="N727">
        <v>7625673283.21</v>
      </c>
      <c r="O727">
        <v>7588586237.1300001</v>
      </c>
      <c r="P727">
        <v>15</v>
      </c>
      <c r="Q727" t="s">
        <v>1684</v>
      </c>
    </row>
    <row r="728" spans="1:17" x14ac:dyDescent="0.3">
      <c r="A728" t="s">
        <v>17</v>
      </c>
      <c r="B728" t="str">
        <f>"600833"</f>
        <v>600833</v>
      </c>
      <c r="C728" t="s">
        <v>1685</v>
      </c>
      <c r="D728" t="s">
        <v>1686</v>
      </c>
      <c r="F728">
        <v>770916258</v>
      </c>
      <c r="G728">
        <v>742309403</v>
      </c>
      <c r="H728">
        <v>725329730</v>
      </c>
      <c r="I728">
        <v>662560731</v>
      </c>
      <c r="J728">
        <v>707057560</v>
      </c>
      <c r="K728">
        <v>728988794</v>
      </c>
      <c r="L728">
        <v>776083618</v>
      </c>
      <c r="M728">
        <v>643963404</v>
      </c>
      <c r="N728">
        <v>529129476</v>
      </c>
      <c r="O728">
        <v>492834840</v>
      </c>
      <c r="P728">
        <v>108</v>
      </c>
      <c r="Q728" t="s">
        <v>1687</v>
      </c>
    </row>
    <row r="729" spans="1:17" x14ac:dyDescent="0.3">
      <c r="A729" t="s">
        <v>17</v>
      </c>
      <c r="B729" t="str">
        <f>"600834"</f>
        <v>600834</v>
      </c>
      <c r="C729" t="s">
        <v>1688</v>
      </c>
      <c r="D729" t="s">
        <v>1133</v>
      </c>
      <c r="F729">
        <v>1583703326</v>
      </c>
      <c r="G729">
        <v>1534113306</v>
      </c>
      <c r="H729">
        <v>1480962898</v>
      </c>
      <c r="I729">
        <v>1477317293</v>
      </c>
      <c r="J729">
        <v>1465332558</v>
      </c>
      <c r="K729">
        <v>1433366664</v>
      </c>
      <c r="L729">
        <v>1406377551</v>
      </c>
      <c r="M729">
        <v>1364860667</v>
      </c>
      <c r="N729">
        <v>1298250519</v>
      </c>
      <c r="O729">
        <v>1210012356</v>
      </c>
      <c r="P729">
        <v>120</v>
      </c>
      <c r="Q729" t="s">
        <v>1689</v>
      </c>
    </row>
    <row r="730" spans="1:17" x14ac:dyDescent="0.3">
      <c r="A730" t="s">
        <v>17</v>
      </c>
      <c r="B730" t="str">
        <f>"600835"</f>
        <v>600835</v>
      </c>
      <c r="C730" t="s">
        <v>1690</v>
      </c>
      <c r="D730" t="s">
        <v>1691</v>
      </c>
      <c r="F730">
        <v>12314716559</v>
      </c>
      <c r="G730">
        <v>11928407299</v>
      </c>
      <c r="H730">
        <v>11375270687</v>
      </c>
      <c r="I730">
        <v>10804118284</v>
      </c>
      <c r="J730">
        <v>10035844241</v>
      </c>
      <c r="K730">
        <v>9214584464</v>
      </c>
      <c r="L730">
        <v>8119111431</v>
      </c>
      <c r="M730">
        <v>6260615426</v>
      </c>
      <c r="N730">
        <v>5754430707</v>
      </c>
      <c r="O730">
        <v>5104562437</v>
      </c>
      <c r="P730">
        <v>661</v>
      </c>
      <c r="Q730" t="s">
        <v>1692</v>
      </c>
    </row>
    <row r="731" spans="1:17" x14ac:dyDescent="0.3">
      <c r="A731" t="s">
        <v>17</v>
      </c>
      <c r="B731" t="str">
        <f>"600836"</f>
        <v>600836</v>
      </c>
      <c r="C731" t="s">
        <v>1693</v>
      </c>
      <c r="D731" t="s">
        <v>1694</v>
      </c>
      <c r="F731">
        <v>1213010198</v>
      </c>
      <c r="G731">
        <v>1010729663</v>
      </c>
      <c r="H731">
        <v>775528280</v>
      </c>
      <c r="I731">
        <v>870559240</v>
      </c>
      <c r="J731">
        <v>892309879</v>
      </c>
      <c r="K731">
        <v>860027792</v>
      </c>
      <c r="L731">
        <v>877656881</v>
      </c>
      <c r="M731">
        <v>416258866</v>
      </c>
      <c r="N731">
        <v>429688025</v>
      </c>
      <c r="O731">
        <v>431356717</v>
      </c>
      <c r="P731">
        <v>70</v>
      </c>
      <c r="Q731" t="s">
        <v>1695</v>
      </c>
    </row>
    <row r="732" spans="1:17" x14ac:dyDescent="0.3">
      <c r="A732" t="s">
        <v>17</v>
      </c>
      <c r="B732" t="str">
        <f>"600837"</f>
        <v>600837</v>
      </c>
      <c r="C732" t="s">
        <v>1696</v>
      </c>
      <c r="D732" t="s">
        <v>80</v>
      </c>
      <c r="F732">
        <v>163137963718</v>
      </c>
      <c r="G732">
        <v>153448467828</v>
      </c>
      <c r="H732">
        <v>126090993551</v>
      </c>
      <c r="I732">
        <v>117858574665</v>
      </c>
      <c r="J732">
        <v>117755478685</v>
      </c>
      <c r="K732">
        <v>110130127287</v>
      </c>
      <c r="L732">
        <v>107694544739</v>
      </c>
      <c r="M732">
        <v>68364431086</v>
      </c>
      <c r="N732">
        <v>61506991499</v>
      </c>
      <c r="O732">
        <v>58679683158</v>
      </c>
      <c r="P732">
        <v>4976</v>
      </c>
      <c r="Q732" t="s">
        <v>1697</v>
      </c>
    </row>
    <row r="733" spans="1:17" x14ac:dyDescent="0.3">
      <c r="A733" t="s">
        <v>17</v>
      </c>
      <c r="B733" t="str">
        <f>"600838"</f>
        <v>600838</v>
      </c>
      <c r="C733" t="s">
        <v>1698</v>
      </c>
      <c r="D733" t="s">
        <v>1404</v>
      </c>
      <c r="F733">
        <v>1518132701</v>
      </c>
      <c r="G733">
        <v>1372978585</v>
      </c>
      <c r="H733">
        <v>1331275334</v>
      </c>
      <c r="I733">
        <v>1209819179</v>
      </c>
      <c r="J733">
        <v>1254140010</v>
      </c>
      <c r="K733">
        <v>1243769782</v>
      </c>
      <c r="L733">
        <v>1151465246</v>
      </c>
      <c r="M733">
        <v>754275138</v>
      </c>
      <c r="N733">
        <v>720850092</v>
      </c>
      <c r="O733">
        <v>680209626</v>
      </c>
      <c r="P733">
        <v>79</v>
      </c>
      <c r="Q733" t="s">
        <v>1699</v>
      </c>
    </row>
    <row r="734" spans="1:17" x14ac:dyDescent="0.3">
      <c r="A734" t="s">
        <v>17</v>
      </c>
      <c r="B734" t="str">
        <f>"600839"</f>
        <v>600839</v>
      </c>
      <c r="C734" t="s">
        <v>1700</v>
      </c>
      <c r="D734" t="s">
        <v>137</v>
      </c>
      <c r="F734">
        <v>13314325563</v>
      </c>
      <c r="G734">
        <v>13011838120</v>
      </c>
      <c r="H734">
        <v>13020030774</v>
      </c>
      <c r="I734">
        <v>13051802449</v>
      </c>
      <c r="J734">
        <v>12892581687</v>
      </c>
      <c r="K734">
        <v>12609117244</v>
      </c>
      <c r="L734">
        <v>12106826547</v>
      </c>
      <c r="M734">
        <v>14052115224</v>
      </c>
      <c r="N734">
        <v>14044157346</v>
      </c>
      <c r="O734">
        <v>13554245998</v>
      </c>
      <c r="P734">
        <v>272</v>
      </c>
      <c r="Q734" t="s">
        <v>1701</v>
      </c>
    </row>
    <row r="735" spans="1:17" x14ac:dyDescent="0.3">
      <c r="A735" t="s">
        <v>17</v>
      </c>
      <c r="B735" t="str">
        <f>"600841"</f>
        <v>600841</v>
      </c>
      <c r="C735" t="s">
        <v>1702</v>
      </c>
      <c r="D735" t="s">
        <v>348</v>
      </c>
      <c r="F735">
        <v>9769291490</v>
      </c>
      <c r="G735">
        <v>3982036458</v>
      </c>
      <c r="H735">
        <v>3798791512</v>
      </c>
      <c r="I735">
        <v>3721860119</v>
      </c>
      <c r="J735">
        <v>3624077804</v>
      </c>
      <c r="K735">
        <v>3531182725</v>
      </c>
      <c r="L735">
        <v>3472173642</v>
      </c>
      <c r="M735">
        <v>3426413190</v>
      </c>
      <c r="N735">
        <v>3312611729</v>
      </c>
      <c r="O735">
        <v>3173829812</v>
      </c>
      <c r="P735">
        <v>88</v>
      </c>
      <c r="Q735" t="s">
        <v>1703</v>
      </c>
    </row>
    <row r="736" spans="1:17" x14ac:dyDescent="0.3">
      <c r="A736" t="s">
        <v>17</v>
      </c>
      <c r="B736" t="str">
        <f>"600843"</f>
        <v>600843</v>
      </c>
      <c r="C736" t="s">
        <v>1704</v>
      </c>
      <c r="D736" t="s">
        <v>534</v>
      </c>
      <c r="F736">
        <v>3110244357</v>
      </c>
      <c r="G736">
        <v>2348657055</v>
      </c>
      <c r="H736">
        <v>2310932390</v>
      </c>
      <c r="I736">
        <v>2212858250</v>
      </c>
      <c r="J736">
        <v>2145214677</v>
      </c>
      <c r="K736">
        <v>1916349382</v>
      </c>
      <c r="L736">
        <v>1774674087</v>
      </c>
      <c r="M736">
        <v>1596085178</v>
      </c>
      <c r="N736">
        <v>795894186</v>
      </c>
      <c r="O736">
        <v>729473293</v>
      </c>
      <c r="P736">
        <v>78</v>
      </c>
      <c r="Q736" t="s">
        <v>1705</v>
      </c>
    </row>
    <row r="737" spans="1:17" x14ac:dyDescent="0.3">
      <c r="A737" t="s">
        <v>17</v>
      </c>
      <c r="B737" t="str">
        <f>"600844"</f>
        <v>600844</v>
      </c>
      <c r="C737" t="s">
        <v>1706</v>
      </c>
      <c r="D737" t="s">
        <v>914</v>
      </c>
      <c r="F737">
        <v>1232922360</v>
      </c>
      <c r="G737">
        <v>1326319762</v>
      </c>
      <c r="H737">
        <v>1691531187</v>
      </c>
      <c r="I737">
        <v>2124361619</v>
      </c>
      <c r="J737">
        <v>2122344437</v>
      </c>
      <c r="K737">
        <v>1856260642</v>
      </c>
      <c r="L737">
        <v>818783991</v>
      </c>
      <c r="M737">
        <v>849451752</v>
      </c>
      <c r="N737">
        <v>832021353</v>
      </c>
      <c r="O737">
        <v>1006667524</v>
      </c>
      <c r="P737">
        <v>106</v>
      </c>
      <c r="Q737" t="s">
        <v>1707</v>
      </c>
    </row>
    <row r="738" spans="1:17" x14ac:dyDescent="0.3">
      <c r="A738" t="s">
        <v>17</v>
      </c>
      <c r="B738" t="str">
        <f>"600845"</f>
        <v>600845</v>
      </c>
      <c r="C738" t="s">
        <v>1708</v>
      </c>
      <c r="D738" t="s">
        <v>316</v>
      </c>
      <c r="F738">
        <v>9017459984</v>
      </c>
      <c r="G738">
        <v>7282490609</v>
      </c>
      <c r="H738">
        <v>7064599480</v>
      </c>
      <c r="I738">
        <v>6614145218</v>
      </c>
      <c r="J738">
        <v>4472329452</v>
      </c>
      <c r="K738">
        <v>4149021204</v>
      </c>
      <c r="L738">
        <v>3914612533</v>
      </c>
      <c r="M738">
        <v>2550073662</v>
      </c>
      <c r="N738">
        <v>1682998125</v>
      </c>
      <c r="O738">
        <v>1473320563</v>
      </c>
      <c r="P738">
        <v>1594</v>
      </c>
      <c r="Q738" t="s">
        <v>1709</v>
      </c>
    </row>
    <row r="739" spans="1:17" x14ac:dyDescent="0.3">
      <c r="A739" t="s">
        <v>17</v>
      </c>
      <c r="B739" t="str">
        <f>"600846"</f>
        <v>600846</v>
      </c>
      <c r="C739" t="s">
        <v>1710</v>
      </c>
      <c r="D739" t="s">
        <v>104</v>
      </c>
      <c r="F739">
        <v>3385755466</v>
      </c>
      <c r="G739">
        <v>3035939606</v>
      </c>
      <c r="H739">
        <v>2791826002</v>
      </c>
      <c r="I739">
        <v>2287067599</v>
      </c>
      <c r="J739">
        <v>2068603780</v>
      </c>
      <c r="K739">
        <v>1908994219</v>
      </c>
      <c r="L739">
        <v>1787061068</v>
      </c>
      <c r="M739">
        <v>1690309065</v>
      </c>
      <c r="N739">
        <v>1533906665</v>
      </c>
      <c r="O739">
        <v>1403245383</v>
      </c>
      <c r="P739">
        <v>357</v>
      </c>
      <c r="Q739" t="s">
        <v>1711</v>
      </c>
    </row>
    <row r="740" spans="1:17" x14ac:dyDescent="0.3">
      <c r="A740" t="s">
        <v>17</v>
      </c>
      <c r="B740" t="str">
        <f>"600847"</f>
        <v>600847</v>
      </c>
      <c r="C740" t="s">
        <v>1712</v>
      </c>
      <c r="D740" t="s">
        <v>555</v>
      </c>
      <c r="F740">
        <v>693495739</v>
      </c>
      <c r="G740">
        <v>694948072</v>
      </c>
      <c r="H740">
        <v>690925287</v>
      </c>
      <c r="I740">
        <v>682018204</v>
      </c>
      <c r="J740">
        <v>682850362</v>
      </c>
      <c r="K740">
        <v>668593480</v>
      </c>
      <c r="L740">
        <v>709485517</v>
      </c>
      <c r="M740">
        <v>711993422</v>
      </c>
      <c r="N740">
        <v>704377139</v>
      </c>
      <c r="O740">
        <v>50188789</v>
      </c>
      <c r="P740">
        <v>54</v>
      </c>
      <c r="Q740" t="s">
        <v>1713</v>
      </c>
    </row>
    <row r="741" spans="1:17" x14ac:dyDescent="0.3">
      <c r="A741" t="s">
        <v>17</v>
      </c>
      <c r="B741" t="str">
        <f>"600848"</f>
        <v>600848</v>
      </c>
      <c r="C741" t="s">
        <v>1714</v>
      </c>
      <c r="D741" t="s">
        <v>194</v>
      </c>
      <c r="F741">
        <v>15371244510</v>
      </c>
      <c r="G741">
        <v>14533458841</v>
      </c>
      <c r="H741">
        <v>13623586047</v>
      </c>
      <c r="I741">
        <v>6809523713</v>
      </c>
      <c r="J741">
        <v>6508603297</v>
      </c>
      <c r="K741">
        <v>4622708699</v>
      </c>
      <c r="L741">
        <v>3113775333</v>
      </c>
      <c r="M741">
        <v>134797811</v>
      </c>
      <c r="N741">
        <v>194265023</v>
      </c>
      <c r="O741">
        <v>182376934</v>
      </c>
      <c r="P741">
        <v>271</v>
      </c>
      <c r="Q741" t="s">
        <v>1715</v>
      </c>
    </row>
    <row r="742" spans="1:17" x14ac:dyDescent="0.3">
      <c r="A742" t="s">
        <v>17</v>
      </c>
      <c r="B742" t="str">
        <f>"600849"</f>
        <v>600849</v>
      </c>
      <c r="C742" t="s">
        <v>1716</v>
      </c>
      <c r="K742">
        <v>31622553100</v>
      </c>
      <c r="L742">
        <v>29930309583.790001</v>
      </c>
      <c r="M742">
        <v>27822129424.689999</v>
      </c>
      <c r="N742">
        <v>25953812431.68</v>
      </c>
      <c r="O742">
        <v>24639299336.200001</v>
      </c>
      <c r="P742">
        <v>3</v>
      </c>
      <c r="Q742" t="s">
        <v>1717</v>
      </c>
    </row>
    <row r="743" spans="1:17" x14ac:dyDescent="0.3">
      <c r="A743" t="s">
        <v>17</v>
      </c>
      <c r="B743" t="str">
        <f>"600850"</f>
        <v>600850</v>
      </c>
      <c r="C743" t="s">
        <v>1718</v>
      </c>
      <c r="D743" t="s">
        <v>316</v>
      </c>
      <c r="F743">
        <v>2939248393</v>
      </c>
      <c r="G743">
        <v>2724583498</v>
      </c>
      <c r="H743">
        <v>2557428216</v>
      </c>
      <c r="I743">
        <v>2346549490</v>
      </c>
      <c r="J743">
        <v>2089766237</v>
      </c>
      <c r="K743">
        <v>1861189359</v>
      </c>
      <c r="L743">
        <v>1659092680</v>
      </c>
      <c r="M743">
        <v>1406570141</v>
      </c>
      <c r="N743">
        <v>1235793926</v>
      </c>
      <c r="O743">
        <v>1174793917</v>
      </c>
      <c r="P743">
        <v>322</v>
      </c>
      <c r="Q743" t="s">
        <v>1719</v>
      </c>
    </row>
    <row r="744" spans="1:17" x14ac:dyDescent="0.3">
      <c r="A744" t="s">
        <v>17</v>
      </c>
      <c r="B744" t="str">
        <f>"600851"</f>
        <v>600851</v>
      </c>
      <c r="C744" t="s">
        <v>1720</v>
      </c>
      <c r="D744" t="s">
        <v>143</v>
      </c>
      <c r="F744">
        <v>4128288110</v>
      </c>
      <c r="G744">
        <v>4189071329</v>
      </c>
      <c r="H744">
        <v>3848709791</v>
      </c>
      <c r="I744">
        <v>3420684395</v>
      </c>
      <c r="J744">
        <v>3781691536</v>
      </c>
      <c r="K744">
        <v>4147101533</v>
      </c>
      <c r="L744">
        <v>4574393742</v>
      </c>
      <c r="M744">
        <v>5327380206</v>
      </c>
      <c r="N744">
        <v>2991420218</v>
      </c>
      <c r="O744">
        <v>2880390584</v>
      </c>
      <c r="P744">
        <v>98</v>
      </c>
      <c r="Q744" t="s">
        <v>1721</v>
      </c>
    </row>
    <row r="745" spans="1:17" x14ac:dyDescent="0.3">
      <c r="A745" t="s">
        <v>17</v>
      </c>
      <c r="B745" t="str">
        <f>"600852"</f>
        <v>600852</v>
      </c>
      <c r="C745" t="s">
        <v>1722</v>
      </c>
      <c r="K745">
        <v>-1118417106.3299999</v>
      </c>
      <c r="L745">
        <v>-1046556715.59</v>
      </c>
      <c r="M745">
        <v>-1006902008.12</v>
      </c>
      <c r="N745">
        <v>-999912518.88999999</v>
      </c>
      <c r="O745">
        <v>-993595739.75999999</v>
      </c>
      <c r="P745">
        <v>3</v>
      </c>
      <c r="Q745" t="s">
        <v>1723</v>
      </c>
    </row>
    <row r="746" spans="1:17" x14ac:dyDescent="0.3">
      <c r="A746" t="s">
        <v>17</v>
      </c>
      <c r="B746" t="str">
        <f>"600853"</f>
        <v>600853</v>
      </c>
      <c r="C746" t="s">
        <v>1724</v>
      </c>
      <c r="D746" t="s">
        <v>101</v>
      </c>
      <c r="F746">
        <v>2148875281</v>
      </c>
      <c r="G746">
        <v>1895313054</v>
      </c>
      <c r="H746">
        <v>1736456333</v>
      </c>
      <c r="I746">
        <v>1546202075</v>
      </c>
      <c r="J746">
        <v>956547262</v>
      </c>
      <c r="K746">
        <v>823936569</v>
      </c>
      <c r="L746">
        <v>802899553</v>
      </c>
      <c r="M746">
        <v>790104866</v>
      </c>
      <c r="N746">
        <v>785075599</v>
      </c>
      <c r="O746">
        <v>773205666</v>
      </c>
      <c r="P746">
        <v>94</v>
      </c>
      <c r="Q746" t="s">
        <v>1725</v>
      </c>
    </row>
    <row r="747" spans="1:17" x14ac:dyDescent="0.3">
      <c r="A747" t="s">
        <v>17</v>
      </c>
      <c r="B747" t="str">
        <f>"600854"</f>
        <v>600854</v>
      </c>
      <c r="C747" t="s">
        <v>1726</v>
      </c>
      <c r="D747" t="s">
        <v>1727</v>
      </c>
      <c r="F747">
        <v>2102988078</v>
      </c>
      <c r="G747">
        <v>2057320379</v>
      </c>
      <c r="H747">
        <v>2008163920</v>
      </c>
      <c r="I747">
        <v>1982650600</v>
      </c>
      <c r="J747">
        <v>1951943533</v>
      </c>
      <c r="K747">
        <v>1934062228</v>
      </c>
      <c r="L747">
        <v>1921973067</v>
      </c>
      <c r="M747">
        <v>1910781785</v>
      </c>
      <c r="N747">
        <v>1909050247</v>
      </c>
      <c r="O747">
        <v>1878259386</v>
      </c>
      <c r="P747">
        <v>146</v>
      </c>
      <c r="Q747" t="s">
        <v>1728</v>
      </c>
    </row>
    <row r="748" spans="1:17" x14ac:dyDescent="0.3">
      <c r="A748" t="s">
        <v>17</v>
      </c>
      <c r="B748" t="str">
        <f>"600855"</f>
        <v>600855</v>
      </c>
      <c r="C748" t="s">
        <v>1729</v>
      </c>
      <c r="D748" t="s">
        <v>236</v>
      </c>
      <c r="F748">
        <v>1778467995</v>
      </c>
      <c r="G748">
        <v>1686540068</v>
      </c>
      <c r="H748">
        <v>1691677223</v>
      </c>
      <c r="I748">
        <v>1182671836</v>
      </c>
      <c r="J748">
        <v>875182775</v>
      </c>
      <c r="K748">
        <v>882449222</v>
      </c>
      <c r="L748">
        <v>853781870</v>
      </c>
      <c r="M748">
        <v>833227198</v>
      </c>
      <c r="N748">
        <v>802790822</v>
      </c>
      <c r="O748">
        <v>776654214</v>
      </c>
      <c r="P748">
        <v>139</v>
      </c>
      <c r="Q748" t="s">
        <v>1730</v>
      </c>
    </row>
    <row r="749" spans="1:17" x14ac:dyDescent="0.3">
      <c r="A749" t="s">
        <v>17</v>
      </c>
      <c r="B749" t="str">
        <f>"600856"</f>
        <v>600856</v>
      </c>
      <c r="C749" t="s">
        <v>1731</v>
      </c>
      <c r="D749" t="s">
        <v>1541</v>
      </c>
      <c r="F749">
        <v>-7354610448</v>
      </c>
      <c r="G749">
        <v>29065307</v>
      </c>
      <c r="H749">
        <v>681846252</v>
      </c>
      <c r="I749">
        <v>3959470091</v>
      </c>
      <c r="J749">
        <v>4926282349</v>
      </c>
      <c r="K749">
        <v>2313251897</v>
      </c>
      <c r="L749">
        <v>1867467260</v>
      </c>
      <c r="M749">
        <v>130927289</v>
      </c>
      <c r="N749">
        <v>130639871</v>
      </c>
      <c r="O749">
        <v>113280873</v>
      </c>
      <c r="P749">
        <v>129</v>
      </c>
      <c r="Q749" t="s">
        <v>1732</v>
      </c>
    </row>
    <row r="750" spans="1:17" x14ac:dyDescent="0.3">
      <c r="A750" t="s">
        <v>17</v>
      </c>
      <c r="B750" t="str">
        <f>"600857"</f>
        <v>600857</v>
      </c>
      <c r="C750" t="s">
        <v>1733</v>
      </c>
      <c r="D750" t="s">
        <v>633</v>
      </c>
      <c r="F750">
        <v>476437911</v>
      </c>
      <c r="G750">
        <v>530454448</v>
      </c>
      <c r="H750">
        <v>645626983</v>
      </c>
      <c r="I750">
        <v>202704109</v>
      </c>
      <c r="J750">
        <v>166076357</v>
      </c>
      <c r="K750">
        <v>636143606</v>
      </c>
      <c r="L750">
        <v>609197877</v>
      </c>
      <c r="M750">
        <v>579223590</v>
      </c>
      <c r="N750">
        <v>550534662</v>
      </c>
      <c r="O750">
        <v>526221957</v>
      </c>
      <c r="P750">
        <v>74</v>
      </c>
      <c r="Q750" t="s">
        <v>1734</v>
      </c>
    </row>
    <row r="751" spans="1:17" x14ac:dyDescent="0.3">
      <c r="A751" t="s">
        <v>17</v>
      </c>
      <c r="B751" t="str">
        <f>"600858"</f>
        <v>600858</v>
      </c>
      <c r="C751" t="s">
        <v>1735</v>
      </c>
      <c r="D751" t="s">
        <v>1404</v>
      </c>
      <c r="F751">
        <v>2316986546</v>
      </c>
      <c r="G751">
        <v>2683053610</v>
      </c>
      <c r="H751">
        <v>3085261730</v>
      </c>
      <c r="I751">
        <v>3048050738</v>
      </c>
      <c r="J751">
        <v>3017384925</v>
      </c>
      <c r="K751">
        <v>2978658390</v>
      </c>
      <c r="L751">
        <v>2987786630</v>
      </c>
      <c r="M751">
        <v>2941274916</v>
      </c>
      <c r="N751">
        <v>2814972148</v>
      </c>
      <c r="O751">
        <v>2584884734</v>
      </c>
      <c r="P751">
        <v>91</v>
      </c>
      <c r="Q751" t="s">
        <v>1736</v>
      </c>
    </row>
    <row r="752" spans="1:17" x14ac:dyDescent="0.3">
      <c r="A752" t="s">
        <v>17</v>
      </c>
      <c r="B752" t="str">
        <f>"600859"</f>
        <v>600859</v>
      </c>
      <c r="C752" t="s">
        <v>1737</v>
      </c>
      <c r="D752" t="s">
        <v>633</v>
      </c>
      <c r="F752">
        <v>19347010441</v>
      </c>
      <c r="G752">
        <v>11498548949</v>
      </c>
      <c r="H752">
        <v>11397510342</v>
      </c>
      <c r="I752">
        <v>10801011260</v>
      </c>
      <c r="J752">
        <v>10168477020</v>
      </c>
      <c r="K752">
        <v>10376567392</v>
      </c>
      <c r="L752">
        <v>7381933666</v>
      </c>
      <c r="M752">
        <v>6884009195</v>
      </c>
      <c r="N752">
        <v>6263197279</v>
      </c>
      <c r="O752">
        <v>5929695397</v>
      </c>
      <c r="P752">
        <v>553</v>
      </c>
      <c r="Q752" t="s">
        <v>1738</v>
      </c>
    </row>
    <row r="753" spans="1:17" x14ac:dyDescent="0.3">
      <c r="A753" t="s">
        <v>17</v>
      </c>
      <c r="B753" t="str">
        <f>"600860"</f>
        <v>600860</v>
      </c>
      <c r="C753" t="s">
        <v>1739</v>
      </c>
      <c r="D753" t="s">
        <v>274</v>
      </c>
      <c r="F753">
        <v>677655615</v>
      </c>
      <c r="G753">
        <v>699472630</v>
      </c>
      <c r="H753">
        <v>337286095</v>
      </c>
      <c r="I753">
        <v>466876307</v>
      </c>
      <c r="J753">
        <v>588375287</v>
      </c>
      <c r="K753">
        <v>565197855</v>
      </c>
      <c r="L753">
        <v>712663073</v>
      </c>
      <c r="M753">
        <v>919530632</v>
      </c>
      <c r="N753">
        <v>803573308</v>
      </c>
      <c r="O753">
        <v>587988305</v>
      </c>
      <c r="P753">
        <v>108</v>
      </c>
      <c r="Q753" t="s">
        <v>1740</v>
      </c>
    </row>
    <row r="754" spans="1:17" x14ac:dyDescent="0.3">
      <c r="A754" t="s">
        <v>17</v>
      </c>
      <c r="B754" t="str">
        <f>"600861"</f>
        <v>600861</v>
      </c>
      <c r="C754" t="s">
        <v>1741</v>
      </c>
      <c r="D754" t="s">
        <v>1404</v>
      </c>
      <c r="F754">
        <v>2198197540</v>
      </c>
      <c r="G754">
        <v>2260618705</v>
      </c>
      <c r="H754">
        <v>2341354338</v>
      </c>
      <c r="I754">
        <v>2346689722</v>
      </c>
      <c r="J754">
        <v>2334205116</v>
      </c>
      <c r="K754">
        <v>2353422963</v>
      </c>
      <c r="L754">
        <v>2313989714</v>
      </c>
      <c r="M754">
        <v>2258266177</v>
      </c>
      <c r="N754">
        <v>2202786279</v>
      </c>
      <c r="O754">
        <v>2141285354</v>
      </c>
      <c r="P754">
        <v>72</v>
      </c>
      <c r="Q754" t="s">
        <v>1742</v>
      </c>
    </row>
    <row r="755" spans="1:17" x14ac:dyDescent="0.3">
      <c r="A755" t="s">
        <v>17</v>
      </c>
      <c r="B755" t="str">
        <f>"600862"</f>
        <v>600862</v>
      </c>
      <c r="C755" t="s">
        <v>1743</v>
      </c>
      <c r="D755" t="s">
        <v>98</v>
      </c>
      <c r="F755">
        <v>4840914744</v>
      </c>
      <c r="G755">
        <v>4377746309</v>
      </c>
      <c r="H755">
        <v>4180948356</v>
      </c>
      <c r="I755">
        <v>3795701484</v>
      </c>
      <c r="J755">
        <v>3492285029</v>
      </c>
      <c r="K755">
        <v>3392742338</v>
      </c>
      <c r="L755">
        <v>3344591679</v>
      </c>
      <c r="M755">
        <v>1068672736</v>
      </c>
      <c r="N755">
        <v>1303720394</v>
      </c>
      <c r="O755">
        <v>1317499370</v>
      </c>
      <c r="P755">
        <v>457</v>
      </c>
      <c r="Q755" t="s">
        <v>1744</v>
      </c>
    </row>
    <row r="756" spans="1:17" x14ac:dyDescent="0.3">
      <c r="A756" t="s">
        <v>17</v>
      </c>
      <c r="B756" t="str">
        <f>"600863"</f>
        <v>600863</v>
      </c>
      <c r="C756" t="s">
        <v>1745</v>
      </c>
      <c r="D756" t="s">
        <v>41</v>
      </c>
      <c r="F756">
        <v>13151512034</v>
      </c>
      <c r="G756">
        <v>11519076817</v>
      </c>
      <c r="H756">
        <v>11648445158</v>
      </c>
      <c r="I756">
        <v>10764487525</v>
      </c>
      <c r="J756">
        <v>10212518002</v>
      </c>
      <c r="K756">
        <v>10274247026</v>
      </c>
      <c r="L756">
        <v>10273735196</v>
      </c>
      <c r="M756">
        <v>10637873513</v>
      </c>
      <c r="N756">
        <v>10860581949</v>
      </c>
      <c r="O756">
        <v>10043782838</v>
      </c>
      <c r="P756">
        <v>310</v>
      </c>
      <c r="Q756" t="s">
        <v>1746</v>
      </c>
    </row>
    <row r="757" spans="1:17" x14ac:dyDescent="0.3">
      <c r="A757" t="s">
        <v>17</v>
      </c>
      <c r="B757" t="str">
        <f>"600864"</f>
        <v>600864</v>
      </c>
      <c r="C757" t="s">
        <v>1747</v>
      </c>
      <c r="D757" t="s">
        <v>80</v>
      </c>
      <c r="F757">
        <v>13262742398</v>
      </c>
      <c r="G757">
        <v>13580721974</v>
      </c>
      <c r="H757">
        <v>13349952735</v>
      </c>
      <c r="I757">
        <v>9706320931</v>
      </c>
      <c r="J757">
        <v>13458921839</v>
      </c>
      <c r="K757">
        <v>13564465527</v>
      </c>
      <c r="L757">
        <v>3866818034</v>
      </c>
      <c r="M757">
        <v>4659230701</v>
      </c>
      <c r="N757">
        <v>3029363772</v>
      </c>
      <c r="O757">
        <v>2682288197</v>
      </c>
      <c r="P757">
        <v>412</v>
      </c>
      <c r="Q757" t="s">
        <v>1748</v>
      </c>
    </row>
    <row r="758" spans="1:17" x14ac:dyDescent="0.3">
      <c r="A758" t="s">
        <v>17</v>
      </c>
      <c r="B758" t="str">
        <f>"600865"</f>
        <v>600865</v>
      </c>
      <c r="C758" t="s">
        <v>1749</v>
      </c>
      <c r="D758" t="s">
        <v>633</v>
      </c>
      <c r="F758">
        <v>2270491469</v>
      </c>
      <c r="G758">
        <v>2157781781</v>
      </c>
      <c r="H758">
        <v>1900172804</v>
      </c>
      <c r="I758">
        <v>1770329486</v>
      </c>
      <c r="J758">
        <v>1691054611</v>
      </c>
      <c r="K758">
        <v>1707593319</v>
      </c>
      <c r="L758">
        <v>1478737243</v>
      </c>
      <c r="M758">
        <v>1338105851</v>
      </c>
      <c r="N758">
        <v>1220133372</v>
      </c>
      <c r="O758">
        <v>1098173140</v>
      </c>
      <c r="P758">
        <v>123</v>
      </c>
      <c r="Q758" t="s">
        <v>1750</v>
      </c>
    </row>
    <row r="759" spans="1:17" x14ac:dyDescent="0.3">
      <c r="A759" t="s">
        <v>17</v>
      </c>
      <c r="B759" t="str">
        <f>"600866"</f>
        <v>600866</v>
      </c>
      <c r="C759" t="s">
        <v>1751</v>
      </c>
      <c r="D759" t="s">
        <v>677</v>
      </c>
      <c r="F759">
        <v>1775607579</v>
      </c>
      <c r="G759">
        <v>1668995031</v>
      </c>
      <c r="H759">
        <v>1520284767</v>
      </c>
      <c r="I759">
        <v>956416903</v>
      </c>
      <c r="J759">
        <v>914136569</v>
      </c>
      <c r="K759">
        <v>1072409764</v>
      </c>
      <c r="L759">
        <v>1048103575</v>
      </c>
      <c r="M759">
        <v>1475499415</v>
      </c>
      <c r="N759">
        <v>1472733347</v>
      </c>
      <c r="O759">
        <v>1498297374</v>
      </c>
      <c r="P759">
        <v>143</v>
      </c>
      <c r="Q759" t="s">
        <v>1752</v>
      </c>
    </row>
    <row r="760" spans="1:17" x14ac:dyDescent="0.3">
      <c r="A760" t="s">
        <v>17</v>
      </c>
      <c r="B760" t="str">
        <f>"600867"</f>
        <v>600867</v>
      </c>
      <c r="C760" t="s">
        <v>1753</v>
      </c>
      <c r="D760" t="s">
        <v>1379</v>
      </c>
      <c r="F760">
        <v>6214878703</v>
      </c>
      <c r="G760">
        <v>5553989427</v>
      </c>
      <c r="H760">
        <v>5000394903</v>
      </c>
      <c r="I760">
        <v>4724291513</v>
      </c>
      <c r="J760">
        <v>4527850258</v>
      </c>
      <c r="K760">
        <v>3939219528</v>
      </c>
      <c r="L760">
        <v>2459316918</v>
      </c>
      <c r="M760">
        <v>2137747846</v>
      </c>
      <c r="N760">
        <v>1991181348</v>
      </c>
      <c r="O760">
        <v>1961703880</v>
      </c>
      <c r="P760">
        <v>2948</v>
      </c>
      <c r="Q760" t="s">
        <v>1754</v>
      </c>
    </row>
    <row r="761" spans="1:17" x14ac:dyDescent="0.3">
      <c r="A761" t="s">
        <v>17</v>
      </c>
      <c r="B761" t="str">
        <f>"600868"</f>
        <v>600868</v>
      </c>
      <c r="C761" t="s">
        <v>1755</v>
      </c>
      <c r="D761" t="s">
        <v>66</v>
      </c>
      <c r="F761">
        <v>2350694717</v>
      </c>
      <c r="G761">
        <v>2353089883</v>
      </c>
      <c r="H761">
        <v>2337801163</v>
      </c>
      <c r="I761">
        <v>2287653700</v>
      </c>
      <c r="J761">
        <v>2303723529</v>
      </c>
      <c r="K761">
        <v>2230025445</v>
      </c>
      <c r="L761">
        <v>2149971178</v>
      </c>
      <c r="M761">
        <v>2128972355</v>
      </c>
      <c r="N761">
        <v>2197103536</v>
      </c>
      <c r="O761">
        <v>2171858816</v>
      </c>
      <c r="P761">
        <v>125</v>
      </c>
      <c r="Q761" t="s">
        <v>1756</v>
      </c>
    </row>
    <row r="762" spans="1:17" x14ac:dyDescent="0.3">
      <c r="A762" t="s">
        <v>17</v>
      </c>
      <c r="B762" t="str">
        <f>"600869"</f>
        <v>600869</v>
      </c>
      <c r="C762" t="s">
        <v>1757</v>
      </c>
      <c r="D762" t="s">
        <v>1164</v>
      </c>
      <c r="F762">
        <v>3738746100</v>
      </c>
      <c r="G762">
        <v>3181513027</v>
      </c>
      <c r="H762">
        <v>4898245650</v>
      </c>
      <c r="I762">
        <v>4856892151</v>
      </c>
      <c r="J762">
        <v>5587076494</v>
      </c>
      <c r="K762">
        <v>5626988323</v>
      </c>
      <c r="L762">
        <v>4158507261</v>
      </c>
      <c r="M762">
        <v>3114130636</v>
      </c>
      <c r="N762">
        <v>3030420893</v>
      </c>
      <c r="O762">
        <v>2925535067</v>
      </c>
      <c r="P762">
        <v>206</v>
      </c>
      <c r="Q762" t="s">
        <v>1758</v>
      </c>
    </row>
    <row r="763" spans="1:17" x14ac:dyDescent="0.3">
      <c r="A763" t="s">
        <v>17</v>
      </c>
      <c r="B763" t="str">
        <f>"600870"</f>
        <v>600870</v>
      </c>
      <c r="C763" t="s">
        <v>1759</v>
      </c>
      <c r="D763" t="s">
        <v>131</v>
      </c>
      <c r="F763">
        <v>7387788</v>
      </c>
      <c r="G763">
        <v>11252725</v>
      </c>
      <c r="H763">
        <v>10447730</v>
      </c>
      <c r="I763">
        <v>8383222</v>
      </c>
      <c r="J763">
        <v>2855761</v>
      </c>
      <c r="K763">
        <v>14867008</v>
      </c>
      <c r="L763">
        <v>19477385</v>
      </c>
      <c r="M763">
        <v>4993961</v>
      </c>
      <c r="N763">
        <v>191031714</v>
      </c>
      <c r="O763">
        <v>82832082</v>
      </c>
      <c r="P763">
        <v>55</v>
      </c>
      <c r="Q763" t="s">
        <v>1760</v>
      </c>
    </row>
    <row r="764" spans="1:17" x14ac:dyDescent="0.3">
      <c r="A764" t="s">
        <v>17</v>
      </c>
      <c r="B764" t="str">
        <f>"600871"</f>
        <v>600871</v>
      </c>
      <c r="C764" t="s">
        <v>1761</v>
      </c>
      <c r="D764" t="s">
        <v>1762</v>
      </c>
      <c r="F764">
        <v>6861517000</v>
      </c>
      <c r="G764">
        <v>6722866000</v>
      </c>
      <c r="H764">
        <v>6763872000</v>
      </c>
      <c r="I764">
        <v>5778410000</v>
      </c>
      <c r="J764">
        <v>-2102628000</v>
      </c>
      <c r="K764">
        <v>8442868000</v>
      </c>
      <c r="L764">
        <v>24638094000</v>
      </c>
      <c r="M764">
        <v>18697120000</v>
      </c>
      <c r="N764">
        <v>7096488000</v>
      </c>
      <c r="O764">
        <v>8549338000</v>
      </c>
      <c r="P764">
        <v>172</v>
      </c>
      <c r="Q764" t="s">
        <v>1763</v>
      </c>
    </row>
    <row r="765" spans="1:17" x14ac:dyDescent="0.3">
      <c r="A765" t="s">
        <v>17</v>
      </c>
      <c r="B765" t="str">
        <f>"600872"</f>
        <v>600872</v>
      </c>
      <c r="C765" t="s">
        <v>1764</v>
      </c>
      <c r="D765" t="s">
        <v>433</v>
      </c>
      <c r="F765">
        <v>3832349781</v>
      </c>
      <c r="G765">
        <v>4615875381</v>
      </c>
      <c r="H765">
        <v>3948972298</v>
      </c>
      <c r="I765">
        <v>3604791230</v>
      </c>
      <c r="J765">
        <v>3140811451</v>
      </c>
      <c r="K765">
        <v>2799259157</v>
      </c>
      <c r="L765">
        <v>2513979783</v>
      </c>
      <c r="M765">
        <v>2354641481</v>
      </c>
      <c r="N765">
        <v>2132672364</v>
      </c>
      <c r="O765">
        <v>1947986371</v>
      </c>
      <c r="P765">
        <v>2534</v>
      </c>
      <c r="Q765" t="s">
        <v>1765</v>
      </c>
    </row>
    <row r="766" spans="1:17" x14ac:dyDescent="0.3">
      <c r="A766" t="s">
        <v>17</v>
      </c>
      <c r="B766" t="str">
        <f>"600873"</f>
        <v>600873</v>
      </c>
      <c r="C766" t="s">
        <v>1766</v>
      </c>
      <c r="D766" t="s">
        <v>433</v>
      </c>
      <c r="F766">
        <v>10621533339</v>
      </c>
      <c r="G766">
        <v>9085945729</v>
      </c>
      <c r="H766">
        <v>8979234138</v>
      </c>
      <c r="I766">
        <v>9110288588</v>
      </c>
      <c r="J766">
        <v>9105157994</v>
      </c>
      <c r="K766">
        <v>9064019058</v>
      </c>
      <c r="L766">
        <v>8333151775</v>
      </c>
      <c r="M766">
        <v>8216552097</v>
      </c>
      <c r="N766">
        <v>8027109019</v>
      </c>
      <c r="O766">
        <v>5481286522</v>
      </c>
      <c r="P766">
        <v>990</v>
      </c>
      <c r="Q766" t="s">
        <v>1767</v>
      </c>
    </row>
    <row r="767" spans="1:17" x14ac:dyDescent="0.3">
      <c r="A767" t="s">
        <v>17</v>
      </c>
      <c r="B767" t="str">
        <f>"600874"</f>
        <v>600874</v>
      </c>
      <c r="C767" t="s">
        <v>1768</v>
      </c>
      <c r="D767" t="s">
        <v>33</v>
      </c>
      <c r="F767">
        <v>7120198000</v>
      </c>
      <c r="G767">
        <v>6591351000</v>
      </c>
      <c r="H767">
        <v>6174025000</v>
      </c>
      <c r="I767">
        <v>5818203000</v>
      </c>
      <c r="J767">
        <v>5117040000</v>
      </c>
      <c r="K767">
        <v>4744377000</v>
      </c>
      <c r="L767">
        <v>4401115000</v>
      </c>
      <c r="M767">
        <v>4170484000</v>
      </c>
      <c r="N767">
        <v>3976494000</v>
      </c>
      <c r="O767">
        <v>3780229000</v>
      </c>
      <c r="P767">
        <v>201</v>
      </c>
      <c r="Q767" t="s">
        <v>1769</v>
      </c>
    </row>
    <row r="768" spans="1:17" x14ac:dyDescent="0.3">
      <c r="A768" t="s">
        <v>17</v>
      </c>
      <c r="B768" t="str">
        <f>"600875"</f>
        <v>600875</v>
      </c>
      <c r="C768" t="s">
        <v>1770</v>
      </c>
      <c r="D768" t="s">
        <v>973</v>
      </c>
      <c r="F768">
        <v>32497661980</v>
      </c>
      <c r="G768">
        <v>30907668528</v>
      </c>
      <c r="H768">
        <v>29454645750</v>
      </c>
      <c r="I768">
        <v>28584050996</v>
      </c>
      <c r="J768">
        <v>21821370659</v>
      </c>
      <c r="K768">
        <v>21144292193</v>
      </c>
      <c r="L768">
        <v>23051589146</v>
      </c>
      <c r="M768">
        <v>19544092527</v>
      </c>
      <c r="N768">
        <v>17693768986</v>
      </c>
      <c r="O768">
        <v>15678105418</v>
      </c>
      <c r="P768">
        <v>482</v>
      </c>
      <c r="Q768" t="s">
        <v>1771</v>
      </c>
    </row>
    <row r="769" spans="1:17" x14ac:dyDescent="0.3">
      <c r="A769" t="s">
        <v>17</v>
      </c>
      <c r="B769" t="str">
        <f>"600876"</f>
        <v>600876</v>
      </c>
      <c r="C769" t="s">
        <v>1772</v>
      </c>
      <c r="D769" t="s">
        <v>666</v>
      </c>
      <c r="F769">
        <v>3843648734</v>
      </c>
      <c r="G769">
        <v>1626578222</v>
      </c>
      <c r="H769">
        <v>1299216365</v>
      </c>
      <c r="I769">
        <v>1245216485</v>
      </c>
      <c r="J769">
        <v>559139146</v>
      </c>
      <c r="K769">
        <v>523269417</v>
      </c>
      <c r="L769">
        <v>278344996</v>
      </c>
      <c r="M769">
        <v>49399018</v>
      </c>
      <c r="N769">
        <v>33306059</v>
      </c>
      <c r="O769">
        <v>132125006</v>
      </c>
      <c r="P769">
        <v>175</v>
      </c>
      <c r="Q769" t="s">
        <v>1773</v>
      </c>
    </row>
    <row r="770" spans="1:17" x14ac:dyDescent="0.3">
      <c r="A770" t="s">
        <v>17</v>
      </c>
      <c r="B770" t="str">
        <f>"600877"</f>
        <v>600877</v>
      </c>
      <c r="C770" t="s">
        <v>1774</v>
      </c>
      <c r="D770" t="s">
        <v>359</v>
      </c>
      <c r="F770">
        <v>1937276896</v>
      </c>
      <c r="G770">
        <v>406287676</v>
      </c>
      <c r="H770">
        <v>323651572</v>
      </c>
      <c r="I770">
        <v>-192739784</v>
      </c>
      <c r="J770">
        <v>9886278</v>
      </c>
      <c r="K770">
        <v>-327960537</v>
      </c>
      <c r="L770">
        <v>7946960</v>
      </c>
      <c r="M770">
        <v>191809273</v>
      </c>
      <c r="N770">
        <v>183708578</v>
      </c>
      <c r="O770">
        <v>423544492</v>
      </c>
      <c r="P770">
        <v>119</v>
      </c>
      <c r="Q770" t="s">
        <v>1775</v>
      </c>
    </row>
    <row r="771" spans="1:17" x14ac:dyDescent="0.3">
      <c r="A771" t="s">
        <v>17</v>
      </c>
      <c r="B771" t="str">
        <f>"600878"</f>
        <v>600878</v>
      </c>
      <c r="C771" t="s">
        <v>1776</v>
      </c>
      <c r="K771">
        <v>35293262.670000002</v>
      </c>
      <c r="L771">
        <v>-836357419.40999997</v>
      </c>
      <c r="P771">
        <v>2</v>
      </c>
      <c r="Q771" t="s">
        <v>1777</v>
      </c>
    </row>
    <row r="772" spans="1:17" x14ac:dyDescent="0.3">
      <c r="A772" t="s">
        <v>17</v>
      </c>
      <c r="B772" t="str">
        <f>"600879"</f>
        <v>600879</v>
      </c>
      <c r="C772" t="s">
        <v>1778</v>
      </c>
      <c r="D772" t="s">
        <v>284</v>
      </c>
      <c r="F772">
        <v>13258319081</v>
      </c>
      <c r="G772">
        <v>12673758268</v>
      </c>
      <c r="H772">
        <v>12373364088</v>
      </c>
      <c r="I772">
        <v>11875816373</v>
      </c>
      <c r="J772">
        <v>11390417933</v>
      </c>
      <c r="K772">
        <v>8620075993</v>
      </c>
      <c r="L772">
        <v>5497212574</v>
      </c>
      <c r="M772">
        <v>5216375238</v>
      </c>
      <c r="N772">
        <v>4955249024</v>
      </c>
      <c r="O772">
        <v>3454682446</v>
      </c>
      <c r="P772">
        <v>359</v>
      </c>
      <c r="Q772" t="s">
        <v>1779</v>
      </c>
    </row>
    <row r="773" spans="1:17" x14ac:dyDescent="0.3">
      <c r="A773" t="s">
        <v>17</v>
      </c>
      <c r="B773" t="str">
        <f>"600880"</f>
        <v>600880</v>
      </c>
      <c r="C773" t="s">
        <v>1780</v>
      </c>
      <c r="D773" t="s">
        <v>1781</v>
      </c>
      <c r="F773">
        <v>2978719684</v>
      </c>
      <c r="G773">
        <v>2929148480</v>
      </c>
      <c r="H773">
        <v>2864927606</v>
      </c>
      <c r="I773">
        <v>2785879919</v>
      </c>
      <c r="J773">
        <v>3641480020</v>
      </c>
      <c r="K773">
        <v>3618375058</v>
      </c>
      <c r="L773">
        <v>3589830470</v>
      </c>
      <c r="M773">
        <v>3624488020</v>
      </c>
      <c r="N773">
        <v>3480206027</v>
      </c>
      <c r="O773">
        <v>2256598070</v>
      </c>
      <c r="P773">
        <v>314</v>
      </c>
      <c r="Q773" t="s">
        <v>1782</v>
      </c>
    </row>
    <row r="774" spans="1:17" x14ac:dyDescent="0.3">
      <c r="A774" t="s">
        <v>17</v>
      </c>
      <c r="B774" t="str">
        <f>"600881"</f>
        <v>600881</v>
      </c>
      <c r="C774" t="s">
        <v>1783</v>
      </c>
      <c r="D774" t="s">
        <v>110</v>
      </c>
      <c r="F774">
        <v>13078359293</v>
      </c>
      <c r="G774">
        <v>14569020469</v>
      </c>
      <c r="H774">
        <v>14417292073</v>
      </c>
      <c r="I774">
        <v>14465490918</v>
      </c>
      <c r="J774">
        <v>14905924999</v>
      </c>
      <c r="K774">
        <v>11442676778</v>
      </c>
      <c r="L774">
        <v>11501567222</v>
      </c>
      <c r="M774">
        <v>8156120993</v>
      </c>
      <c r="N774">
        <v>8036437170</v>
      </c>
      <c r="O774">
        <v>8039351964</v>
      </c>
      <c r="P774">
        <v>144</v>
      </c>
      <c r="Q774" t="s">
        <v>1784</v>
      </c>
    </row>
    <row r="775" spans="1:17" x14ac:dyDescent="0.3">
      <c r="A775" t="s">
        <v>17</v>
      </c>
      <c r="B775" t="str">
        <f>"600882"</f>
        <v>600882</v>
      </c>
      <c r="C775" t="s">
        <v>1785</v>
      </c>
      <c r="D775" t="s">
        <v>900</v>
      </c>
      <c r="F775">
        <v>4511600991</v>
      </c>
      <c r="G775">
        <v>1485566761</v>
      </c>
      <c r="H775">
        <v>1265657293</v>
      </c>
      <c r="I775">
        <v>1218168920</v>
      </c>
      <c r="J775">
        <v>1176556098</v>
      </c>
      <c r="K775">
        <v>1159926201</v>
      </c>
      <c r="L775">
        <v>1075145498</v>
      </c>
      <c r="M775">
        <v>1359931800</v>
      </c>
      <c r="N775">
        <v>1448190415</v>
      </c>
      <c r="O775">
        <v>1298143973</v>
      </c>
      <c r="P775">
        <v>515</v>
      </c>
      <c r="Q775" t="s">
        <v>1786</v>
      </c>
    </row>
    <row r="776" spans="1:17" x14ac:dyDescent="0.3">
      <c r="A776" t="s">
        <v>17</v>
      </c>
      <c r="B776" t="str">
        <f>"600883"</f>
        <v>600883</v>
      </c>
      <c r="C776" t="s">
        <v>1787</v>
      </c>
      <c r="D776" t="s">
        <v>731</v>
      </c>
      <c r="F776">
        <v>739089975</v>
      </c>
      <c r="G776">
        <v>689756958</v>
      </c>
      <c r="H776">
        <v>660953405</v>
      </c>
      <c r="I776">
        <v>655425039</v>
      </c>
      <c r="J776">
        <v>660751052</v>
      </c>
      <c r="K776">
        <v>647964185</v>
      </c>
      <c r="L776">
        <v>666607804</v>
      </c>
      <c r="M776">
        <v>617955395</v>
      </c>
      <c r="N776">
        <v>684710759</v>
      </c>
      <c r="O776">
        <v>685825790</v>
      </c>
      <c r="P776">
        <v>78</v>
      </c>
      <c r="Q776" t="s">
        <v>1788</v>
      </c>
    </row>
    <row r="777" spans="1:17" x14ac:dyDescent="0.3">
      <c r="A777" t="s">
        <v>17</v>
      </c>
      <c r="B777" t="str">
        <f>"600884"</f>
        <v>600884</v>
      </c>
      <c r="C777" t="s">
        <v>1789</v>
      </c>
      <c r="D777" t="s">
        <v>1790</v>
      </c>
      <c r="F777">
        <v>18928381476</v>
      </c>
      <c r="G777">
        <v>12407995675</v>
      </c>
      <c r="H777">
        <v>11822582211</v>
      </c>
      <c r="I777">
        <v>10707198374</v>
      </c>
      <c r="J777">
        <v>10433229447</v>
      </c>
      <c r="K777">
        <v>8142417264</v>
      </c>
      <c r="L777">
        <v>4798830616</v>
      </c>
      <c r="M777">
        <v>4243186761</v>
      </c>
      <c r="N777">
        <v>3216948200</v>
      </c>
      <c r="O777">
        <v>3237835691</v>
      </c>
      <c r="P777">
        <v>758</v>
      </c>
      <c r="Q777" t="s">
        <v>1791</v>
      </c>
    </row>
    <row r="778" spans="1:17" x14ac:dyDescent="0.3">
      <c r="A778" t="s">
        <v>17</v>
      </c>
      <c r="B778" t="str">
        <f>"600885"</f>
        <v>600885</v>
      </c>
      <c r="C778" t="s">
        <v>1792</v>
      </c>
      <c r="D778" t="s">
        <v>610</v>
      </c>
      <c r="F778">
        <v>6204963484</v>
      </c>
      <c r="G778">
        <v>5527482768</v>
      </c>
      <c r="H778">
        <v>4923536772</v>
      </c>
      <c r="I778">
        <v>4432062974</v>
      </c>
      <c r="J778">
        <v>3941977620</v>
      </c>
      <c r="K778">
        <v>3396107360</v>
      </c>
      <c r="L778">
        <v>2917130276</v>
      </c>
      <c r="M778">
        <v>2601740323</v>
      </c>
      <c r="N778">
        <v>2170307033</v>
      </c>
      <c r="O778">
        <v>1117797875</v>
      </c>
      <c r="P778">
        <v>13105</v>
      </c>
      <c r="Q778" t="s">
        <v>1793</v>
      </c>
    </row>
    <row r="779" spans="1:17" x14ac:dyDescent="0.3">
      <c r="A779" t="s">
        <v>17</v>
      </c>
      <c r="B779" t="str">
        <f>"600886"</f>
        <v>600886</v>
      </c>
      <c r="C779" t="s">
        <v>1794</v>
      </c>
      <c r="D779" t="s">
        <v>66</v>
      </c>
      <c r="F779">
        <v>45756402540</v>
      </c>
      <c r="G779">
        <v>41527759746</v>
      </c>
      <c r="H779">
        <v>36383493356</v>
      </c>
      <c r="I779">
        <v>33692543528</v>
      </c>
      <c r="J779">
        <v>30555225087</v>
      </c>
      <c r="K779">
        <v>28680418154</v>
      </c>
      <c r="L779">
        <v>26578474517</v>
      </c>
      <c r="M779">
        <v>23120655713</v>
      </c>
      <c r="N779">
        <v>18459921427</v>
      </c>
      <c r="O779">
        <v>12286979893</v>
      </c>
      <c r="P779">
        <v>2023</v>
      </c>
      <c r="Q779" t="s">
        <v>1795</v>
      </c>
    </row>
    <row r="780" spans="1:17" x14ac:dyDescent="0.3">
      <c r="A780" t="s">
        <v>17</v>
      </c>
      <c r="B780" t="str">
        <f>"600887"</f>
        <v>600887</v>
      </c>
      <c r="C780" t="s">
        <v>1796</v>
      </c>
      <c r="D780" t="s">
        <v>900</v>
      </c>
      <c r="F780">
        <v>47708310432</v>
      </c>
      <c r="G780">
        <v>30383910257</v>
      </c>
      <c r="H780">
        <v>26131025017</v>
      </c>
      <c r="I780">
        <v>27915583840</v>
      </c>
      <c r="J780">
        <v>25103389200</v>
      </c>
      <c r="K780">
        <v>23081766711</v>
      </c>
      <c r="L780">
        <v>19984397435</v>
      </c>
      <c r="M780">
        <v>18633924842</v>
      </c>
      <c r="N780">
        <v>16125099261</v>
      </c>
      <c r="O780">
        <v>7334900237</v>
      </c>
      <c r="P780">
        <v>72799</v>
      </c>
      <c r="Q780" t="s">
        <v>1797</v>
      </c>
    </row>
    <row r="781" spans="1:17" x14ac:dyDescent="0.3">
      <c r="A781" t="s">
        <v>17</v>
      </c>
      <c r="B781" t="str">
        <f>"600888"</f>
        <v>600888</v>
      </c>
      <c r="C781" t="s">
        <v>1798</v>
      </c>
      <c r="D781" t="s">
        <v>504</v>
      </c>
      <c r="F781">
        <v>6839544163</v>
      </c>
      <c r="G781">
        <v>4795695268</v>
      </c>
      <c r="H781">
        <v>4445788988</v>
      </c>
      <c r="I781">
        <v>3578643419</v>
      </c>
      <c r="J781">
        <v>3398969986</v>
      </c>
      <c r="K781">
        <v>3256020467</v>
      </c>
      <c r="L781">
        <v>3226403345</v>
      </c>
      <c r="M781">
        <v>3192800192</v>
      </c>
      <c r="N781">
        <v>3719648498</v>
      </c>
      <c r="O781">
        <v>3686287759</v>
      </c>
      <c r="P781">
        <v>183</v>
      </c>
      <c r="Q781" t="s">
        <v>1799</v>
      </c>
    </row>
    <row r="782" spans="1:17" x14ac:dyDescent="0.3">
      <c r="A782" t="s">
        <v>17</v>
      </c>
      <c r="B782" t="str">
        <f>"600889"</f>
        <v>600889</v>
      </c>
      <c r="C782" t="s">
        <v>1800</v>
      </c>
      <c r="D782" t="s">
        <v>888</v>
      </c>
      <c r="F782">
        <v>1229214838</v>
      </c>
      <c r="G782">
        <v>1400683102</v>
      </c>
      <c r="H782">
        <v>1386475506</v>
      </c>
      <c r="I782">
        <v>1516979274</v>
      </c>
      <c r="J782">
        <v>1139081270</v>
      </c>
      <c r="K782">
        <v>1478957807</v>
      </c>
      <c r="L782">
        <v>1396785124</v>
      </c>
      <c r="M782">
        <v>934789369</v>
      </c>
      <c r="N782">
        <v>938536439</v>
      </c>
      <c r="O782">
        <v>914183501</v>
      </c>
      <c r="P782">
        <v>77</v>
      </c>
      <c r="Q782" t="s">
        <v>1801</v>
      </c>
    </row>
    <row r="783" spans="1:17" x14ac:dyDescent="0.3">
      <c r="A783" t="s">
        <v>17</v>
      </c>
      <c r="B783" t="str">
        <f>"600890"</f>
        <v>600890</v>
      </c>
      <c r="C783" t="s">
        <v>1802</v>
      </c>
      <c r="D783" t="s">
        <v>30</v>
      </c>
      <c r="F783">
        <v>212922987</v>
      </c>
      <c r="G783">
        <v>229542242</v>
      </c>
      <c r="H783">
        <v>280387578</v>
      </c>
      <c r="I783">
        <v>251882550</v>
      </c>
      <c r="J783">
        <v>293923163</v>
      </c>
      <c r="K783">
        <v>285867599</v>
      </c>
      <c r="L783">
        <v>327886421</v>
      </c>
      <c r="M783">
        <v>315752887</v>
      </c>
      <c r="N783">
        <v>329178341</v>
      </c>
      <c r="O783">
        <v>314349132</v>
      </c>
      <c r="P783">
        <v>73</v>
      </c>
      <c r="Q783" t="s">
        <v>1803</v>
      </c>
    </row>
    <row r="784" spans="1:17" x14ac:dyDescent="0.3">
      <c r="A784" t="s">
        <v>17</v>
      </c>
      <c r="B784" t="str">
        <f>"600891"</f>
        <v>600891</v>
      </c>
      <c r="C784" t="s">
        <v>1804</v>
      </c>
      <c r="G784">
        <v>-2214232660</v>
      </c>
      <c r="H784">
        <v>-1631757371</v>
      </c>
      <c r="I784">
        <v>-1101172428</v>
      </c>
      <c r="J784">
        <v>3029311230</v>
      </c>
      <c r="K784">
        <v>2902764096</v>
      </c>
      <c r="L784">
        <v>2746758054</v>
      </c>
      <c r="M784">
        <v>846304166</v>
      </c>
      <c r="N784">
        <v>814072287</v>
      </c>
      <c r="O784">
        <v>793947408</v>
      </c>
      <c r="P784">
        <v>45</v>
      </c>
      <c r="Q784" t="s">
        <v>1805</v>
      </c>
    </row>
    <row r="785" spans="1:17" x14ac:dyDescent="0.3">
      <c r="A785" t="s">
        <v>17</v>
      </c>
      <c r="B785" t="str">
        <f>"600892"</f>
        <v>600892</v>
      </c>
      <c r="C785" t="s">
        <v>1806</v>
      </c>
      <c r="D785" t="s">
        <v>517</v>
      </c>
      <c r="F785">
        <v>154007962</v>
      </c>
      <c r="G785">
        <v>267516951</v>
      </c>
      <c r="H785">
        <v>252315458</v>
      </c>
      <c r="I785">
        <v>841929517</v>
      </c>
      <c r="J785">
        <v>1969842838</v>
      </c>
      <c r="K785">
        <v>1669727221</v>
      </c>
      <c r="L785">
        <v>1517044078</v>
      </c>
      <c r="M785">
        <v>7443111</v>
      </c>
      <c r="N785">
        <v>6213394</v>
      </c>
      <c r="O785">
        <v>3388235</v>
      </c>
      <c r="P785">
        <v>85</v>
      </c>
      <c r="Q785" t="s">
        <v>1807</v>
      </c>
    </row>
    <row r="786" spans="1:17" x14ac:dyDescent="0.3">
      <c r="A786" t="s">
        <v>17</v>
      </c>
      <c r="B786" t="str">
        <f>"600893"</f>
        <v>600893</v>
      </c>
      <c r="C786" t="s">
        <v>1808</v>
      </c>
      <c r="D786" t="s">
        <v>98</v>
      </c>
      <c r="F786">
        <v>37451790791</v>
      </c>
      <c r="G786">
        <v>36100180751</v>
      </c>
      <c r="H786">
        <v>28689952491</v>
      </c>
      <c r="I786">
        <v>26429184784</v>
      </c>
      <c r="J786">
        <v>25792116313</v>
      </c>
      <c r="K786">
        <v>15611882899</v>
      </c>
      <c r="L786">
        <v>15060589877</v>
      </c>
      <c r="M786">
        <v>14250499294</v>
      </c>
      <c r="N786">
        <v>4486170362</v>
      </c>
      <c r="O786">
        <v>4220305908</v>
      </c>
      <c r="P786">
        <v>1086</v>
      </c>
      <c r="Q786" t="s">
        <v>1809</v>
      </c>
    </row>
    <row r="787" spans="1:17" x14ac:dyDescent="0.3">
      <c r="A787" t="s">
        <v>17</v>
      </c>
      <c r="B787" t="str">
        <f>"600894"</f>
        <v>600894</v>
      </c>
      <c r="C787" t="s">
        <v>1810</v>
      </c>
      <c r="D787" t="s">
        <v>1691</v>
      </c>
      <c r="F787">
        <v>8412113375</v>
      </c>
      <c r="G787">
        <v>8107511072</v>
      </c>
      <c r="H787">
        <v>7515780754</v>
      </c>
      <c r="I787">
        <v>6948755357</v>
      </c>
      <c r="J787">
        <v>6815399859</v>
      </c>
      <c r="K787">
        <v>6882982173</v>
      </c>
      <c r="L787">
        <v>6424173063</v>
      </c>
      <c r="M787">
        <v>4350541299</v>
      </c>
      <c r="N787">
        <v>2995092374</v>
      </c>
      <c r="O787">
        <v>2124042288</v>
      </c>
      <c r="P787">
        <v>394</v>
      </c>
      <c r="Q787" t="s">
        <v>1811</v>
      </c>
    </row>
    <row r="788" spans="1:17" x14ac:dyDescent="0.3">
      <c r="A788" t="s">
        <v>17</v>
      </c>
      <c r="B788" t="str">
        <f>"600895"</f>
        <v>600895</v>
      </c>
      <c r="C788" t="s">
        <v>1812</v>
      </c>
      <c r="D788" t="s">
        <v>194</v>
      </c>
      <c r="F788">
        <v>10893428288</v>
      </c>
      <c r="G788">
        <v>10805130160</v>
      </c>
      <c r="H788">
        <v>9305582082</v>
      </c>
      <c r="I788">
        <v>8763965807</v>
      </c>
      <c r="J788">
        <v>8416044004</v>
      </c>
      <c r="K788">
        <v>8252169909</v>
      </c>
      <c r="L788">
        <v>7561776424</v>
      </c>
      <c r="M788">
        <v>7123570988</v>
      </c>
      <c r="N788">
        <v>6908412017</v>
      </c>
      <c r="O788">
        <v>6445898916</v>
      </c>
      <c r="P788">
        <v>336</v>
      </c>
      <c r="Q788" t="s">
        <v>1813</v>
      </c>
    </row>
    <row r="789" spans="1:17" x14ac:dyDescent="0.3">
      <c r="A789" t="s">
        <v>17</v>
      </c>
      <c r="B789" t="str">
        <f>"600896"</f>
        <v>600896</v>
      </c>
      <c r="C789" t="s">
        <v>1814</v>
      </c>
      <c r="D789" t="s">
        <v>1147</v>
      </c>
      <c r="F789">
        <v>1962873985</v>
      </c>
      <c r="G789">
        <v>2247352873</v>
      </c>
      <c r="H789">
        <v>1592430784</v>
      </c>
      <c r="I789">
        <v>1773990662</v>
      </c>
      <c r="J789">
        <v>1673556977</v>
      </c>
      <c r="K789">
        <v>2416560034</v>
      </c>
      <c r="L789">
        <v>1488226281</v>
      </c>
      <c r="M789">
        <v>2048581304</v>
      </c>
      <c r="N789">
        <v>1590251869</v>
      </c>
      <c r="O789">
        <v>1685972595</v>
      </c>
      <c r="P789">
        <v>93</v>
      </c>
      <c r="Q789" t="s">
        <v>1815</v>
      </c>
    </row>
    <row r="790" spans="1:17" x14ac:dyDescent="0.3">
      <c r="A790" t="s">
        <v>17</v>
      </c>
      <c r="B790" t="str">
        <f>"600897"</f>
        <v>600897</v>
      </c>
      <c r="C790" t="s">
        <v>1816</v>
      </c>
      <c r="D790" t="s">
        <v>22</v>
      </c>
      <c r="F790">
        <v>3837080228</v>
      </c>
      <c r="G790">
        <v>3749553260</v>
      </c>
      <c r="H790">
        <v>3735892729</v>
      </c>
      <c r="I790">
        <v>3600705027</v>
      </c>
      <c r="J790">
        <v>3407018232</v>
      </c>
      <c r="K790">
        <v>3299084257</v>
      </c>
      <c r="L790">
        <v>3015272254</v>
      </c>
      <c r="M790">
        <v>2787257896</v>
      </c>
      <c r="N790">
        <v>2552141346</v>
      </c>
      <c r="O790">
        <v>2230481529</v>
      </c>
      <c r="P790">
        <v>479</v>
      </c>
      <c r="Q790" t="s">
        <v>1817</v>
      </c>
    </row>
    <row r="791" spans="1:17" x14ac:dyDescent="0.3">
      <c r="A791" t="s">
        <v>17</v>
      </c>
      <c r="B791" t="str">
        <f>"600898"</f>
        <v>600898</v>
      </c>
      <c r="C791" t="s">
        <v>1818</v>
      </c>
      <c r="D791" t="s">
        <v>313</v>
      </c>
      <c r="F791">
        <v>129647971</v>
      </c>
      <c r="G791">
        <v>12484766</v>
      </c>
      <c r="H791">
        <v>-775564497</v>
      </c>
      <c r="I791">
        <v>76120348</v>
      </c>
      <c r="J791">
        <v>455594942</v>
      </c>
      <c r="K791">
        <v>372087836</v>
      </c>
      <c r="L791">
        <v>367299623</v>
      </c>
      <c r="M791">
        <v>348941315</v>
      </c>
      <c r="N791">
        <v>317086397</v>
      </c>
      <c r="O791">
        <v>289336580</v>
      </c>
      <c r="P791">
        <v>57</v>
      </c>
      <c r="Q791" t="s">
        <v>1819</v>
      </c>
    </row>
    <row r="792" spans="1:17" x14ac:dyDescent="0.3">
      <c r="A792" t="s">
        <v>17</v>
      </c>
      <c r="B792" t="str">
        <f>"600900"</f>
        <v>600900</v>
      </c>
      <c r="C792" t="s">
        <v>1820</v>
      </c>
      <c r="D792" t="s">
        <v>66</v>
      </c>
      <c r="F792">
        <v>181063819486</v>
      </c>
      <c r="G792">
        <v>172118146992</v>
      </c>
      <c r="H792">
        <v>149510174624</v>
      </c>
      <c r="I792">
        <v>142203409150</v>
      </c>
      <c r="J792">
        <v>135101452567</v>
      </c>
      <c r="K792">
        <v>128199184968</v>
      </c>
      <c r="L792">
        <v>91323134639</v>
      </c>
      <c r="M792">
        <v>86134165744</v>
      </c>
      <c r="N792">
        <v>78179034744</v>
      </c>
      <c r="O792">
        <v>74879797672</v>
      </c>
      <c r="P792">
        <v>5902</v>
      </c>
      <c r="Q792" t="s">
        <v>1821</v>
      </c>
    </row>
    <row r="793" spans="1:17" x14ac:dyDescent="0.3">
      <c r="A793" t="s">
        <v>17</v>
      </c>
      <c r="B793" t="str">
        <f>"600901"</f>
        <v>600901</v>
      </c>
      <c r="C793" t="s">
        <v>1822</v>
      </c>
      <c r="D793" t="s">
        <v>336</v>
      </c>
      <c r="F793">
        <v>14209371708</v>
      </c>
      <c r="G793">
        <v>13010466916</v>
      </c>
      <c r="H793">
        <v>11996786376</v>
      </c>
      <c r="I793">
        <v>11017688420</v>
      </c>
      <c r="J793">
        <v>6247453144</v>
      </c>
      <c r="K793">
        <v>5389723154</v>
      </c>
      <c r="L793">
        <v>4660127681</v>
      </c>
      <c r="M793">
        <v>4027684066</v>
      </c>
      <c r="P793">
        <v>475</v>
      </c>
      <c r="Q793" t="s">
        <v>1823</v>
      </c>
    </row>
    <row r="794" spans="1:17" x14ac:dyDescent="0.3">
      <c r="A794" t="s">
        <v>17</v>
      </c>
      <c r="B794" t="str">
        <f>"600903"</f>
        <v>600903</v>
      </c>
      <c r="C794" t="s">
        <v>1824</v>
      </c>
      <c r="D794" t="s">
        <v>749</v>
      </c>
      <c r="F794">
        <v>2852723755</v>
      </c>
      <c r="G794">
        <v>2820949367</v>
      </c>
      <c r="H794">
        <v>2770708985</v>
      </c>
      <c r="I794">
        <v>2320450983</v>
      </c>
      <c r="J794">
        <v>2362282334</v>
      </c>
      <c r="K794">
        <v>2254248921</v>
      </c>
      <c r="L794">
        <v>1051878244</v>
      </c>
      <c r="M794">
        <v>505848882</v>
      </c>
      <c r="P794">
        <v>186</v>
      </c>
      <c r="Q794" t="s">
        <v>1825</v>
      </c>
    </row>
    <row r="795" spans="1:17" x14ac:dyDescent="0.3">
      <c r="A795" t="s">
        <v>17</v>
      </c>
      <c r="B795" t="str">
        <f>"600905"</f>
        <v>600905</v>
      </c>
      <c r="C795" t="s">
        <v>1826</v>
      </c>
      <c r="D795" t="s">
        <v>383</v>
      </c>
      <c r="F795">
        <v>68829956569</v>
      </c>
      <c r="G795">
        <v>41877332308</v>
      </c>
      <c r="H795">
        <v>38473976905</v>
      </c>
      <c r="I795">
        <v>40721299657</v>
      </c>
      <c r="J795">
        <v>25969108885</v>
      </c>
      <c r="P795">
        <v>657</v>
      </c>
      <c r="Q795" t="s">
        <v>1827</v>
      </c>
    </row>
    <row r="796" spans="1:17" x14ac:dyDescent="0.3">
      <c r="A796" t="s">
        <v>17</v>
      </c>
      <c r="B796" t="str">
        <f>"600906"</f>
        <v>600906</v>
      </c>
      <c r="C796" t="s">
        <v>1828</v>
      </c>
      <c r="D796" t="s">
        <v>80</v>
      </c>
      <c r="F796">
        <v>11159416873</v>
      </c>
      <c r="G796">
        <v>8923998114</v>
      </c>
      <c r="H796">
        <v>8666715603</v>
      </c>
      <c r="I796">
        <v>8459227824</v>
      </c>
      <c r="J796">
        <v>8816436091</v>
      </c>
      <c r="P796">
        <v>131</v>
      </c>
      <c r="Q796" t="s">
        <v>1829</v>
      </c>
    </row>
    <row r="797" spans="1:17" x14ac:dyDescent="0.3">
      <c r="A797" t="s">
        <v>17</v>
      </c>
      <c r="B797" t="str">
        <f>"600908"</f>
        <v>600908</v>
      </c>
      <c r="C797" t="s">
        <v>1830</v>
      </c>
      <c r="D797" t="s">
        <v>1831</v>
      </c>
      <c r="F797">
        <v>13198820000</v>
      </c>
      <c r="G797">
        <v>11866754000</v>
      </c>
      <c r="H797">
        <v>11035966000</v>
      </c>
      <c r="I797">
        <v>10236920000</v>
      </c>
      <c r="J797">
        <v>9253711000</v>
      </c>
      <c r="K797">
        <v>8772436000</v>
      </c>
      <c r="L797">
        <v>7208387000</v>
      </c>
      <c r="M797">
        <v>6413138000</v>
      </c>
      <c r="N797">
        <v>5642305000</v>
      </c>
      <c r="O797">
        <v>4953176000</v>
      </c>
      <c r="P797">
        <v>897</v>
      </c>
      <c r="Q797" t="s">
        <v>1832</v>
      </c>
    </row>
    <row r="798" spans="1:17" x14ac:dyDescent="0.3">
      <c r="A798" t="s">
        <v>17</v>
      </c>
      <c r="B798" t="str">
        <f>"600909"</f>
        <v>600909</v>
      </c>
      <c r="C798" t="s">
        <v>1833</v>
      </c>
      <c r="D798" t="s">
        <v>80</v>
      </c>
      <c r="F798">
        <v>19061305119</v>
      </c>
      <c r="G798">
        <v>14127338306</v>
      </c>
      <c r="H798">
        <v>13268219725</v>
      </c>
      <c r="I798">
        <v>12524640680</v>
      </c>
      <c r="J798">
        <v>12262974596</v>
      </c>
      <c r="K798">
        <v>11843037415</v>
      </c>
      <c r="L798">
        <v>6705115327</v>
      </c>
      <c r="M798">
        <v>4972157930</v>
      </c>
      <c r="N798">
        <v>4322517871</v>
      </c>
      <c r="O798">
        <v>4116353426.8299999</v>
      </c>
      <c r="P798">
        <v>832</v>
      </c>
      <c r="Q798" t="s">
        <v>1834</v>
      </c>
    </row>
    <row r="799" spans="1:17" x14ac:dyDescent="0.3">
      <c r="A799" t="s">
        <v>17</v>
      </c>
      <c r="B799" t="str">
        <f>"600916"</f>
        <v>600916</v>
      </c>
      <c r="C799" t="s">
        <v>1835</v>
      </c>
      <c r="D799" t="s">
        <v>1238</v>
      </c>
      <c r="F799">
        <v>6555977083</v>
      </c>
      <c r="G799">
        <v>5199331944</v>
      </c>
      <c r="H799">
        <v>4699175796</v>
      </c>
      <c r="I799">
        <v>4247711517</v>
      </c>
      <c r="J799">
        <v>3882548172</v>
      </c>
      <c r="P799">
        <v>97</v>
      </c>
      <c r="Q799" t="s">
        <v>1836</v>
      </c>
    </row>
    <row r="800" spans="1:17" x14ac:dyDescent="0.3">
      <c r="A800" t="s">
        <v>17</v>
      </c>
      <c r="B800" t="str">
        <f>"600917"</f>
        <v>600917</v>
      </c>
      <c r="C800" t="s">
        <v>1837</v>
      </c>
      <c r="D800" t="s">
        <v>749</v>
      </c>
      <c r="F800">
        <v>4754188009</v>
      </c>
      <c r="G800">
        <v>4447526830</v>
      </c>
      <c r="H800">
        <v>4202622395</v>
      </c>
      <c r="I800">
        <v>3931562773</v>
      </c>
      <c r="J800">
        <v>3785793019</v>
      </c>
      <c r="K800">
        <v>3625012201</v>
      </c>
      <c r="L800">
        <v>3478256887</v>
      </c>
      <c r="M800">
        <v>3293838891</v>
      </c>
      <c r="N800">
        <v>2727063909</v>
      </c>
      <c r="O800">
        <v>2490028821</v>
      </c>
      <c r="P800">
        <v>176</v>
      </c>
      <c r="Q800" t="s">
        <v>1838</v>
      </c>
    </row>
    <row r="801" spans="1:17" x14ac:dyDescent="0.3">
      <c r="A801" t="s">
        <v>17</v>
      </c>
      <c r="B801" t="str">
        <f>"600918"</f>
        <v>600918</v>
      </c>
      <c r="C801" t="s">
        <v>1839</v>
      </c>
      <c r="D801" t="s">
        <v>80</v>
      </c>
      <c r="F801">
        <v>35789915008</v>
      </c>
      <c r="G801">
        <v>33278256111</v>
      </c>
      <c r="H801">
        <v>27909579330</v>
      </c>
      <c r="I801">
        <v>25586743176</v>
      </c>
      <c r="J801">
        <v>26769448738</v>
      </c>
      <c r="K801">
        <v>25560786625</v>
      </c>
      <c r="L801">
        <v>25349888362</v>
      </c>
      <c r="M801">
        <v>14350868700</v>
      </c>
      <c r="N801">
        <v>11861504100</v>
      </c>
      <c r="O801">
        <v>11428308100</v>
      </c>
      <c r="P801">
        <v>568</v>
      </c>
      <c r="Q801" t="s">
        <v>1840</v>
      </c>
    </row>
    <row r="802" spans="1:17" x14ac:dyDescent="0.3">
      <c r="A802" t="s">
        <v>17</v>
      </c>
      <c r="B802" t="str">
        <f>"600919"</f>
        <v>600919</v>
      </c>
      <c r="C802" t="s">
        <v>1841</v>
      </c>
      <c r="D802" t="s">
        <v>1842</v>
      </c>
      <c r="F802">
        <v>149464459000</v>
      </c>
      <c r="G802">
        <v>135275100000</v>
      </c>
      <c r="H802">
        <v>110026651000</v>
      </c>
      <c r="I802">
        <v>102646644000</v>
      </c>
      <c r="J802">
        <v>91167074000</v>
      </c>
      <c r="K802">
        <v>82665060000</v>
      </c>
      <c r="L802">
        <v>65155806000</v>
      </c>
      <c r="M802">
        <v>55935208000</v>
      </c>
      <c r="N802">
        <v>47763497000</v>
      </c>
      <c r="O802">
        <v>34151101000</v>
      </c>
      <c r="P802">
        <v>1465</v>
      </c>
      <c r="Q802" t="s">
        <v>1843</v>
      </c>
    </row>
    <row r="803" spans="1:17" x14ac:dyDescent="0.3">
      <c r="A803" t="s">
        <v>17</v>
      </c>
      <c r="B803" t="str">
        <f>"600926"</f>
        <v>600926</v>
      </c>
      <c r="C803" t="s">
        <v>1844</v>
      </c>
      <c r="D803" t="s">
        <v>1842</v>
      </c>
      <c r="F803">
        <v>71647429000</v>
      </c>
      <c r="G803">
        <v>63888208000</v>
      </c>
      <c r="H803">
        <v>52565388000</v>
      </c>
      <c r="I803">
        <v>47185374000</v>
      </c>
      <c r="J803">
        <v>41851749000</v>
      </c>
      <c r="K803">
        <v>38561695000</v>
      </c>
      <c r="L803">
        <v>31835281000</v>
      </c>
      <c r="M803">
        <v>26094648000</v>
      </c>
      <c r="N803">
        <v>20547211000</v>
      </c>
      <c r="O803">
        <v>17457427000</v>
      </c>
      <c r="P803">
        <v>1141</v>
      </c>
      <c r="Q803" t="s">
        <v>1845</v>
      </c>
    </row>
    <row r="804" spans="1:17" x14ac:dyDescent="0.3">
      <c r="A804" t="s">
        <v>17</v>
      </c>
      <c r="B804" t="str">
        <f>"600927"</f>
        <v>600927</v>
      </c>
      <c r="C804" t="s">
        <v>1846</v>
      </c>
      <c r="D804" t="s">
        <v>1847</v>
      </c>
      <c r="F804">
        <v>11585677999</v>
      </c>
      <c r="G804">
        <v>7798045445</v>
      </c>
      <c r="H804">
        <v>6863926094</v>
      </c>
      <c r="I804">
        <v>5972167331</v>
      </c>
      <c r="J804">
        <v>5561419700</v>
      </c>
      <c r="P804">
        <v>22</v>
      </c>
      <c r="Q804" t="s">
        <v>1848</v>
      </c>
    </row>
    <row r="805" spans="1:17" x14ac:dyDescent="0.3">
      <c r="A805" t="s">
        <v>17</v>
      </c>
      <c r="B805" t="str">
        <f>"600928"</f>
        <v>600928</v>
      </c>
      <c r="C805" t="s">
        <v>1849</v>
      </c>
      <c r="D805" t="s">
        <v>1842</v>
      </c>
      <c r="F805">
        <v>27540861000</v>
      </c>
      <c r="G805">
        <v>25565386000</v>
      </c>
      <c r="H805">
        <v>23620159000</v>
      </c>
      <c r="I805">
        <v>19951863000</v>
      </c>
      <c r="J805">
        <v>17676428357</v>
      </c>
      <c r="K805">
        <v>15903190995</v>
      </c>
      <c r="L805">
        <v>14351916765</v>
      </c>
      <c r="M805">
        <v>9762674000</v>
      </c>
      <c r="N805">
        <v>8230787000</v>
      </c>
      <c r="P805">
        <v>409</v>
      </c>
      <c r="Q805" t="s">
        <v>1850</v>
      </c>
    </row>
    <row r="806" spans="1:17" x14ac:dyDescent="0.3">
      <c r="A806" t="s">
        <v>17</v>
      </c>
      <c r="B806" t="str">
        <f>"600929"</f>
        <v>600929</v>
      </c>
      <c r="C806" t="s">
        <v>1851</v>
      </c>
      <c r="D806" t="s">
        <v>736</v>
      </c>
      <c r="F806">
        <v>4930509620</v>
      </c>
      <c r="G806">
        <v>2607167273</v>
      </c>
      <c r="H806">
        <v>2476974240</v>
      </c>
      <c r="I806">
        <v>2388361140</v>
      </c>
      <c r="J806">
        <v>1805156519</v>
      </c>
      <c r="K806">
        <v>1658332231</v>
      </c>
      <c r="L806">
        <v>1573968601</v>
      </c>
      <c r="P806">
        <v>133</v>
      </c>
      <c r="Q806" t="s">
        <v>1852</v>
      </c>
    </row>
    <row r="807" spans="1:17" x14ac:dyDescent="0.3">
      <c r="A807" t="s">
        <v>17</v>
      </c>
      <c r="B807" t="str">
        <f>"600933"</f>
        <v>600933</v>
      </c>
      <c r="C807" t="s">
        <v>1853</v>
      </c>
      <c r="D807" t="s">
        <v>348</v>
      </c>
      <c r="F807">
        <v>4562429931</v>
      </c>
      <c r="G807">
        <v>4372519238</v>
      </c>
      <c r="H807">
        <v>4077954426</v>
      </c>
      <c r="I807">
        <v>3809812973</v>
      </c>
      <c r="J807">
        <v>3526556524</v>
      </c>
      <c r="K807">
        <v>1850128411</v>
      </c>
      <c r="L807">
        <v>1253123566</v>
      </c>
      <c r="M807">
        <v>907577879</v>
      </c>
      <c r="P807">
        <v>176</v>
      </c>
      <c r="Q807" t="s">
        <v>1854</v>
      </c>
    </row>
    <row r="808" spans="1:17" x14ac:dyDescent="0.3">
      <c r="A808" t="s">
        <v>17</v>
      </c>
      <c r="B808" t="str">
        <f>"600935"</f>
        <v>600935</v>
      </c>
      <c r="C808" t="s">
        <v>1855</v>
      </c>
      <c r="D808" t="s">
        <v>175</v>
      </c>
      <c r="F808">
        <v>6315934704</v>
      </c>
      <c r="G808">
        <v>4124122945</v>
      </c>
      <c r="H808">
        <v>3496252267</v>
      </c>
      <c r="I808">
        <v>2089433903</v>
      </c>
      <c r="J808">
        <v>762519776</v>
      </c>
      <c r="P808">
        <v>16</v>
      </c>
      <c r="Q808" t="s">
        <v>1856</v>
      </c>
    </row>
    <row r="809" spans="1:17" x14ac:dyDescent="0.3">
      <c r="A809" t="s">
        <v>17</v>
      </c>
      <c r="B809" t="str">
        <f>"600936"</f>
        <v>600936</v>
      </c>
      <c r="C809" t="s">
        <v>1857</v>
      </c>
      <c r="D809" t="s">
        <v>95</v>
      </c>
      <c r="F809">
        <v>3267814836</v>
      </c>
      <c r="G809">
        <v>3617539615</v>
      </c>
      <c r="H809">
        <v>3789628984</v>
      </c>
      <c r="I809">
        <v>3694346682</v>
      </c>
      <c r="J809">
        <v>3653644540</v>
      </c>
      <c r="K809">
        <v>3451902863</v>
      </c>
      <c r="L809">
        <v>2007110535</v>
      </c>
      <c r="M809">
        <v>2413301821</v>
      </c>
      <c r="N809">
        <v>2245766367</v>
      </c>
      <c r="P809">
        <v>80</v>
      </c>
      <c r="Q809" t="s">
        <v>1858</v>
      </c>
    </row>
    <row r="810" spans="1:17" x14ac:dyDescent="0.3">
      <c r="A810" t="s">
        <v>17</v>
      </c>
      <c r="B810" t="str">
        <f>"600938"</f>
        <v>600938</v>
      </c>
      <c r="C810" t="s">
        <v>1859</v>
      </c>
      <c r="F810">
        <v>480912000000</v>
      </c>
      <c r="G810">
        <v>433709511900</v>
      </c>
      <c r="H810">
        <v>448187414300</v>
      </c>
      <c r="I810">
        <v>419901053500</v>
      </c>
      <c r="P810">
        <v>26</v>
      </c>
      <c r="Q810" t="s">
        <v>1860</v>
      </c>
    </row>
    <row r="811" spans="1:17" x14ac:dyDescent="0.3">
      <c r="A811" t="s">
        <v>17</v>
      </c>
      <c r="B811" t="str">
        <f>"600939"</f>
        <v>600939</v>
      </c>
      <c r="C811" t="s">
        <v>1861</v>
      </c>
      <c r="D811" t="s">
        <v>398</v>
      </c>
      <c r="F811">
        <v>7271953760</v>
      </c>
      <c r="G811">
        <v>7098115607</v>
      </c>
      <c r="H811">
        <v>6970358650</v>
      </c>
      <c r="I811">
        <v>6433144682</v>
      </c>
      <c r="J811">
        <v>6134186380</v>
      </c>
      <c r="K811">
        <v>4270420004</v>
      </c>
      <c r="L811">
        <v>4611859799</v>
      </c>
      <c r="M811">
        <v>3695089013</v>
      </c>
      <c r="N811">
        <v>3680971826</v>
      </c>
      <c r="P811">
        <v>125</v>
      </c>
      <c r="Q811" t="s">
        <v>1862</v>
      </c>
    </row>
    <row r="812" spans="1:17" x14ac:dyDescent="0.3">
      <c r="A812" t="s">
        <v>17</v>
      </c>
      <c r="B812" t="str">
        <f>"600941"</f>
        <v>600941</v>
      </c>
      <c r="C812" t="s">
        <v>1863</v>
      </c>
      <c r="D812" t="s">
        <v>107</v>
      </c>
      <c r="F812">
        <v>1171050000000</v>
      </c>
      <c r="G812">
        <v>1113616000000</v>
      </c>
      <c r="H812">
        <v>1068473000000</v>
      </c>
      <c r="I812">
        <v>1017105000000</v>
      </c>
      <c r="P812">
        <v>114</v>
      </c>
      <c r="Q812" t="s">
        <v>1864</v>
      </c>
    </row>
    <row r="813" spans="1:17" x14ac:dyDescent="0.3">
      <c r="A813" t="s">
        <v>17</v>
      </c>
      <c r="B813" t="str">
        <f>"600955"</f>
        <v>600955</v>
      </c>
      <c r="C813" t="s">
        <v>1865</v>
      </c>
      <c r="D813" t="s">
        <v>1233</v>
      </c>
      <c r="F813">
        <v>8248785108</v>
      </c>
      <c r="G813">
        <v>2215120601</v>
      </c>
      <c r="H813">
        <v>1496804569</v>
      </c>
      <c r="I813">
        <v>646621617</v>
      </c>
      <c r="J813">
        <v>372904446</v>
      </c>
      <c r="P813">
        <v>46</v>
      </c>
      <c r="Q813" t="s">
        <v>1866</v>
      </c>
    </row>
    <row r="814" spans="1:17" x14ac:dyDescent="0.3">
      <c r="A814" t="s">
        <v>17</v>
      </c>
      <c r="B814" t="str">
        <f>"600956"</f>
        <v>600956</v>
      </c>
      <c r="C814" t="s">
        <v>1867</v>
      </c>
      <c r="D814" t="s">
        <v>383</v>
      </c>
      <c r="F814">
        <v>17738628277</v>
      </c>
      <c r="G814">
        <v>11670966950</v>
      </c>
      <c r="H814">
        <v>10322388061</v>
      </c>
      <c r="I814">
        <v>9448716739</v>
      </c>
      <c r="J814">
        <v>8604833092</v>
      </c>
      <c r="P814">
        <v>204</v>
      </c>
      <c r="Q814" t="s">
        <v>1868</v>
      </c>
    </row>
    <row r="815" spans="1:17" x14ac:dyDescent="0.3">
      <c r="A815" t="s">
        <v>17</v>
      </c>
      <c r="B815" t="str">
        <f>"600958"</f>
        <v>600958</v>
      </c>
      <c r="C815" t="s">
        <v>1869</v>
      </c>
      <c r="D815" t="s">
        <v>80</v>
      </c>
      <c r="F815">
        <v>59127111328</v>
      </c>
      <c r="G815">
        <v>55202850867</v>
      </c>
      <c r="H815">
        <v>53965516313</v>
      </c>
      <c r="I815">
        <v>51739478772</v>
      </c>
      <c r="J815">
        <v>52985501420</v>
      </c>
      <c r="K815">
        <v>40482898532</v>
      </c>
      <c r="L815">
        <v>34958119326</v>
      </c>
      <c r="M815">
        <v>18353133456</v>
      </c>
      <c r="N815">
        <v>15550299166</v>
      </c>
      <c r="O815">
        <v>14750182576</v>
      </c>
      <c r="P815">
        <v>1248</v>
      </c>
      <c r="Q815" t="s">
        <v>1870</v>
      </c>
    </row>
    <row r="816" spans="1:17" x14ac:dyDescent="0.3">
      <c r="A816" t="s">
        <v>17</v>
      </c>
      <c r="B816" t="str">
        <f>"600959"</f>
        <v>600959</v>
      </c>
      <c r="C816" t="s">
        <v>1871</v>
      </c>
      <c r="D816" t="s">
        <v>95</v>
      </c>
      <c r="F816">
        <v>21797324111</v>
      </c>
      <c r="G816">
        <v>21632749255</v>
      </c>
      <c r="H816">
        <v>21614124652</v>
      </c>
      <c r="I816">
        <v>21500719085</v>
      </c>
      <c r="J816">
        <v>13359755364</v>
      </c>
      <c r="K816">
        <v>12964741935</v>
      </c>
      <c r="L816">
        <v>12090700136</v>
      </c>
      <c r="M816">
        <v>8672618788</v>
      </c>
      <c r="N816">
        <v>8325007846</v>
      </c>
      <c r="O816">
        <v>8016725562</v>
      </c>
      <c r="P816">
        <v>150</v>
      </c>
      <c r="Q816" t="s">
        <v>1872</v>
      </c>
    </row>
    <row r="817" spans="1:17" x14ac:dyDescent="0.3">
      <c r="A817" t="s">
        <v>17</v>
      </c>
      <c r="B817" t="str">
        <f>"600960"</f>
        <v>600960</v>
      </c>
      <c r="C817" t="s">
        <v>1873</v>
      </c>
      <c r="D817" t="s">
        <v>348</v>
      </c>
      <c r="F817">
        <v>5031073801</v>
      </c>
      <c r="G817">
        <v>5013847334</v>
      </c>
      <c r="H817">
        <v>4723660729</v>
      </c>
      <c r="I817">
        <v>4830081693</v>
      </c>
      <c r="J817">
        <v>4503471955</v>
      </c>
      <c r="K817">
        <v>4289142337</v>
      </c>
      <c r="L817">
        <v>2036169915</v>
      </c>
      <c r="M817">
        <v>2023682297</v>
      </c>
      <c r="N817">
        <v>976421092</v>
      </c>
      <c r="O817">
        <v>920628961</v>
      </c>
      <c r="P817">
        <v>91</v>
      </c>
      <c r="Q817" t="s">
        <v>1874</v>
      </c>
    </row>
    <row r="818" spans="1:17" x14ac:dyDescent="0.3">
      <c r="A818" t="s">
        <v>17</v>
      </c>
      <c r="B818" t="str">
        <f>"600961"</f>
        <v>600961</v>
      </c>
      <c r="C818" t="s">
        <v>1875</v>
      </c>
      <c r="D818" t="s">
        <v>744</v>
      </c>
      <c r="F818">
        <v>-1269780238</v>
      </c>
      <c r="G818">
        <v>-1359075749</v>
      </c>
      <c r="H818">
        <v>-1443999274</v>
      </c>
      <c r="I818">
        <v>-1449299935</v>
      </c>
      <c r="J818">
        <v>204834698</v>
      </c>
      <c r="K818">
        <v>160644103</v>
      </c>
      <c r="L818">
        <v>123804031</v>
      </c>
      <c r="M818">
        <v>742587965</v>
      </c>
      <c r="N818">
        <v>702606501</v>
      </c>
      <c r="O818">
        <v>808794839</v>
      </c>
      <c r="P818">
        <v>127</v>
      </c>
      <c r="Q818" t="s">
        <v>1876</v>
      </c>
    </row>
    <row r="819" spans="1:17" x14ac:dyDescent="0.3">
      <c r="A819" t="s">
        <v>17</v>
      </c>
      <c r="B819" t="str">
        <f>"600962"</f>
        <v>600962</v>
      </c>
      <c r="C819" t="s">
        <v>1877</v>
      </c>
      <c r="D819" t="s">
        <v>574</v>
      </c>
      <c r="F819">
        <v>682375782</v>
      </c>
      <c r="G819">
        <v>709496221</v>
      </c>
      <c r="H819">
        <v>842792053</v>
      </c>
      <c r="I819">
        <v>838692695</v>
      </c>
      <c r="J819">
        <v>825019720</v>
      </c>
      <c r="K819">
        <v>818697373</v>
      </c>
      <c r="L819">
        <v>816117890</v>
      </c>
      <c r="M819">
        <v>784223929</v>
      </c>
      <c r="N819">
        <v>895141921</v>
      </c>
      <c r="O819">
        <v>1002203608</v>
      </c>
      <c r="P819">
        <v>94</v>
      </c>
      <c r="Q819" t="s">
        <v>1878</v>
      </c>
    </row>
    <row r="820" spans="1:17" x14ac:dyDescent="0.3">
      <c r="A820" t="s">
        <v>17</v>
      </c>
      <c r="B820" t="str">
        <f>"600963"</f>
        <v>600963</v>
      </c>
      <c r="C820" t="s">
        <v>1879</v>
      </c>
      <c r="D820" t="s">
        <v>694</v>
      </c>
      <c r="F820">
        <v>8753458066</v>
      </c>
      <c r="G820">
        <v>8557947479</v>
      </c>
      <c r="H820">
        <v>8259852394</v>
      </c>
      <c r="I820">
        <v>8168035728</v>
      </c>
      <c r="J820">
        <v>7855280932</v>
      </c>
      <c r="K820">
        <v>5252878552</v>
      </c>
      <c r="L820">
        <v>5224649928</v>
      </c>
      <c r="M820">
        <v>5378951338</v>
      </c>
      <c r="N820">
        <v>5368913150</v>
      </c>
      <c r="O820">
        <v>5351912527</v>
      </c>
      <c r="P820">
        <v>201</v>
      </c>
      <c r="Q820" t="s">
        <v>1880</v>
      </c>
    </row>
    <row r="821" spans="1:17" x14ac:dyDescent="0.3">
      <c r="A821" t="s">
        <v>17</v>
      </c>
      <c r="B821" t="str">
        <f>"600965"</f>
        <v>600965</v>
      </c>
      <c r="C821" t="s">
        <v>1881</v>
      </c>
      <c r="D821" t="s">
        <v>1882</v>
      </c>
      <c r="F821">
        <v>2109894951</v>
      </c>
      <c r="G821">
        <v>2041428069</v>
      </c>
      <c r="H821">
        <v>2043474706</v>
      </c>
      <c r="I821">
        <v>1956737113</v>
      </c>
      <c r="J821">
        <v>1853653326</v>
      </c>
      <c r="K821">
        <v>1754404347</v>
      </c>
      <c r="L821">
        <v>1626970188</v>
      </c>
      <c r="M821">
        <v>928497690</v>
      </c>
      <c r="N821">
        <v>885501021</v>
      </c>
      <c r="O821">
        <v>498647826</v>
      </c>
      <c r="P821">
        <v>113</v>
      </c>
      <c r="Q821" t="s">
        <v>1883</v>
      </c>
    </row>
    <row r="822" spans="1:17" x14ac:dyDescent="0.3">
      <c r="A822" t="s">
        <v>17</v>
      </c>
      <c r="B822" t="str">
        <f>"600966"</f>
        <v>600966</v>
      </c>
      <c r="C822" t="s">
        <v>1884</v>
      </c>
      <c r="D822" t="s">
        <v>694</v>
      </c>
      <c r="F822">
        <v>7266546337</v>
      </c>
      <c r="G822">
        <v>6086600363</v>
      </c>
      <c r="H822">
        <v>5271966487</v>
      </c>
      <c r="I822">
        <v>5138282322</v>
      </c>
      <c r="J822">
        <v>4966434090</v>
      </c>
      <c r="K822">
        <v>4119706957</v>
      </c>
      <c r="L822">
        <v>3919370477</v>
      </c>
      <c r="M822">
        <v>3882425681</v>
      </c>
      <c r="N822">
        <v>2894701262</v>
      </c>
      <c r="O822">
        <v>3079908946</v>
      </c>
      <c r="P822">
        <v>396</v>
      </c>
      <c r="Q822" t="s">
        <v>1885</v>
      </c>
    </row>
    <row r="823" spans="1:17" x14ac:dyDescent="0.3">
      <c r="A823" t="s">
        <v>17</v>
      </c>
      <c r="B823" t="str">
        <f>"600967"</f>
        <v>600967</v>
      </c>
      <c r="C823" t="s">
        <v>1886</v>
      </c>
      <c r="D823" t="s">
        <v>428</v>
      </c>
      <c r="F823">
        <v>10371936367</v>
      </c>
      <c r="G823">
        <v>9731430865</v>
      </c>
      <c r="H823">
        <v>9178990367</v>
      </c>
      <c r="I823">
        <v>8451493240</v>
      </c>
      <c r="J823">
        <v>7808382835</v>
      </c>
      <c r="K823">
        <v>7244673454</v>
      </c>
      <c r="L823">
        <v>2260666342</v>
      </c>
      <c r="M823">
        <v>2333596902</v>
      </c>
      <c r="N823">
        <v>2196004871</v>
      </c>
      <c r="O823">
        <v>1957995328</v>
      </c>
      <c r="P823">
        <v>286</v>
      </c>
      <c r="Q823" t="s">
        <v>1887</v>
      </c>
    </row>
    <row r="824" spans="1:17" x14ac:dyDescent="0.3">
      <c r="A824" t="s">
        <v>17</v>
      </c>
      <c r="B824" t="str">
        <f>"600968"</f>
        <v>600968</v>
      </c>
      <c r="C824" t="s">
        <v>1888</v>
      </c>
      <c r="D824" t="s">
        <v>1762</v>
      </c>
      <c r="F824">
        <v>20300581733</v>
      </c>
      <c r="G824">
        <v>19501300665</v>
      </c>
      <c r="H824">
        <v>18480641750</v>
      </c>
      <c r="I824">
        <v>13523287062</v>
      </c>
      <c r="J824">
        <v>12741836150</v>
      </c>
      <c r="K824">
        <v>12589362486</v>
      </c>
      <c r="P824">
        <v>189</v>
      </c>
      <c r="Q824" t="s">
        <v>1889</v>
      </c>
    </row>
    <row r="825" spans="1:17" x14ac:dyDescent="0.3">
      <c r="A825" t="s">
        <v>17</v>
      </c>
      <c r="B825" t="str">
        <f>"600969"</f>
        <v>600969</v>
      </c>
      <c r="C825" t="s">
        <v>1890</v>
      </c>
      <c r="D825" t="s">
        <v>239</v>
      </c>
      <c r="F825">
        <v>3615934737</v>
      </c>
      <c r="G825">
        <v>3570882822</v>
      </c>
      <c r="H825">
        <v>3495321856</v>
      </c>
      <c r="I825">
        <v>3444858190</v>
      </c>
      <c r="J825">
        <v>3413709133</v>
      </c>
      <c r="K825">
        <v>3240781669</v>
      </c>
      <c r="L825">
        <v>3090777471</v>
      </c>
      <c r="M825">
        <v>2507203968</v>
      </c>
      <c r="N825">
        <v>1545136171</v>
      </c>
      <c r="O825">
        <v>1227897112</v>
      </c>
      <c r="P825">
        <v>77</v>
      </c>
      <c r="Q825" t="s">
        <v>1891</v>
      </c>
    </row>
    <row r="826" spans="1:17" x14ac:dyDescent="0.3">
      <c r="A826" t="s">
        <v>17</v>
      </c>
      <c r="B826" t="str">
        <f>"600970"</f>
        <v>600970</v>
      </c>
      <c r="C826" t="s">
        <v>1892</v>
      </c>
      <c r="D826" t="s">
        <v>1893</v>
      </c>
      <c r="F826">
        <v>13035086184</v>
      </c>
      <c r="G826">
        <v>10780105028</v>
      </c>
      <c r="H826">
        <v>10184507253</v>
      </c>
      <c r="I826">
        <v>8705428341</v>
      </c>
      <c r="J826">
        <v>7561770265</v>
      </c>
      <c r="K826">
        <v>6853841465</v>
      </c>
      <c r="L826">
        <v>6445828873</v>
      </c>
      <c r="M826">
        <v>4442515296</v>
      </c>
      <c r="N826">
        <v>4272516936</v>
      </c>
      <c r="O826">
        <v>4553178736</v>
      </c>
      <c r="P826">
        <v>853</v>
      </c>
      <c r="Q826" t="s">
        <v>1894</v>
      </c>
    </row>
    <row r="827" spans="1:17" x14ac:dyDescent="0.3">
      <c r="A827" t="s">
        <v>17</v>
      </c>
      <c r="B827" t="str">
        <f>"600971"</f>
        <v>600971</v>
      </c>
      <c r="C827" t="s">
        <v>1895</v>
      </c>
      <c r="D827" t="s">
        <v>292</v>
      </c>
      <c r="F827">
        <v>9963514324</v>
      </c>
      <c r="G827">
        <v>9227959088</v>
      </c>
      <c r="H827">
        <v>8718343016</v>
      </c>
      <c r="I827">
        <v>7828645143</v>
      </c>
      <c r="J827">
        <v>6914879504</v>
      </c>
      <c r="K827">
        <v>5667866777</v>
      </c>
      <c r="L827">
        <v>5536186981</v>
      </c>
      <c r="M827">
        <v>6807373089</v>
      </c>
      <c r="N827">
        <v>6966998396</v>
      </c>
      <c r="O827">
        <v>6846335942</v>
      </c>
      <c r="P827">
        <v>1522</v>
      </c>
      <c r="Q827" t="s">
        <v>1896</v>
      </c>
    </row>
    <row r="828" spans="1:17" x14ac:dyDescent="0.3">
      <c r="A828" t="s">
        <v>17</v>
      </c>
      <c r="B828" t="str">
        <f>"600973"</f>
        <v>600973</v>
      </c>
      <c r="C828" t="s">
        <v>1897</v>
      </c>
      <c r="D828" t="s">
        <v>1164</v>
      </c>
      <c r="F828">
        <v>3616562587</v>
      </c>
      <c r="G828">
        <v>4508909691</v>
      </c>
      <c r="H828">
        <v>3818583791</v>
      </c>
      <c r="I828">
        <v>3662261763</v>
      </c>
      <c r="J828">
        <v>3642897884</v>
      </c>
      <c r="K828">
        <v>3601819443</v>
      </c>
      <c r="L828">
        <v>2175962167</v>
      </c>
      <c r="M828">
        <v>2060532167</v>
      </c>
      <c r="N828">
        <v>1983910401</v>
      </c>
      <c r="O828">
        <v>1923357694</v>
      </c>
      <c r="P828">
        <v>116</v>
      </c>
      <c r="Q828" t="s">
        <v>1898</v>
      </c>
    </row>
    <row r="829" spans="1:17" x14ac:dyDescent="0.3">
      <c r="A829" t="s">
        <v>17</v>
      </c>
      <c r="B829" t="str">
        <f>"600975"</f>
        <v>600975</v>
      </c>
      <c r="C829" t="s">
        <v>1899</v>
      </c>
      <c r="D829" t="s">
        <v>1900</v>
      </c>
      <c r="F829">
        <v>2127395406</v>
      </c>
      <c r="G829">
        <v>1428743047</v>
      </c>
      <c r="H829">
        <v>1165599243</v>
      </c>
      <c r="I829">
        <v>1102301958</v>
      </c>
      <c r="J829">
        <v>1203407820</v>
      </c>
      <c r="K829">
        <v>1223763392</v>
      </c>
      <c r="L829">
        <v>1069594267</v>
      </c>
      <c r="M829">
        <v>510542053</v>
      </c>
      <c r="N829">
        <v>553170251</v>
      </c>
      <c r="O829">
        <v>551256654</v>
      </c>
      <c r="P829">
        <v>305</v>
      </c>
      <c r="Q829" t="s">
        <v>1901</v>
      </c>
    </row>
    <row r="830" spans="1:17" x14ac:dyDescent="0.3">
      <c r="A830" t="s">
        <v>17</v>
      </c>
      <c r="B830" t="str">
        <f>"600976"</f>
        <v>600976</v>
      </c>
      <c r="C830" t="s">
        <v>1902</v>
      </c>
      <c r="D830" t="s">
        <v>188</v>
      </c>
      <c r="F830">
        <v>1561213992</v>
      </c>
      <c r="G830">
        <v>1316907795</v>
      </c>
      <c r="H830">
        <v>1201459542</v>
      </c>
      <c r="I830">
        <v>1139760504</v>
      </c>
      <c r="J830">
        <v>1089596777</v>
      </c>
      <c r="K830">
        <v>1014159076</v>
      </c>
      <c r="L830">
        <v>980183185</v>
      </c>
      <c r="M830">
        <v>971720009</v>
      </c>
      <c r="N830">
        <v>913066356</v>
      </c>
      <c r="O830">
        <v>875454293</v>
      </c>
      <c r="P830">
        <v>249</v>
      </c>
      <c r="Q830" t="s">
        <v>1903</v>
      </c>
    </row>
    <row r="831" spans="1:17" x14ac:dyDescent="0.3">
      <c r="A831" t="s">
        <v>17</v>
      </c>
      <c r="B831" t="str">
        <f>"600977"</f>
        <v>600977</v>
      </c>
      <c r="C831" t="s">
        <v>1904</v>
      </c>
      <c r="D831" t="s">
        <v>113</v>
      </c>
      <c r="F831">
        <v>11098018776</v>
      </c>
      <c r="G831">
        <v>10861601643</v>
      </c>
      <c r="H831">
        <v>11992882301</v>
      </c>
      <c r="I831">
        <v>11173749505</v>
      </c>
      <c r="J831">
        <v>10336181784</v>
      </c>
      <c r="K831">
        <v>9778569537</v>
      </c>
      <c r="L831">
        <v>4794163789</v>
      </c>
      <c r="M831">
        <v>3900493301</v>
      </c>
      <c r="N831">
        <v>3446704955</v>
      </c>
      <c r="P831">
        <v>554</v>
      </c>
      <c r="Q831" t="s">
        <v>1905</v>
      </c>
    </row>
    <row r="832" spans="1:17" x14ac:dyDescent="0.3">
      <c r="A832" t="s">
        <v>17</v>
      </c>
      <c r="B832" t="str">
        <f>"600978"</f>
        <v>600978</v>
      </c>
      <c r="C832" t="s">
        <v>1906</v>
      </c>
      <c r="H832">
        <v>7783055713</v>
      </c>
      <c r="I832">
        <v>8363774381</v>
      </c>
      <c r="J832">
        <v>7976387209</v>
      </c>
      <c r="K832">
        <v>7405656288</v>
      </c>
      <c r="L832">
        <v>6841126945</v>
      </c>
      <c r="M832">
        <v>6375672724</v>
      </c>
      <c r="N832">
        <v>4665348997</v>
      </c>
      <c r="O832">
        <v>4346316260</v>
      </c>
      <c r="P832">
        <v>167</v>
      </c>
      <c r="Q832" t="s">
        <v>1907</v>
      </c>
    </row>
    <row r="833" spans="1:17" x14ac:dyDescent="0.3">
      <c r="A833" t="s">
        <v>17</v>
      </c>
      <c r="B833" t="str">
        <f>"600979"</f>
        <v>600979</v>
      </c>
      <c r="C833" t="s">
        <v>1908</v>
      </c>
      <c r="D833" t="s">
        <v>239</v>
      </c>
      <c r="F833">
        <v>4117721352</v>
      </c>
      <c r="G833">
        <v>3977416995</v>
      </c>
      <c r="H833">
        <v>3814258709</v>
      </c>
      <c r="I833">
        <v>3713836428</v>
      </c>
      <c r="J833">
        <v>3506037305</v>
      </c>
      <c r="K833">
        <v>3272004654</v>
      </c>
      <c r="L833">
        <v>1560172237</v>
      </c>
      <c r="M833">
        <v>1392414054</v>
      </c>
      <c r="N833">
        <v>1548372152</v>
      </c>
      <c r="O833">
        <v>981940773</v>
      </c>
      <c r="P833">
        <v>117</v>
      </c>
      <c r="Q833" t="s">
        <v>1909</v>
      </c>
    </row>
    <row r="834" spans="1:17" x14ac:dyDescent="0.3">
      <c r="A834" t="s">
        <v>17</v>
      </c>
      <c r="B834" t="str">
        <f>"600980"</f>
        <v>600980</v>
      </c>
      <c r="C834" t="s">
        <v>1910</v>
      </c>
      <c r="D834" t="s">
        <v>808</v>
      </c>
      <c r="F834">
        <v>934278662</v>
      </c>
      <c r="G834">
        <v>669064400</v>
      </c>
      <c r="H834">
        <v>624749462</v>
      </c>
      <c r="I834">
        <v>577434478</v>
      </c>
      <c r="J834">
        <v>563713370</v>
      </c>
      <c r="K834">
        <v>519573993</v>
      </c>
      <c r="L834">
        <v>481568890</v>
      </c>
      <c r="M834">
        <v>225114370</v>
      </c>
      <c r="N834">
        <v>256713673</v>
      </c>
      <c r="O834">
        <v>242043511</v>
      </c>
      <c r="P834">
        <v>97</v>
      </c>
      <c r="Q834" t="s">
        <v>1911</v>
      </c>
    </row>
    <row r="835" spans="1:17" x14ac:dyDescent="0.3">
      <c r="A835" t="s">
        <v>17</v>
      </c>
      <c r="B835" t="str">
        <f>"600981"</f>
        <v>600981</v>
      </c>
      <c r="C835" t="s">
        <v>1912</v>
      </c>
      <c r="D835" t="s">
        <v>131</v>
      </c>
      <c r="F835">
        <v>5561561633</v>
      </c>
      <c r="G835">
        <v>5403761245</v>
      </c>
      <c r="H835">
        <v>5292596439</v>
      </c>
      <c r="I835">
        <v>5364305302</v>
      </c>
      <c r="J835">
        <v>7352294039</v>
      </c>
      <c r="K835">
        <v>8089101350</v>
      </c>
      <c r="L835">
        <v>7508470465</v>
      </c>
      <c r="M835">
        <v>956246144</v>
      </c>
      <c r="N835">
        <v>928194988</v>
      </c>
      <c r="O835">
        <v>882642653</v>
      </c>
      <c r="P835">
        <v>99</v>
      </c>
      <c r="Q835" t="s">
        <v>1913</v>
      </c>
    </row>
    <row r="836" spans="1:17" x14ac:dyDescent="0.3">
      <c r="A836" t="s">
        <v>17</v>
      </c>
      <c r="B836" t="str">
        <f>"600982"</f>
        <v>600982</v>
      </c>
      <c r="C836" t="s">
        <v>1914</v>
      </c>
      <c r="D836" t="s">
        <v>351</v>
      </c>
      <c r="F836">
        <v>3818474859</v>
      </c>
      <c r="G836">
        <v>3525331543</v>
      </c>
      <c r="H836">
        <v>3318585508</v>
      </c>
      <c r="I836">
        <v>2551250199</v>
      </c>
      <c r="J836">
        <v>2507608965</v>
      </c>
      <c r="K836">
        <v>2419772697</v>
      </c>
      <c r="L836">
        <v>2439936380</v>
      </c>
      <c r="M836">
        <v>2326732991</v>
      </c>
      <c r="N836">
        <v>986389993</v>
      </c>
      <c r="O836">
        <v>856074095</v>
      </c>
      <c r="P836">
        <v>135</v>
      </c>
      <c r="Q836" t="s">
        <v>1915</v>
      </c>
    </row>
    <row r="837" spans="1:17" x14ac:dyDescent="0.3">
      <c r="A837" t="s">
        <v>17</v>
      </c>
      <c r="B837" t="str">
        <f>"600983"</f>
        <v>600983</v>
      </c>
      <c r="C837" t="s">
        <v>1916</v>
      </c>
      <c r="D837" t="s">
        <v>754</v>
      </c>
      <c r="F837">
        <v>2961855888</v>
      </c>
      <c r="G837">
        <v>3551258304</v>
      </c>
      <c r="H837">
        <v>3754626618</v>
      </c>
      <c r="I837">
        <v>4115710531</v>
      </c>
      <c r="J837">
        <v>3892171967</v>
      </c>
      <c r="K837">
        <v>4069744444</v>
      </c>
      <c r="L837">
        <v>4792168125</v>
      </c>
      <c r="M837">
        <v>4421845281</v>
      </c>
      <c r="N837">
        <v>1922709123</v>
      </c>
      <c r="O837">
        <v>1586690127</v>
      </c>
      <c r="P837">
        <v>128</v>
      </c>
      <c r="Q837" t="s">
        <v>1917</v>
      </c>
    </row>
    <row r="838" spans="1:17" x14ac:dyDescent="0.3">
      <c r="A838" t="s">
        <v>17</v>
      </c>
      <c r="B838" t="str">
        <f>"600984"</f>
        <v>600984</v>
      </c>
      <c r="C838" t="s">
        <v>1918</v>
      </c>
      <c r="D838" t="s">
        <v>83</v>
      </c>
      <c r="F838">
        <v>6096678061</v>
      </c>
      <c r="G838">
        <v>5813846758</v>
      </c>
      <c r="H838">
        <v>3798406432</v>
      </c>
      <c r="I838">
        <v>3368730346</v>
      </c>
      <c r="J838">
        <v>3215576691</v>
      </c>
      <c r="K838">
        <v>3193361204</v>
      </c>
      <c r="L838">
        <v>3107891467</v>
      </c>
      <c r="M838">
        <v>589982307</v>
      </c>
      <c r="N838">
        <v>712459844</v>
      </c>
      <c r="O838">
        <v>291601067</v>
      </c>
      <c r="P838">
        <v>279</v>
      </c>
      <c r="Q838" t="s">
        <v>1919</v>
      </c>
    </row>
    <row r="839" spans="1:17" x14ac:dyDescent="0.3">
      <c r="A839" t="s">
        <v>17</v>
      </c>
      <c r="B839" t="str">
        <f>"600985"</f>
        <v>600985</v>
      </c>
      <c r="C839" t="s">
        <v>1920</v>
      </c>
      <c r="D839" t="s">
        <v>298</v>
      </c>
      <c r="F839">
        <v>27267362781</v>
      </c>
      <c r="G839">
        <v>20978192559</v>
      </c>
      <c r="H839">
        <v>18731854951</v>
      </c>
      <c r="I839">
        <v>16023291457</v>
      </c>
      <c r="J839">
        <v>1743340766</v>
      </c>
      <c r="K839">
        <v>1239376976</v>
      </c>
      <c r="L839">
        <v>1158977891</v>
      </c>
      <c r="M839">
        <v>1063931992</v>
      </c>
      <c r="N839">
        <v>974010157</v>
      </c>
      <c r="O839">
        <v>902378491</v>
      </c>
      <c r="P839">
        <v>1007</v>
      </c>
      <c r="Q839" t="s">
        <v>1921</v>
      </c>
    </row>
    <row r="840" spans="1:17" x14ac:dyDescent="0.3">
      <c r="A840" t="s">
        <v>17</v>
      </c>
      <c r="B840" t="str">
        <f>"600986"</f>
        <v>600986</v>
      </c>
      <c r="C840" t="s">
        <v>1922</v>
      </c>
      <c r="D840" t="s">
        <v>207</v>
      </c>
      <c r="F840">
        <v>3941782136</v>
      </c>
      <c r="G840">
        <v>3643575341</v>
      </c>
      <c r="H840">
        <v>3546331216</v>
      </c>
      <c r="I840">
        <v>6139860979</v>
      </c>
      <c r="J840">
        <v>6044315671</v>
      </c>
      <c r="K840">
        <v>4222779550</v>
      </c>
      <c r="L840">
        <v>3830827195</v>
      </c>
      <c r="M840">
        <v>763342959</v>
      </c>
      <c r="N840">
        <v>709800108</v>
      </c>
      <c r="O840">
        <v>686549750</v>
      </c>
      <c r="P840">
        <v>239</v>
      </c>
      <c r="Q840" t="s">
        <v>1923</v>
      </c>
    </row>
    <row r="841" spans="1:17" x14ac:dyDescent="0.3">
      <c r="A841" t="s">
        <v>17</v>
      </c>
      <c r="B841" t="str">
        <f>"600987"</f>
        <v>600987</v>
      </c>
      <c r="C841" t="s">
        <v>1924</v>
      </c>
      <c r="D841" t="s">
        <v>817</v>
      </c>
      <c r="F841">
        <v>5464489809</v>
      </c>
      <c r="G841">
        <v>5180981872</v>
      </c>
      <c r="H841">
        <v>4817992613</v>
      </c>
      <c r="I841">
        <v>4294780897</v>
      </c>
      <c r="J841">
        <v>3544414057</v>
      </c>
      <c r="K841">
        <v>3143457729</v>
      </c>
      <c r="L841">
        <v>2751646048</v>
      </c>
      <c r="M841">
        <v>2409737113</v>
      </c>
      <c r="N841">
        <v>2102136878</v>
      </c>
      <c r="O841">
        <v>1785938796</v>
      </c>
      <c r="P841">
        <v>4846</v>
      </c>
      <c r="Q841" t="s">
        <v>1925</v>
      </c>
    </row>
    <row r="842" spans="1:17" x14ac:dyDescent="0.3">
      <c r="A842" t="s">
        <v>17</v>
      </c>
      <c r="B842" t="str">
        <f>"600988"</f>
        <v>600988</v>
      </c>
      <c r="C842" t="s">
        <v>1926</v>
      </c>
      <c r="D842" t="s">
        <v>701</v>
      </c>
      <c r="F842">
        <v>4620416382</v>
      </c>
      <c r="G842">
        <v>4087808098</v>
      </c>
      <c r="H842">
        <v>2943112481</v>
      </c>
      <c r="I842">
        <v>2519663583</v>
      </c>
      <c r="J842">
        <v>2699348682</v>
      </c>
      <c r="K842">
        <v>2419408834</v>
      </c>
      <c r="L842">
        <v>2135821534</v>
      </c>
      <c r="M842">
        <v>822879843</v>
      </c>
      <c r="N842">
        <v>597012360</v>
      </c>
      <c r="O842">
        <v>368879528</v>
      </c>
      <c r="P842">
        <v>487</v>
      </c>
      <c r="Q842" t="s">
        <v>1927</v>
      </c>
    </row>
    <row r="843" spans="1:17" x14ac:dyDescent="0.3">
      <c r="A843" t="s">
        <v>17</v>
      </c>
      <c r="B843" t="str">
        <f>"600989"</f>
        <v>600989</v>
      </c>
      <c r="C843" t="s">
        <v>1928</v>
      </c>
      <c r="D843" t="s">
        <v>914</v>
      </c>
      <c r="F843">
        <v>30689964564</v>
      </c>
      <c r="G843">
        <v>25900347545</v>
      </c>
      <c r="H843">
        <v>23352196668</v>
      </c>
      <c r="I843">
        <v>13682580917</v>
      </c>
      <c r="J843">
        <v>11463573553</v>
      </c>
      <c r="K843">
        <v>10888017847</v>
      </c>
      <c r="P843">
        <v>769</v>
      </c>
      <c r="Q843" t="s">
        <v>1929</v>
      </c>
    </row>
    <row r="844" spans="1:17" x14ac:dyDescent="0.3">
      <c r="A844" t="s">
        <v>17</v>
      </c>
      <c r="B844" t="str">
        <f>"600990"</f>
        <v>600990</v>
      </c>
      <c r="C844" t="s">
        <v>1930</v>
      </c>
      <c r="D844" t="s">
        <v>1136</v>
      </c>
      <c r="F844">
        <v>2700208687</v>
      </c>
      <c r="G844">
        <v>2568867072</v>
      </c>
      <c r="H844">
        <v>2473753796</v>
      </c>
      <c r="I844">
        <v>2389747818</v>
      </c>
      <c r="J844">
        <v>2151552575</v>
      </c>
      <c r="K844">
        <v>1140661469</v>
      </c>
      <c r="L844">
        <v>1024876650</v>
      </c>
      <c r="M844">
        <v>916411059</v>
      </c>
      <c r="N844">
        <v>841713250</v>
      </c>
      <c r="O844">
        <v>473580429</v>
      </c>
      <c r="P844">
        <v>166</v>
      </c>
      <c r="Q844" t="s">
        <v>1931</v>
      </c>
    </row>
    <row r="845" spans="1:17" x14ac:dyDescent="0.3">
      <c r="A845" t="s">
        <v>17</v>
      </c>
      <c r="B845" t="str">
        <f>"600992"</f>
        <v>600992</v>
      </c>
      <c r="C845" t="s">
        <v>1932</v>
      </c>
      <c r="D845" t="s">
        <v>274</v>
      </c>
      <c r="F845">
        <v>1462777460</v>
      </c>
      <c r="G845">
        <v>1440663308</v>
      </c>
      <c r="H845">
        <v>1413787395</v>
      </c>
      <c r="I845">
        <v>1392444536</v>
      </c>
      <c r="J845">
        <v>1374186810</v>
      </c>
      <c r="K845">
        <v>1359354627</v>
      </c>
      <c r="L845">
        <v>1345672080</v>
      </c>
      <c r="M845">
        <v>1334667049</v>
      </c>
      <c r="N845">
        <v>1321720930</v>
      </c>
      <c r="O845">
        <v>864182288</v>
      </c>
      <c r="P845">
        <v>57</v>
      </c>
      <c r="Q845" t="s">
        <v>1933</v>
      </c>
    </row>
    <row r="846" spans="1:17" x14ac:dyDescent="0.3">
      <c r="A846" t="s">
        <v>17</v>
      </c>
      <c r="B846" t="str">
        <f>"600993"</f>
        <v>600993</v>
      </c>
      <c r="C846" t="s">
        <v>1934</v>
      </c>
      <c r="D846" t="s">
        <v>188</v>
      </c>
      <c r="F846">
        <v>3171381850</v>
      </c>
      <c r="G846">
        <v>2849405055</v>
      </c>
      <c r="H846">
        <v>2556925879</v>
      </c>
      <c r="I846">
        <v>2270737340</v>
      </c>
      <c r="J846">
        <v>2192172944</v>
      </c>
      <c r="K846">
        <v>1940275907</v>
      </c>
      <c r="L846">
        <v>1784102291</v>
      </c>
      <c r="M846">
        <v>1570438343</v>
      </c>
      <c r="N846">
        <v>1425885250</v>
      </c>
      <c r="O846">
        <v>1290610577</v>
      </c>
      <c r="P846">
        <v>942</v>
      </c>
      <c r="Q846" t="s">
        <v>1935</v>
      </c>
    </row>
    <row r="847" spans="1:17" x14ac:dyDescent="0.3">
      <c r="A847" t="s">
        <v>17</v>
      </c>
      <c r="B847" t="str">
        <f>"600995"</f>
        <v>600995</v>
      </c>
      <c r="C847" t="s">
        <v>1936</v>
      </c>
      <c r="D847" t="s">
        <v>239</v>
      </c>
      <c r="F847">
        <v>2137363655</v>
      </c>
      <c r="G847">
        <v>2191986372</v>
      </c>
      <c r="H847">
        <v>2186540022</v>
      </c>
      <c r="I847">
        <v>1950127072</v>
      </c>
      <c r="J847">
        <v>1701833353</v>
      </c>
      <c r="K847">
        <v>1592989693</v>
      </c>
      <c r="L847">
        <v>1467110953</v>
      </c>
      <c r="M847">
        <v>1395149692</v>
      </c>
      <c r="N847">
        <v>1332027226</v>
      </c>
      <c r="O847">
        <v>1250366185</v>
      </c>
      <c r="P847">
        <v>267</v>
      </c>
      <c r="Q847" t="s">
        <v>1937</v>
      </c>
    </row>
    <row r="848" spans="1:17" x14ac:dyDescent="0.3">
      <c r="A848" t="s">
        <v>17</v>
      </c>
      <c r="B848" t="str">
        <f>"600996"</f>
        <v>600996</v>
      </c>
      <c r="C848" t="s">
        <v>1938</v>
      </c>
      <c r="D848" t="s">
        <v>95</v>
      </c>
      <c r="F848">
        <v>3960270430</v>
      </c>
      <c r="G848">
        <v>4409064403</v>
      </c>
      <c r="H848">
        <v>4569528603</v>
      </c>
      <c r="I848">
        <v>4376927053</v>
      </c>
      <c r="J848">
        <v>4202878903</v>
      </c>
      <c r="K848">
        <v>3875736367</v>
      </c>
      <c r="L848">
        <v>1675968778</v>
      </c>
      <c r="M848">
        <v>1295560977</v>
      </c>
      <c r="N848">
        <v>967939213</v>
      </c>
      <c r="P848">
        <v>244</v>
      </c>
      <c r="Q848" t="s">
        <v>1939</v>
      </c>
    </row>
    <row r="849" spans="1:17" x14ac:dyDescent="0.3">
      <c r="A849" t="s">
        <v>17</v>
      </c>
      <c r="B849" t="str">
        <f>"600997"</f>
        <v>600997</v>
      </c>
      <c r="C849" t="s">
        <v>1940</v>
      </c>
      <c r="D849" t="s">
        <v>885</v>
      </c>
      <c r="F849">
        <v>13468131466</v>
      </c>
      <c r="G849">
        <v>12090464865</v>
      </c>
      <c r="H849">
        <v>11323696088</v>
      </c>
      <c r="I849">
        <v>10520898301</v>
      </c>
      <c r="J849">
        <v>9301804006</v>
      </c>
      <c r="K849">
        <v>7026017151</v>
      </c>
      <c r="L849">
        <v>6557163344</v>
      </c>
      <c r="M849">
        <v>7007329279</v>
      </c>
      <c r="N849">
        <v>6981133101</v>
      </c>
      <c r="O849">
        <v>6873636893</v>
      </c>
      <c r="P849">
        <v>729</v>
      </c>
      <c r="Q849" t="s">
        <v>1941</v>
      </c>
    </row>
    <row r="850" spans="1:17" x14ac:dyDescent="0.3">
      <c r="A850" t="s">
        <v>17</v>
      </c>
      <c r="B850" t="str">
        <f>"600998"</f>
        <v>600998</v>
      </c>
      <c r="C850" t="s">
        <v>1942</v>
      </c>
      <c r="D850" t="s">
        <v>125</v>
      </c>
      <c r="F850">
        <v>20982837683</v>
      </c>
      <c r="G850">
        <v>19400318925</v>
      </c>
      <c r="H850">
        <v>16626790784</v>
      </c>
      <c r="I850">
        <v>15343134008</v>
      </c>
      <c r="J850">
        <v>14176502361</v>
      </c>
      <c r="K850">
        <v>9042746580</v>
      </c>
      <c r="L850">
        <v>8358054881</v>
      </c>
      <c r="M850">
        <v>7800546662</v>
      </c>
      <c r="N850">
        <v>5099525198</v>
      </c>
      <c r="O850">
        <v>4586616650</v>
      </c>
      <c r="P850">
        <v>612</v>
      </c>
      <c r="Q850" t="s">
        <v>1943</v>
      </c>
    </row>
    <row r="851" spans="1:17" x14ac:dyDescent="0.3">
      <c r="A851" t="s">
        <v>17</v>
      </c>
      <c r="B851" t="str">
        <f>"600999"</f>
        <v>600999</v>
      </c>
      <c r="C851" t="s">
        <v>1944</v>
      </c>
      <c r="D851" t="s">
        <v>80</v>
      </c>
      <c r="F851">
        <v>97503029632</v>
      </c>
      <c r="G851">
        <v>90736803907</v>
      </c>
      <c r="H851">
        <v>70048320108</v>
      </c>
      <c r="I851">
        <v>65722846394</v>
      </c>
      <c r="J851">
        <v>64230149276</v>
      </c>
      <c r="K851">
        <v>59826337030</v>
      </c>
      <c r="L851">
        <v>48351118506</v>
      </c>
      <c r="M851">
        <v>41537249645</v>
      </c>
      <c r="N851">
        <v>27159315990</v>
      </c>
      <c r="O851">
        <v>25765639738</v>
      </c>
      <c r="P851">
        <v>2820</v>
      </c>
      <c r="Q851" t="s">
        <v>1945</v>
      </c>
    </row>
    <row r="852" spans="1:17" x14ac:dyDescent="0.3">
      <c r="A852" t="s">
        <v>17</v>
      </c>
      <c r="B852" t="str">
        <f>"601000"</f>
        <v>601000</v>
      </c>
      <c r="C852" t="s">
        <v>1946</v>
      </c>
      <c r="D852" t="s">
        <v>51</v>
      </c>
      <c r="F852">
        <v>18547264594</v>
      </c>
      <c r="G852">
        <v>18439215693</v>
      </c>
      <c r="H852">
        <v>17129029402</v>
      </c>
      <c r="I852">
        <v>15755896791</v>
      </c>
      <c r="J852">
        <v>14521497007</v>
      </c>
      <c r="K852">
        <v>13557567286</v>
      </c>
      <c r="L852">
        <v>10396306984</v>
      </c>
      <c r="M852">
        <v>6935042524</v>
      </c>
      <c r="N852">
        <v>5997216651</v>
      </c>
      <c r="O852">
        <v>5189779899</v>
      </c>
      <c r="P852">
        <v>892</v>
      </c>
      <c r="Q852" t="s">
        <v>1947</v>
      </c>
    </row>
    <row r="853" spans="1:17" x14ac:dyDescent="0.3">
      <c r="A853" t="s">
        <v>17</v>
      </c>
      <c r="B853" t="str">
        <f>"601001"</f>
        <v>601001</v>
      </c>
      <c r="C853" t="s">
        <v>1948</v>
      </c>
      <c r="D853" t="s">
        <v>292</v>
      </c>
      <c r="F853">
        <v>11901714768</v>
      </c>
      <c r="G853">
        <v>7284381273</v>
      </c>
      <c r="H853">
        <v>6404376768</v>
      </c>
      <c r="I853">
        <v>5510701505</v>
      </c>
      <c r="J853">
        <v>5585490898</v>
      </c>
      <c r="K853">
        <v>4991214960</v>
      </c>
      <c r="L853">
        <v>4869848363</v>
      </c>
      <c r="M853">
        <v>7283996510</v>
      </c>
      <c r="N853">
        <v>7322595000</v>
      </c>
      <c r="O853">
        <v>9280514607</v>
      </c>
      <c r="P853">
        <v>289</v>
      </c>
      <c r="Q853" t="s">
        <v>1949</v>
      </c>
    </row>
    <row r="854" spans="1:17" x14ac:dyDescent="0.3">
      <c r="A854" t="s">
        <v>17</v>
      </c>
      <c r="B854" t="str">
        <f>"601002"</f>
        <v>601002</v>
      </c>
      <c r="C854" t="s">
        <v>1950</v>
      </c>
      <c r="D854" t="s">
        <v>274</v>
      </c>
      <c r="F854">
        <v>4133432297</v>
      </c>
      <c r="G854">
        <v>3954515740</v>
      </c>
      <c r="H854">
        <v>2715909026</v>
      </c>
      <c r="I854">
        <v>2573009459</v>
      </c>
      <c r="J854">
        <v>2469060025</v>
      </c>
      <c r="K854">
        <v>2319221198</v>
      </c>
      <c r="L854">
        <v>2243627829</v>
      </c>
      <c r="M854">
        <v>2330526810</v>
      </c>
      <c r="N854">
        <v>2267194633</v>
      </c>
      <c r="O854">
        <v>1685504501</v>
      </c>
      <c r="P854">
        <v>146</v>
      </c>
      <c r="Q854" t="s">
        <v>1951</v>
      </c>
    </row>
    <row r="855" spans="1:17" x14ac:dyDescent="0.3">
      <c r="A855" t="s">
        <v>17</v>
      </c>
      <c r="B855" t="str">
        <f>"601003"</f>
        <v>601003</v>
      </c>
      <c r="C855" t="s">
        <v>1952</v>
      </c>
      <c r="D855" t="s">
        <v>38</v>
      </c>
      <c r="F855">
        <v>12578852260</v>
      </c>
      <c r="G855">
        <v>11769987996</v>
      </c>
      <c r="H855">
        <v>11343335294</v>
      </c>
      <c r="I855">
        <v>10528595825</v>
      </c>
      <c r="J855">
        <v>7199197932</v>
      </c>
      <c r="K855">
        <v>4634904578</v>
      </c>
      <c r="L855">
        <v>4438219262</v>
      </c>
      <c r="M855">
        <v>5700202316</v>
      </c>
      <c r="N855">
        <v>5609619371</v>
      </c>
      <c r="O855">
        <v>5396260863</v>
      </c>
      <c r="P855">
        <v>1021</v>
      </c>
      <c r="Q855" t="s">
        <v>1953</v>
      </c>
    </row>
    <row r="856" spans="1:17" x14ac:dyDescent="0.3">
      <c r="A856" t="s">
        <v>17</v>
      </c>
      <c r="B856" t="str">
        <f>"601005"</f>
        <v>601005</v>
      </c>
      <c r="C856" t="s">
        <v>1954</v>
      </c>
      <c r="D856" t="s">
        <v>38</v>
      </c>
      <c r="F856">
        <v>22375209000</v>
      </c>
      <c r="G856">
        <v>20038467000</v>
      </c>
      <c r="H856">
        <v>19396003000</v>
      </c>
      <c r="I856">
        <v>18531665000</v>
      </c>
      <c r="J856">
        <v>16730115000</v>
      </c>
      <c r="K856">
        <v>-200494000</v>
      </c>
      <c r="L856">
        <v>3988873000</v>
      </c>
      <c r="M856">
        <v>9973914000</v>
      </c>
      <c r="N856">
        <v>9917303000</v>
      </c>
      <c r="O856">
        <v>4173976000</v>
      </c>
      <c r="P856">
        <v>249</v>
      </c>
      <c r="Q856" t="s">
        <v>1955</v>
      </c>
    </row>
    <row r="857" spans="1:17" x14ac:dyDescent="0.3">
      <c r="A857" t="s">
        <v>17</v>
      </c>
      <c r="B857" t="str">
        <f>"601006"</f>
        <v>601006</v>
      </c>
      <c r="C857" t="s">
        <v>1956</v>
      </c>
      <c r="D857" t="s">
        <v>301</v>
      </c>
      <c r="F857">
        <v>121042941491</v>
      </c>
      <c r="G857">
        <v>117570465295</v>
      </c>
      <c r="H857">
        <v>113881035078</v>
      </c>
      <c r="I857">
        <v>106495186227</v>
      </c>
      <c r="J857">
        <v>99401764068</v>
      </c>
      <c r="K857">
        <v>89827787618</v>
      </c>
      <c r="L857">
        <v>89112236992</v>
      </c>
      <c r="M857">
        <v>83798614833</v>
      </c>
      <c r="N857">
        <v>77073353068</v>
      </c>
      <c r="O857">
        <v>70188426230</v>
      </c>
      <c r="P857">
        <v>4202</v>
      </c>
      <c r="Q857" t="s">
        <v>1957</v>
      </c>
    </row>
    <row r="858" spans="1:17" x14ac:dyDescent="0.3">
      <c r="A858" t="s">
        <v>17</v>
      </c>
      <c r="B858" t="str">
        <f>"601007"</f>
        <v>601007</v>
      </c>
      <c r="C858" t="s">
        <v>1958</v>
      </c>
      <c r="D858" t="s">
        <v>590</v>
      </c>
      <c r="F858">
        <v>1557376309</v>
      </c>
      <c r="G858">
        <v>1531407699</v>
      </c>
      <c r="H858">
        <v>1487082122</v>
      </c>
      <c r="I858">
        <v>1472054056</v>
      </c>
      <c r="J858">
        <v>1466638463</v>
      </c>
      <c r="K858">
        <v>1399161328</v>
      </c>
      <c r="L858">
        <v>1400202574</v>
      </c>
      <c r="M858">
        <v>1362349627</v>
      </c>
      <c r="N858">
        <v>1346497257</v>
      </c>
      <c r="O858">
        <v>1308803999</v>
      </c>
      <c r="P858">
        <v>111</v>
      </c>
      <c r="Q858" t="s">
        <v>1959</v>
      </c>
    </row>
    <row r="859" spans="1:17" x14ac:dyDescent="0.3">
      <c r="A859" t="s">
        <v>17</v>
      </c>
      <c r="B859" t="str">
        <f>"601008"</f>
        <v>601008</v>
      </c>
      <c r="C859" t="s">
        <v>1960</v>
      </c>
      <c r="D859" t="s">
        <v>51</v>
      </c>
      <c r="F859">
        <v>4060359021</v>
      </c>
      <c r="G859">
        <v>3478805579</v>
      </c>
      <c r="H859">
        <v>3443942209</v>
      </c>
      <c r="I859">
        <v>3193390623</v>
      </c>
      <c r="J859">
        <v>3204328938</v>
      </c>
      <c r="K859">
        <v>3204605933</v>
      </c>
      <c r="L859">
        <v>3216400090</v>
      </c>
      <c r="M859">
        <v>3198576932</v>
      </c>
      <c r="N859">
        <v>3175686198</v>
      </c>
      <c r="O859">
        <v>2583507480</v>
      </c>
      <c r="P859">
        <v>131</v>
      </c>
      <c r="Q859" t="s">
        <v>1961</v>
      </c>
    </row>
    <row r="860" spans="1:17" x14ac:dyDescent="0.3">
      <c r="A860" t="s">
        <v>17</v>
      </c>
      <c r="B860" t="str">
        <f>"601009"</f>
        <v>601009</v>
      </c>
      <c r="C860" t="s">
        <v>1962</v>
      </c>
      <c r="D860" t="s">
        <v>1842</v>
      </c>
      <c r="F860">
        <v>109434602000</v>
      </c>
      <c r="G860">
        <v>97026314000</v>
      </c>
      <c r="H860">
        <v>77030728000</v>
      </c>
      <c r="I860">
        <v>67957864000</v>
      </c>
      <c r="J860">
        <v>57490665000</v>
      </c>
      <c r="K860">
        <v>52071727000</v>
      </c>
      <c r="L860">
        <v>52026524000</v>
      </c>
      <c r="M860">
        <v>32448913000</v>
      </c>
      <c r="N860">
        <v>26589991000</v>
      </c>
      <c r="O860">
        <v>24618327000</v>
      </c>
      <c r="P860">
        <v>44247</v>
      </c>
      <c r="Q860" t="s">
        <v>1963</v>
      </c>
    </row>
    <row r="861" spans="1:17" x14ac:dyDescent="0.3">
      <c r="A861" t="s">
        <v>17</v>
      </c>
      <c r="B861" t="str">
        <f>"601010"</f>
        <v>601010</v>
      </c>
      <c r="C861" t="s">
        <v>1964</v>
      </c>
      <c r="D861" t="s">
        <v>1404</v>
      </c>
      <c r="F861">
        <v>4798305208</v>
      </c>
      <c r="G861">
        <v>4873569453</v>
      </c>
      <c r="H861">
        <v>4770634818</v>
      </c>
      <c r="I861">
        <v>4509238958</v>
      </c>
      <c r="J861">
        <v>4358059205</v>
      </c>
      <c r="K861">
        <v>4133474375</v>
      </c>
      <c r="L861">
        <v>3961818982</v>
      </c>
      <c r="M861">
        <v>3947720200</v>
      </c>
      <c r="N861">
        <v>3766484047</v>
      </c>
      <c r="O861">
        <v>3628014041</v>
      </c>
      <c r="P861">
        <v>94</v>
      </c>
      <c r="Q861" t="s">
        <v>1965</v>
      </c>
    </row>
    <row r="862" spans="1:17" x14ac:dyDescent="0.3">
      <c r="A862" t="s">
        <v>17</v>
      </c>
      <c r="B862" t="str">
        <f>"601011"</f>
        <v>601011</v>
      </c>
      <c r="C862" t="s">
        <v>1966</v>
      </c>
      <c r="D862" t="s">
        <v>885</v>
      </c>
      <c r="F862">
        <v>6350714450</v>
      </c>
      <c r="G862">
        <v>6215001882</v>
      </c>
      <c r="H862">
        <v>6163463876</v>
      </c>
      <c r="I862">
        <v>6075198115</v>
      </c>
      <c r="J862">
        <v>5700053206</v>
      </c>
      <c r="K862">
        <v>4346025474</v>
      </c>
      <c r="L862">
        <v>4247834079</v>
      </c>
      <c r="M862">
        <v>2896435721</v>
      </c>
      <c r="N862">
        <v>2817553205</v>
      </c>
      <c r="O862">
        <v>2798201449</v>
      </c>
      <c r="P862">
        <v>134</v>
      </c>
      <c r="Q862" t="s">
        <v>1967</v>
      </c>
    </row>
    <row r="863" spans="1:17" x14ac:dyDescent="0.3">
      <c r="A863" t="s">
        <v>17</v>
      </c>
      <c r="B863" t="str">
        <f>"601012"</f>
        <v>601012</v>
      </c>
      <c r="C863" t="s">
        <v>1968</v>
      </c>
      <c r="D863" t="s">
        <v>929</v>
      </c>
      <c r="F863">
        <v>47447747320</v>
      </c>
      <c r="G863">
        <v>34431201978</v>
      </c>
      <c r="H863">
        <v>27628794073</v>
      </c>
      <c r="I863">
        <v>15822779512</v>
      </c>
      <c r="J863">
        <v>13566052056</v>
      </c>
      <c r="K863">
        <v>10092550194</v>
      </c>
      <c r="L863">
        <v>5634252807</v>
      </c>
      <c r="M863">
        <v>3218290790</v>
      </c>
      <c r="N863">
        <v>2962587120</v>
      </c>
      <c r="O863">
        <v>2891655341</v>
      </c>
      <c r="P863">
        <v>6941</v>
      </c>
      <c r="Q863" t="s">
        <v>1969</v>
      </c>
    </row>
    <row r="864" spans="1:17" x14ac:dyDescent="0.3">
      <c r="A864" t="s">
        <v>17</v>
      </c>
      <c r="B864" t="str">
        <f>"601015"</f>
        <v>601015</v>
      </c>
      <c r="C864" t="s">
        <v>1970</v>
      </c>
      <c r="D864" t="s">
        <v>885</v>
      </c>
      <c r="F864">
        <v>8480229863</v>
      </c>
      <c r="G864">
        <v>5748828699</v>
      </c>
      <c r="H864">
        <v>5633520476</v>
      </c>
      <c r="I864">
        <v>5702964225</v>
      </c>
      <c r="J864">
        <v>5394438896</v>
      </c>
      <c r="K864">
        <v>2734608729</v>
      </c>
      <c r="L864">
        <v>2487498023</v>
      </c>
      <c r="M864">
        <v>2828288930</v>
      </c>
      <c r="N864">
        <v>1952589918</v>
      </c>
      <c r="O864">
        <v>1781938236</v>
      </c>
      <c r="P864">
        <v>212</v>
      </c>
      <c r="Q864" t="s">
        <v>1971</v>
      </c>
    </row>
    <row r="865" spans="1:17" x14ac:dyDescent="0.3">
      <c r="A865" t="s">
        <v>17</v>
      </c>
      <c r="B865" t="str">
        <f>"601016"</f>
        <v>601016</v>
      </c>
      <c r="C865" t="s">
        <v>1972</v>
      </c>
      <c r="D865" t="s">
        <v>383</v>
      </c>
      <c r="F865">
        <v>10358160732</v>
      </c>
      <c r="G865">
        <v>9829874257</v>
      </c>
      <c r="H865">
        <v>7353447662</v>
      </c>
      <c r="I865">
        <v>6966107446</v>
      </c>
      <c r="J865">
        <v>6683815030</v>
      </c>
      <c r="K865">
        <v>6352481668</v>
      </c>
      <c r="L865">
        <v>6260180785</v>
      </c>
      <c r="M865">
        <v>3192691562</v>
      </c>
      <c r="N865">
        <v>2769934596</v>
      </c>
      <c r="O865">
        <v>2661280075</v>
      </c>
      <c r="P865">
        <v>542</v>
      </c>
      <c r="Q865" t="s">
        <v>1973</v>
      </c>
    </row>
    <row r="866" spans="1:17" x14ac:dyDescent="0.3">
      <c r="A866" t="s">
        <v>17</v>
      </c>
      <c r="B866" t="str">
        <f>"601018"</f>
        <v>601018</v>
      </c>
      <c r="C866" t="s">
        <v>1974</v>
      </c>
      <c r="D866" t="s">
        <v>51</v>
      </c>
      <c r="F866">
        <v>54712762000</v>
      </c>
      <c r="G866">
        <v>51501449000</v>
      </c>
      <c r="H866">
        <v>40772378000</v>
      </c>
      <c r="I866">
        <v>38348872000</v>
      </c>
      <c r="J866">
        <v>36370554000</v>
      </c>
      <c r="K866">
        <v>34590112000</v>
      </c>
      <c r="L866">
        <v>32166563000</v>
      </c>
      <c r="M866">
        <v>30757116000</v>
      </c>
      <c r="N866">
        <v>28771210000</v>
      </c>
      <c r="O866">
        <v>27097207000</v>
      </c>
      <c r="P866">
        <v>335</v>
      </c>
      <c r="Q866" t="s">
        <v>1975</v>
      </c>
    </row>
    <row r="867" spans="1:17" x14ac:dyDescent="0.3">
      <c r="A867" t="s">
        <v>17</v>
      </c>
      <c r="B867" t="str">
        <f>"601019"</f>
        <v>601019</v>
      </c>
      <c r="C867" t="s">
        <v>1976</v>
      </c>
      <c r="D867" t="s">
        <v>1536</v>
      </c>
      <c r="F867">
        <v>12370950995</v>
      </c>
      <c r="G867">
        <v>11513674290</v>
      </c>
      <c r="H867">
        <v>10759977170</v>
      </c>
      <c r="I867">
        <v>9658788428</v>
      </c>
      <c r="J867">
        <v>8702992114</v>
      </c>
      <c r="K867">
        <v>5089671354</v>
      </c>
      <c r="L867">
        <v>4406399685</v>
      </c>
      <c r="M867">
        <v>3760944523</v>
      </c>
      <c r="P867">
        <v>401</v>
      </c>
      <c r="Q867" t="s">
        <v>1977</v>
      </c>
    </row>
    <row r="868" spans="1:17" x14ac:dyDescent="0.3">
      <c r="A868" t="s">
        <v>17</v>
      </c>
      <c r="B868" t="str">
        <f>"601020"</f>
        <v>601020</v>
      </c>
      <c r="C868" t="s">
        <v>1978</v>
      </c>
      <c r="D868" t="s">
        <v>701</v>
      </c>
      <c r="F868">
        <v>2616582670</v>
      </c>
      <c r="G868">
        <v>2449698838</v>
      </c>
      <c r="H868">
        <v>2057079009</v>
      </c>
      <c r="I868">
        <v>1989539226</v>
      </c>
      <c r="J868">
        <v>1807278901</v>
      </c>
      <c r="K868">
        <v>1536705916</v>
      </c>
      <c r="L868">
        <v>1073200371</v>
      </c>
      <c r="M868">
        <v>954175483</v>
      </c>
      <c r="N868">
        <v>772526740</v>
      </c>
      <c r="P868">
        <v>180</v>
      </c>
      <c r="Q868" t="s">
        <v>1979</v>
      </c>
    </row>
    <row r="869" spans="1:17" x14ac:dyDescent="0.3">
      <c r="A869" t="s">
        <v>17</v>
      </c>
      <c r="B869" t="str">
        <f>"601021"</f>
        <v>601021</v>
      </c>
      <c r="C869" t="s">
        <v>1980</v>
      </c>
      <c r="D869" t="s">
        <v>77</v>
      </c>
      <c r="F869">
        <v>13747091930</v>
      </c>
      <c r="G869">
        <v>14180855764</v>
      </c>
      <c r="H869">
        <v>15038550000</v>
      </c>
      <c r="I869">
        <v>13324678277</v>
      </c>
      <c r="J869">
        <v>8463901220</v>
      </c>
      <c r="K869">
        <v>7323489812</v>
      </c>
      <c r="L869">
        <v>6539779044</v>
      </c>
      <c r="M869">
        <v>3553290072</v>
      </c>
      <c r="N869">
        <v>2743000812</v>
      </c>
      <c r="O869">
        <v>2073225676</v>
      </c>
      <c r="P869">
        <v>1019</v>
      </c>
      <c r="Q869" t="s">
        <v>1981</v>
      </c>
    </row>
    <row r="870" spans="1:17" x14ac:dyDescent="0.3">
      <c r="A870" t="s">
        <v>17</v>
      </c>
      <c r="B870" t="str">
        <f>"601028"</f>
        <v>601028</v>
      </c>
      <c r="C870" t="s">
        <v>1982</v>
      </c>
      <c r="D870" t="s">
        <v>131</v>
      </c>
      <c r="F870">
        <v>2547496437</v>
      </c>
      <c r="G870">
        <v>2184513192</v>
      </c>
      <c r="H870">
        <v>2067280692</v>
      </c>
      <c r="I870">
        <v>2047145513</v>
      </c>
      <c r="J870">
        <v>2025265340</v>
      </c>
      <c r="K870">
        <v>1949633902</v>
      </c>
      <c r="L870">
        <v>2629217403</v>
      </c>
      <c r="M870">
        <v>2570830924</v>
      </c>
      <c r="N870">
        <v>2020377788</v>
      </c>
      <c r="O870">
        <v>1937473337</v>
      </c>
      <c r="P870">
        <v>87</v>
      </c>
      <c r="Q870" t="s">
        <v>1983</v>
      </c>
    </row>
    <row r="871" spans="1:17" x14ac:dyDescent="0.3">
      <c r="A871" t="s">
        <v>17</v>
      </c>
      <c r="B871" t="str">
        <f>"601038"</f>
        <v>601038</v>
      </c>
      <c r="C871" t="s">
        <v>1984</v>
      </c>
      <c r="D871" t="s">
        <v>1985</v>
      </c>
      <c r="F871">
        <v>5402078873</v>
      </c>
      <c r="G871">
        <v>4338179097</v>
      </c>
      <c r="H871">
        <v>4070005449</v>
      </c>
      <c r="I871">
        <v>4007081664</v>
      </c>
      <c r="J871">
        <v>4797305396</v>
      </c>
      <c r="K871">
        <v>4829340536</v>
      </c>
      <c r="L871">
        <v>4673879852</v>
      </c>
      <c r="M871">
        <v>4593468034</v>
      </c>
      <c r="N871">
        <v>4473895897</v>
      </c>
      <c r="O871">
        <v>4366397215</v>
      </c>
      <c r="P871">
        <v>179</v>
      </c>
      <c r="Q871" t="s">
        <v>1986</v>
      </c>
    </row>
    <row r="872" spans="1:17" x14ac:dyDescent="0.3">
      <c r="A872" t="s">
        <v>17</v>
      </c>
      <c r="B872" t="str">
        <f>"601058"</f>
        <v>601058</v>
      </c>
      <c r="C872" t="s">
        <v>1987</v>
      </c>
      <c r="D872" t="s">
        <v>422</v>
      </c>
      <c r="F872">
        <v>10730465121</v>
      </c>
      <c r="G872">
        <v>8461947838</v>
      </c>
      <c r="H872">
        <v>7067861067</v>
      </c>
      <c r="I872">
        <v>6308479414</v>
      </c>
      <c r="J872">
        <v>5967093249</v>
      </c>
      <c r="K872">
        <v>4532299841</v>
      </c>
      <c r="L872">
        <v>4245570795</v>
      </c>
      <c r="M872">
        <v>4225339307</v>
      </c>
      <c r="N872">
        <v>2834338752</v>
      </c>
      <c r="O872">
        <v>1961195556</v>
      </c>
      <c r="P872">
        <v>589</v>
      </c>
      <c r="Q872" t="s">
        <v>1988</v>
      </c>
    </row>
    <row r="873" spans="1:17" x14ac:dyDescent="0.3">
      <c r="A873" t="s">
        <v>17</v>
      </c>
      <c r="B873" t="str">
        <f>"601066"</f>
        <v>601066</v>
      </c>
      <c r="C873" t="s">
        <v>1989</v>
      </c>
      <c r="D873" t="s">
        <v>80</v>
      </c>
      <c r="F873">
        <v>64880956611</v>
      </c>
      <c r="G873">
        <v>57773673658</v>
      </c>
      <c r="H873">
        <v>46601221114</v>
      </c>
      <c r="I873">
        <v>42577246338</v>
      </c>
      <c r="J873">
        <v>38754078535</v>
      </c>
      <c r="K873">
        <v>36063050289</v>
      </c>
      <c r="L873">
        <v>25106164636</v>
      </c>
      <c r="M873">
        <v>16668964700</v>
      </c>
      <c r="N873">
        <v>13091070323</v>
      </c>
      <c r="O873">
        <v>11935165325</v>
      </c>
      <c r="P873">
        <v>1825</v>
      </c>
      <c r="Q873" t="s">
        <v>1990</v>
      </c>
    </row>
    <row r="874" spans="1:17" x14ac:dyDescent="0.3">
      <c r="A874" t="s">
        <v>17</v>
      </c>
      <c r="B874" t="str">
        <f>"601068"</f>
        <v>601068</v>
      </c>
      <c r="C874" t="s">
        <v>1991</v>
      </c>
      <c r="D874" t="s">
        <v>1992</v>
      </c>
      <c r="F874">
        <v>5138532854</v>
      </c>
      <c r="G874">
        <v>6234489340</v>
      </c>
      <c r="H874">
        <v>11098233211</v>
      </c>
      <c r="I874">
        <v>855362619</v>
      </c>
      <c r="J874">
        <v>7277998756</v>
      </c>
      <c r="K874">
        <v>7888635329</v>
      </c>
      <c r="L874">
        <v>6975656549</v>
      </c>
      <c r="P874">
        <v>109</v>
      </c>
      <c r="Q874" t="s">
        <v>1993</v>
      </c>
    </row>
    <row r="875" spans="1:17" x14ac:dyDescent="0.3">
      <c r="A875" t="s">
        <v>17</v>
      </c>
      <c r="B875" t="str">
        <f>"601069"</f>
        <v>601069</v>
      </c>
      <c r="C875" t="s">
        <v>1994</v>
      </c>
      <c r="D875" t="s">
        <v>701</v>
      </c>
      <c r="F875">
        <v>1817600511</v>
      </c>
      <c r="G875">
        <v>1773766274</v>
      </c>
      <c r="H875">
        <v>1708921812</v>
      </c>
      <c r="I875">
        <v>1681159912</v>
      </c>
      <c r="J875">
        <v>1681038596</v>
      </c>
      <c r="K875">
        <v>1704477689</v>
      </c>
      <c r="L875">
        <v>1602072784</v>
      </c>
      <c r="M875">
        <v>1136731005</v>
      </c>
      <c r="N875">
        <v>1107960636</v>
      </c>
      <c r="O875">
        <v>1205922576</v>
      </c>
      <c r="P875">
        <v>142</v>
      </c>
      <c r="Q875" t="s">
        <v>1995</v>
      </c>
    </row>
    <row r="876" spans="1:17" x14ac:dyDescent="0.3">
      <c r="A876" t="s">
        <v>17</v>
      </c>
      <c r="B876" t="str">
        <f>"601077"</f>
        <v>601077</v>
      </c>
      <c r="C876" t="s">
        <v>1996</v>
      </c>
      <c r="D876" t="s">
        <v>1831</v>
      </c>
      <c r="F876">
        <v>100514312000</v>
      </c>
      <c r="G876">
        <v>93228605000</v>
      </c>
      <c r="H876">
        <v>87773374000</v>
      </c>
      <c r="I876">
        <v>70308126000</v>
      </c>
      <c r="J876">
        <v>63248558000</v>
      </c>
      <c r="K876">
        <v>52153091000</v>
      </c>
      <c r="L876">
        <v>46322664000</v>
      </c>
      <c r="M876">
        <v>40985821000</v>
      </c>
      <c r="N876">
        <v>35811319000</v>
      </c>
      <c r="O876">
        <v>31480595000</v>
      </c>
      <c r="P876">
        <v>509</v>
      </c>
      <c r="Q876" t="s">
        <v>1997</v>
      </c>
    </row>
    <row r="877" spans="1:17" x14ac:dyDescent="0.3">
      <c r="A877" t="s">
        <v>17</v>
      </c>
      <c r="B877" t="str">
        <f>"601086"</f>
        <v>601086</v>
      </c>
      <c r="C877" t="s">
        <v>1998</v>
      </c>
      <c r="D877" t="s">
        <v>633</v>
      </c>
      <c r="F877">
        <v>1542433101</v>
      </c>
      <c r="G877">
        <v>1866170704</v>
      </c>
      <c r="H877">
        <v>1813664625</v>
      </c>
      <c r="I877">
        <v>1786043810</v>
      </c>
      <c r="J877">
        <v>1767283863</v>
      </c>
      <c r="K877">
        <v>1181980236</v>
      </c>
      <c r="L877">
        <v>1086262903</v>
      </c>
      <c r="M877">
        <v>859626049</v>
      </c>
      <c r="P877">
        <v>79</v>
      </c>
      <c r="Q877" t="s">
        <v>1999</v>
      </c>
    </row>
    <row r="878" spans="1:17" x14ac:dyDescent="0.3">
      <c r="A878" t="s">
        <v>17</v>
      </c>
      <c r="B878" t="str">
        <f>"601088"</f>
        <v>601088</v>
      </c>
      <c r="C878" t="s">
        <v>2000</v>
      </c>
      <c r="D878" t="s">
        <v>292</v>
      </c>
      <c r="F878">
        <v>376875000000</v>
      </c>
      <c r="G878">
        <v>360189000000</v>
      </c>
      <c r="H878">
        <v>351928000000</v>
      </c>
      <c r="I878">
        <v>327763000000</v>
      </c>
      <c r="J878">
        <v>301487000000</v>
      </c>
      <c r="K878">
        <v>312357000000</v>
      </c>
      <c r="L878">
        <v>292790000000</v>
      </c>
      <c r="M878">
        <v>291789000000</v>
      </c>
      <c r="N878">
        <v>272362000000</v>
      </c>
      <c r="O878">
        <v>253101000000</v>
      </c>
      <c r="P878">
        <v>3939</v>
      </c>
      <c r="Q878" t="s">
        <v>2001</v>
      </c>
    </row>
    <row r="879" spans="1:17" x14ac:dyDescent="0.3">
      <c r="A879" t="s">
        <v>17</v>
      </c>
      <c r="B879" t="str">
        <f>"601098"</f>
        <v>601098</v>
      </c>
      <c r="C879" t="s">
        <v>2002</v>
      </c>
      <c r="D879" t="s">
        <v>1536</v>
      </c>
      <c r="F879">
        <v>14400495157</v>
      </c>
      <c r="G879">
        <v>13994561432</v>
      </c>
      <c r="H879">
        <v>13669541342</v>
      </c>
      <c r="I879">
        <v>13475695836</v>
      </c>
      <c r="J879">
        <v>13311518442</v>
      </c>
      <c r="K879">
        <v>12731854971</v>
      </c>
      <c r="L879">
        <v>11447979554</v>
      </c>
      <c r="M879">
        <v>10334734308</v>
      </c>
      <c r="N879">
        <v>9227101602</v>
      </c>
      <c r="O879">
        <v>8455069140</v>
      </c>
      <c r="P879">
        <v>882</v>
      </c>
      <c r="Q879" t="s">
        <v>2003</v>
      </c>
    </row>
    <row r="880" spans="1:17" x14ac:dyDescent="0.3">
      <c r="A880" t="s">
        <v>17</v>
      </c>
      <c r="B880" t="str">
        <f>"601099"</f>
        <v>601099</v>
      </c>
      <c r="C880" t="s">
        <v>2004</v>
      </c>
      <c r="D880" t="s">
        <v>80</v>
      </c>
      <c r="F880">
        <v>9710989601</v>
      </c>
      <c r="G880">
        <v>9604505681</v>
      </c>
      <c r="H880">
        <v>10345546058</v>
      </c>
      <c r="I880">
        <v>10290165146</v>
      </c>
      <c r="J880">
        <v>11730113886</v>
      </c>
      <c r="K880">
        <v>11817176734</v>
      </c>
      <c r="L880">
        <v>7402420458</v>
      </c>
      <c r="M880">
        <v>6402109432</v>
      </c>
      <c r="N880">
        <v>2183364630</v>
      </c>
      <c r="O880">
        <v>2134981814</v>
      </c>
      <c r="P880">
        <v>738</v>
      </c>
      <c r="Q880" t="s">
        <v>2005</v>
      </c>
    </row>
    <row r="881" spans="1:17" x14ac:dyDescent="0.3">
      <c r="A881" t="s">
        <v>17</v>
      </c>
      <c r="B881" t="str">
        <f>"601100"</f>
        <v>601100</v>
      </c>
      <c r="C881" t="s">
        <v>2006</v>
      </c>
      <c r="D881" t="s">
        <v>2007</v>
      </c>
      <c r="F881">
        <v>9195704137</v>
      </c>
      <c r="G881">
        <v>7313709867</v>
      </c>
      <c r="H881">
        <v>5583770801</v>
      </c>
      <c r="I881">
        <v>4546802948</v>
      </c>
      <c r="J881">
        <v>3845269230</v>
      </c>
      <c r="K881">
        <v>3504697590</v>
      </c>
      <c r="L881">
        <v>3472740729</v>
      </c>
      <c r="M881">
        <v>3443760898</v>
      </c>
      <c r="N881">
        <v>3434141859</v>
      </c>
      <c r="O881">
        <v>3306472344</v>
      </c>
      <c r="P881">
        <v>1782</v>
      </c>
      <c r="Q881" t="s">
        <v>2008</v>
      </c>
    </row>
    <row r="882" spans="1:17" x14ac:dyDescent="0.3">
      <c r="A882" t="s">
        <v>17</v>
      </c>
      <c r="B882" t="str">
        <f>"601101"</f>
        <v>601101</v>
      </c>
      <c r="C882" t="s">
        <v>2009</v>
      </c>
      <c r="D882" t="s">
        <v>292</v>
      </c>
      <c r="F882">
        <v>9647884834</v>
      </c>
      <c r="G882">
        <v>7641092947</v>
      </c>
      <c r="H882">
        <v>6784309977</v>
      </c>
      <c r="I882">
        <v>8049125376</v>
      </c>
      <c r="J882">
        <v>7466318495</v>
      </c>
      <c r="K882">
        <v>6637744879</v>
      </c>
      <c r="L882">
        <v>6549680449</v>
      </c>
      <c r="M882">
        <v>6767372811</v>
      </c>
      <c r="N882">
        <v>6774572177</v>
      </c>
      <c r="O882">
        <v>6959847434</v>
      </c>
      <c r="P882">
        <v>281</v>
      </c>
      <c r="Q882" t="s">
        <v>2010</v>
      </c>
    </row>
    <row r="883" spans="1:17" x14ac:dyDescent="0.3">
      <c r="A883" t="s">
        <v>17</v>
      </c>
      <c r="B883" t="str">
        <f>"601106"</f>
        <v>601106</v>
      </c>
      <c r="C883" t="s">
        <v>2011</v>
      </c>
      <c r="D883" t="s">
        <v>395</v>
      </c>
      <c r="F883">
        <v>11442122129</v>
      </c>
      <c r="G883">
        <v>11134083405</v>
      </c>
      <c r="H883">
        <v>11046972465</v>
      </c>
      <c r="I883">
        <v>10928122660</v>
      </c>
      <c r="J883">
        <v>10830141667</v>
      </c>
      <c r="K883">
        <v>9204760651</v>
      </c>
      <c r="L883">
        <v>14901560309</v>
      </c>
      <c r="M883">
        <v>16762321477</v>
      </c>
      <c r="N883">
        <v>16713234647</v>
      </c>
      <c r="O883">
        <v>16707844456</v>
      </c>
      <c r="P883">
        <v>175</v>
      </c>
      <c r="Q883" t="s">
        <v>2012</v>
      </c>
    </row>
    <row r="884" spans="1:17" x14ac:dyDescent="0.3">
      <c r="A884" t="s">
        <v>17</v>
      </c>
      <c r="B884" t="str">
        <f>"601107"</f>
        <v>601107</v>
      </c>
      <c r="C884" t="s">
        <v>2013</v>
      </c>
      <c r="D884" t="s">
        <v>44</v>
      </c>
      <c r="F884">
        <v>17364991774</v>
      </c>
      <c r="G884">
        <v>15534511993</v>
      </c>
      <c r="H884">
        <v>15274761768</v>
      </c>
      <c r="I884">
        <v>14491606044</v>
      </c>
      <c r="J884">
        <v>13894072611</v>
      </c>
      <c r="K884">
        <v>13324201245</v>
      </c>
      <c r="L884">
        <v>12519262090</v>
      </c>
      <c r="M884">
        <v>11766023546</v>
      </c>
      <c r="N884">
        <v>11004499555</v>
      </c>
      <c r="O884">
        <v>10253224696</v>
      </c>
      <c r="P884">
        <v>231</v>
      </c>
      <c r="Q884" t="s">
        <v>2014</v>
      </c>
    </row>
    <row r="885" spans="1:17" x14ac:dyDescent="0.3">
      <c r="A885" t="s">
        <v>17</v>
      </c>
      <c r="B885" t="str">
        <f>"601108"</f>
        <v>601108</v>
      </c>
      <c r="C885" t="s">
        <v>2015</v>
      </c>
      <c r="D885" t="s">
        <v>80</v>
      </c>
      <c r="F885">
        <v>24716917402</v>
      </c>
      <c r="G885">
        <v>22459673529</v>
      </c>
      <c r="H885">
        <v>20839452695</v>
      </c>
      <c r="I885">
        <v>19165347785</v>
      </c>
      <c r="J885">
        <v>20290232240</v>
      </c>
      <c r="K885">
        <v>14746197065</v>
      </c>
      <c r="L885">
        <v>12657582226</v>
      </c>
      <c r="M885">
        <v>9365194944</v>
      </c>
      <c r="N885">
        <v>4530913300</v>
      </c>
      <c r="O885">
        <v>4218491600</v>
      </c>
      <c r="P885">
        <v>980</v>
      </c>
      <c r="Q885" t="s">
        <v>2016</v>
      </c>
    </row>
    <row r="886" spans="1:17" x14ac:dyDescent="0.3">
      <c r="A886" t="s">
        <v>17</v>
      </c>
      <c r="B886" t="str">
        <f>"601111"</f>
        <v>601111</v>
      </c>
      <c r="C886" t="s">
        <v>2017</v>
      </c>
      <c r="D886" t="s">
        <v>77</v>
      </c>
      <c r="F886">
        <v>61402519000</v>
      </c>
      <c r="G886">
        <v>77582421000</v>
      </c>
      <c r="H886">
        <v>93505857000</v>
      </c>
      <c r="I886">
        <v>93216239000</v>
      </c>
      <c r="J886">
        <v>86120794000</v>
      </c>
      <c r="K886">
        <v>68876496000</v>
      </c>
      <c r="L886">
        <v>59820396000</v>
      </c>
      <c r="M886">
        <v>54340012000</v>
      </c>
      <c r="N886">
        <v>54154190000</v>
      </c>
      <c r="O886">
        <v>50578538000</v>
      </c>
      <c r="P886">
        <v>1106</v>
      </c>
      <c r="Q886" t="s">
        <v>2018</v>
      </c>
    </row>
    <row r="887" spans="1:17" x14ac:dyDescent="0.3">
      <c r="A887" t="s">
        <v>17</v>
      </c>
      <c r="B887" t="str">
        <f>"601113"</f>
        <v>601113</v>
      </c>
      <c r="C887" t="s">
        <v>2019</v>
      </c>
      <c r="D887" t="s">
        <v>2020</v>
      </c>
      <c r="F887">
        <v>3626339916</v>
      </c>
      <c r="G887">
        <v>4246381020</v>
      </c>
      <c r="H887">
        <v>4444746214</v>
      </c>
      <c r="I887">
        <v>5706057100</v>
      </c>
      <c r="J887">
        <v>2806644254</v>
      </c>
      <c r="K887">
        <v>2754607927</v>
      </c>
      <c r="L887">
        <v>2723527352</v>
      </c>
      <c r="M887">
        <v>1655444910</v>
      </c>
      <c r="N887">
        <v>1761437165</v>
      </c>
      <c r="O887">
        <v>1713893942</v>
      </c>
      <c r="P887">
        <v>68</v>
      </c>
      <c r="Q887" t="s">
        <v>2021</v>
      </c>
    </row>
    <row r="888" spans="1:17" x14ac:dyDescent="0.3">
      <c r="A888" t="s">
        <v>17</v>
      </c>
      <c r="B888" t="str">
        <f>"601116"</f>
        <v>601116</v>
      </c>
      <c r="C888" t="s">
        <v>2022</v>
      </c>
      <c r="D888" t="s">
        <v>798</v>
      </c>
      <c r="F888">
        <v>3100686531</v>
      </c>
      <c r="G888">
        <v>3180465173</v>
      </c>
      <c r="H888">
        <v>3167648466</v>
      </c>
      <c r="I888">
        <v>3116686559</v>
      </c>
      <c r="J888">
        <v>1636569570</v>
      </c>
      <c r="K888">
        <v>1600920485</v>
      </c>
      <c r="L888">
        <v>1581691163</v>
      </c>
      <c r="M888">
        <v>1596168146</v>
      </c>
      <c r="N888">
        <v>1567217820</v>
      </c>
      <c r="O888">
        <v>1499593031</v>
      </c>
      <c r="P888">
        <v>124</v>
      </c>
      <c r="Q888" t="s">
        <v>2023</v>
      </c>
    </row>
    <row r="889" spans="1:17" x14ac:dyDescent="0.3">
      <c r="A889" t="s">
        <v>17</v>
      </c>
      <c r="B889" t="str">
        <f>"601117"</f>
        <v>601117</v>
      </c>
      <c r="C889" t="s">
        <v>2024</v>
      </c>
      <c r="D889" t="s">
        <v>2025</v>
      </c>
      <c r="F889">
        <v>48199228382</v>
      </c>
      <c r="G889">
        <v>34663961339</v>
      </c>
      <c r="H889">
        <v>32145444820</v>
      </c>
      <c r="I889">
        <v>29847726207</v>
      </c>
      <c r="J889">
        <v>28343670171</v>
      </c>
      <c r="K889">
        <v>27470983992</v>
      </c>
      <c r="L889">
        <v>26140058094</v>
      </c>
      <c r="M889">
        <v>23648216830</v>
      </c>
      <c r="N889">
        <v>21055936686</v>
      </c>
      <c r="O889">
        <v>17985682025</v>
      </c>
      <c r="P889">
        <v>717</v>
      </c>
      <c r="Q889" t="s">
        <v>2026</v>
      </c>
    </row>
    <row r="890" spans="1:17" x14ac:dyDescent="0.3">
      <c r="A890" t="s">
        <v>17</v>
      </c>
      <c r="B890" t="str">
        <f>"601118"</f>
        <v>601118</v>
      </c>
      <c r="C890" t="s">
        <v>2027</v>
      </c>
      <c r="D890" t="s">
        <v>258</v>
      </c>
      <c r="F890">
        <v>9593330134</v>
      </c>
      <c r="G890">
        <v>9776180502</v>
      </c>
      <c r="H890">
        <v>9732765869</v>
      </c>
      <c r="I890">
        <v>9797818302</v>
      </c>
      <c r="J890">
        <v>7779898028</v>
      </c>
      <c r="K890">
        <v>8034692844</v>
      </c>
      <c r="L890">
        <v>7985003920</v>
      </c>
      <c r="M890">
        <v>8983381737</v>
      </c>
      <c r="N890">
        <v>9079576770</v>
      </c>
      <c r="O890">
        <v>9072973338</v>
      </c>
      <c r="P890">
        <v>199</v>
      </c>
      <c r="Q890" t="s">
        <v>2028</v>
      </c>
    </row>
    <row r="891" spans="1:17" x14ac:dyDescent="0.3">
      <c r="A891" t="s">
        <v>17</v>
      </c>
      <c r="B891" t="str">
        <f>"601126"</f>
        <v>601126</v>
      </c>
      <c r="C891" t="s">
        <v>2029</v>
      </c>
      <c r="D891" t="s">
        <v>610</v>
      </c>
      <c r="F891">
        <v>3871427987</v>
      </c>
      <c r="G891">
        <v>4157408719</v>
      </c>
      <c r="H891">
        <v>3917489330</v>
      </c>
      <c r="I891">
        <v>3972415286</v>
      </c>
      <c r="J891">
        <v>3948882174</v>
      </c>
      <c r="K891">
        <v>3848758575</v>
      </c>
      <c r="L891">
        <v>3681656510</v>
      </c>
      <c r="M891">
        <v>3438951621</v>
      </c>
      <c r="N891">
        <v>3187464312</v>
      </c>
      <c r="O891">
        <v>2884151910</v>
      </c>
      <c r="P891">
        <v>279</v>
      </c>
      <c r="Q891" t="s">
        <v>2030</v>
      </c>
    </row>
    <row r="892" spans="1:17" x14ac:dyDescent="0.3">
      <c r="A892" t="s">
        <v>17</v>
      </c>
      <c r="B892" t="str">
        <f>"601127"</f>
        <v>601127</v>
      </c>
      <c r="C892" t="s">
        <v>2031</v>
      </c>
      <c r="D892" t="s">
        <v>247</v>
      </c>
      <c r="F892">
        <v>7902617211</v>
      </c>
      <c r="G892">
        <v>4997141924</v>
      </c>
      <c r="H892">
        <v>5300292682</v>
      </c>
      <c r="I892">
        <v>4976265781</v>
      </c>
      <c r="J892">
        <v>4311209634</v>
      </c>
      <c r="K892">
        <v>3850263650</v>
      </c>
      <c r="L892">
        <v>2595566979</v>
      </c>
      <c r="M892">
        <v>2144796922</v>
      </c>
      <c r="N892">
        <v>1926022569</v>
      </c>
      <c r="P892">
        <v>476</v>
      </c>
      <c r="Q892" t="s">
        <v>2032</v>
      </c>
    </row>
    <row r="893" spans="1:17" x14ac:dyDescent="0.3">
      <c r="A893" t="s">
        <v>17</v>
      </c>
      <c r="B893" t="str">
        <f>"601128"</f>
        <v>601128</v>
      </c>
      <c r="C893" t="s">
        <v>2033</v>
      </c>
      <c r="D893" t="s">
        <v>1831</v>
      </c>
      <c r="F893">
        <v>19787979000</v>
      </c>
      <c r="G893">
        <v>17960072000</v>
      </c>
      <c r="H893">
        <v>16925465000</v>
      </c>
      <c r="I893">
        <v>12235546000</v>
      </c>
      <c r="J893">
        <v>10468055000</v>
      </c>
      <c r="K893">
        <v>9853780000</v>
      </c>
      <c r="L893">
        <v>8077443332</v>
      </c>
      <c r="M893">
        <v>7118125186</v>
      </c>
      <c r="N893">
        <v>5845203909</v>
      </c>
      <c r="O893">
        <v>5632525000</v>
      </c>
      <c r="P893">
        <v>940</v>
      </c>
      <c r="Q893" t="s">
        <v>2034</v>
      </c>
    </row>
    <row r="894" spans="1:17" x14ac:dyDescent="0.3">
      <c r="A894" t="s">
        <v>17</v>
      </c>
      <c r="B894" t="str">
        <f>"601137"</f>
        <v>601137</v>
      </c>
      <c r="C894" t="s">
        <v>2035</v>
      </c>
      <c r="D894" t="s">
        <v>581</v>
      </c>
      <c r="F894">
        <v>5418983414</v>
      </c>
      <c r="G894">
        <v>5174563934</v>
      </c>
      <c r="H894">
        <v>3753994105</v>
      </c>
      <c r="I894">
        <v>3509210875</v>
      </c>
      <c r="J894">
        <v>3321193579</v>
      </c>
      <c r="K894">
        <v>3124964035</v>
      </c>
      <c r="L894">
        <v>2043351482</v>
      </c>
      <c r="M894">
        <v>1993124890</v>
      </c>
      <c r="N894">
        <v>1955768536</v>
      </c>
      <c r="O894">
        <v>1912668752</v>
      </c>
      <c r="P894">
        <v>283</v>
      </c>
      <c r="Q894" t="s">
        <v>2036</v>
      </c>
    </row>
    <row r="895" spans="1:17" x14ac:dyDescent="0.3">
      <c r="A895" t="s">
        <v>17</v>
      </c>
      <c r="B895" t="str">
        <f>"601138"</f>
        <v>601138</v>
      </c>
      <c r="C895" t="s">
        <v>2037</v>
      </c>
      <c r="D895" t="s">
        <v>313</v>
      </c>
      <c r="F895">
        <v>119180602000</v>
      </c>
      <c r="G895">
        <v>103752549000</v>
      </c>
      <c r="H895">
        <v>89280680000</v>
      </c>
      <c r="I895">
        <v>72294634000</v>
      </c>
      <c r="J895">
        <v>28161059000</v>
      </c>
      <c r="K895">
        <v>77303084000</v>
      </c>
      <c r="L895">
        <v>59525124000</v>
      </c>
      <c r="P895">
        <v>1318</v>
      </c>
      <c r="Q895" t="s">
        <v>2038</v>
      </c>
    </row>
    <row r="896" spans="1:17" x14ac:dyDescent="0.3">
      <c r="A896" t="s">
        <v>17</v>
      </c>
      <c r="B896" t="str">
        <f>"601139"</f>
        <v>601139</v>
      </c>
      <c r="C896" t="s">
        <v>2039</v>
      </c>
      <c r="D896" t="s">
        <v>749</v>
      </c>
      <c r="F896">
        <v>12362647464</v>
      </c>
      <c r="G896">
        <v>11818970837</v>
      </c>
      <c r="H896">
        <v>11019954427</v>
      </c>
      <c r="I896">
        <v>9196961031</v>
      </c>
      <c r="J896">
        <v>8415670561</v>
      </c>
      <c r="K896">
        <v>7713487995</v>
      </c>
      <c r="L896">
        <v>7109335029</v>
      </c>
      <c r="M896">
        <v>5429218687</v>
      </c>
      <c r="N896">
        <v>4980303549</v>
      </c>
      <c r="O896">
        <v>4195086670</v>
      </c>
      <c r="P896">
        <v>476</v>
      </c>
      <c r="Q896" t="s">
        <v>2040</v>
      </c>
    </row>
    <row r="897" spans="1:17" x14ac:dyDescent="0.3">
      <c r="A897" t="s">
        <v>17</v>
      </c>
      <c r="B897" t="str">
        <f>"601155"</f>
        <v>601155</v>
      </c>
      <c r="C897" t="s">
        <v>2041</v>
      </c>
      <c r="D897" t="s">
        <v>30</v>
      </c>
      <c r="F897">
        <v>59309962937</v>
      </c>
      <c r="G897">
        <v>50590791856</v>
      </c>
      <c r="H897">
        <v>38427409669</v>
      </c>
      <c r="I897">
        <v>29493299153</v>
      </c>
      <c r="J897">
        <v>20623563047</v>
      </c>
      <c r="K897">
        <v>14853744113</v>
      </c>
      <c r="L897">
        <v>12087060191</v>
      </c>
      <c r="M897">
        <v>6957495983</v>
      </c>
      <c r="N897">
        <v>6058895083</v>
      </c>
      <c r="O897">
        <v>4418812349</v>
      </c>
      <c r="P897">
        <v>7593</v>
      </c>
      <c r="Q897" t="s">
        <v>2042</v>
      </c>
    </row>
    <row r="898" spans="1:17" x14ac:dyDescent="0.3">
      <c r="A898" t="s">
        <v>17</v>
      </c>
      <c r="B898" t="str">
        <f>"601156"</f>
        <v>601156</v>
      </c>
      <c r="C898" t="s">
        <v>2043</v>
      </c>
      <c r="D898" t="s">
        <v>287</v>
      </c>
      <c r="F898">
        <v>10979502077</v>
      </c>
      <c r="G898">
        <v>5227700519</v>
      </c>
      <c r="H898">
        <v>3373200047</v>
      </c>
      <c r="I898">
        <v>2960603268</v>
      </c>
      <c r="J898">
        <v>2293209237</v>
      </c>
      <c r="P898">
        <v>105</v>
      </c>
      <c r="Q898" t="s">
        <v>2044</v>
      </c>
    </row>
    <row r="899" spans="1:17" x14ac:dyDescent="0.3">
      <c r="A899" t="s">
        <v>17</v>
      </c>
      <c r="B899" t="str">
        <f>"601158"</f>
        <v>601158</v>
      </c>
      <c r="C899" t="s">
        <v>2045</v>
      </c>
      <c r="D899" t="s">
        <v>33</v>
      </c>
      <c r="F899">
        <v>16434352469</v>
      </c>
      <c r="G899">
        <v>15522660334</v>
      </c>
      <c r="H899">
        <v>15147071939</v>
      </c>
      <c r="I899">
        <v>14142048883</v>
      </c>
      <c r="J899">
        <v>14176315437</v>
      </c>
      <c r="K899">
        <v>13413220485</v>
      </c>
      <c r="L899">
        <v>13594784291</v>
      </c>
      <c r="M899">
        <v>13246442209</v>
      </c>
      <c r="N899">
        <v>13028162085</v>
      </c>
      <c r="O899">
        <v>12389378906</v>
      </c>
      <c r="P899">
        <v>587</v>
      </c>
      <c r="Q899" t="s">
        <v>2046</v>
      </c>
    </row>
    <row r="900" spans="1:17" x14ac:dyDescent="0.3">
      <c r="A900" t="s">
        <v>17</v>
      </c>
      <c r="B900" t="str">
        <f>"601162"</f>
        <v>601162</v>
      </c>
      <c r="C900" t="s">
        <v>2047</v>
      </c>
      <c r="D900" t="s">
        <v>80</v>
      </c>
      <c r="F900">
        <v>25122071437</v>
      </c>
      <c r="G900">
        <v>17460091858</v>
      </c>
      <c r="H900">
        <v>12123150063</v>
      </c>
      <c r="I900">
        <v>12321687406</v>
      </c>
      <c r="J900">
        <v>11203315342</v>
      </c>
      <c r="K900">
        <v>10725194751</v>
      </c>
      <c r="L900">
        <v>9184892164</v>
      </c>
      <c r="M900">
        <v>2972295673</v>
      </c>
      <c r="N900">
        <v>1843088716</v>
      </c>
      <c r="O900">
        <v>1760618039</v>
      </c>
      <c r="P900">
        <v>897</v>
      </c>
      <c r="Q900" t="s">
        <v>2048</v>
      </c>
    </row>
    <row r="901" spans="1:17" x14ac:dyDescent="0.3">
      <c r="A901" t="s">
        <v>17</v>
      </c>
      <c r="B901" t="str">
        <f>"601163"</f>
        <v>601163</v>
      </c>
      <c r="C901" t="s">
        <v>2049</v>
      </c>
      <c r="D901" t="s">
        <v>422</v>
      </c>
      <c r="F901">
        <v>11145136308</v>
      </c>
      <c r="G901">
        <v>10860093304</v>
      </c>
      <c r="H901">
        <v>10070893005</v>
      </c>
      <c r="I901">
        <v>9372018216</v>
      </c>
      <c r="J901">
        <v>8007295727</v>
      </c>
      <c r="K901">
        <v>7841029129</v>
      </c>
      <c r="L901">
        <v>2733443676</v>
      </c>
      <c r="M901">
        <v>2829004913</v>
      </c>
      <c r="N901">
        <v>3015842242</v>
      </c>
      <c r="P901">
        <v>224</v>
      </c>
      <c r="Q901" t="s">
        <v>2050</v>
      </c>
    </row>
    <row r="902" spans="1:17" x14ac:dyDescent="0.3">
      <c r="A902" t="s">
        <v>17</v>
      </c>
      <c r="B902" t="str">
        <f>"601166"</f>
        <v>601166</v>
      </c>
      <c r="C902" t="s">
        <v>2051</v>
      </c>
      <c r="D902" t="s">
        <v>19</v>
      </c>
      <c r="F902">
        <v>595151000000</v>
      </c>
      <c r="G902">
        <v>529784000000</v>
      </c>
      <c r="H902">
        <v>485518000000</v>
      </c>
      <c r="I902">
        <v>440048000000</v>
      </c>
      <c r="J902">
        <v>390990000000</v>
      </c>
      <c r="K902">
        <v>324224000000</v>
      </c>
      <c r="L902">
        <v>313648000000</v>
      </c>
      <c r="M902">
        <v>244976000000</v>
      </c>
      <c r="N902">
        <v>199769000000</v>
      </c>
      <c r="O902">
        <v>169577000000</v>
      </c>
      <c r="P902">
        <v>24372</v>
      </c>
      <c r="Q902" t="s">
        <v>2052</v>
      </c>
    </row>
    <row r="903" spans="1:17" x14ac:dyDescent="0.3">
      <c r="A903" t="s">
        <v>17</v>
      </c>
      <c r="B903" t="str">
        <f>"601168"</f>
        <v>601168</v>
      </c>
      <c r="C903" t="s">
        <v>2053</v>
      </c>
      <c r="D903" t="s">
        <v>263</v>
      </c>
      <c r="F903">
        <v>13291436306</v>
      </c>
      <c r="G903">
        <v>10910288869</v>
      </c>
      <c r="H903">
        <v>10033514335</v>
      </c>
      <c r="I903">
        <v>8778949510</v>
      </c>
      <c r="J903">
        <v>11452208180</v>
      </c>
      <c r="K903">
        <v>11477620992</v>
      </c>
      <c r="L903">
        <v>11376050430</v>
      </c>
      <c r="M903">
        <v>11369035776</v>
      </c>
      <c r="N903">
        <v>11355349684</v>
      </c>
      <c r="O903">
        <v>11253393980</v>
      </c>
      <c r="P903">
        <v>392</v>
      </c>
      <c r="Q903" t="s">
        <v>2054</v>
      </c>
    </row>
    <row r="904" spans="1:17" x14ac:dyDescent="0.3">
      <c r="A904" t="s">
        <v>17</v>
      </c>
      <c r="B904" t="str">
        <f>"601169"</f>
        <v>601169</v>
      </c>
      <c r="C904" t="s">
        <v>2055</v>
      </c>
      <c r="D904" t="s">
        <v>1842</v>
      </c>
      <c r="F904">
        <v>217223000000</v>
      </c>
      <c r="G904">
        <v>201378000000</v>
      </c>
      <c r="H904">
        <v>189288000000</v>
      </c>
      <c r="I904">
        <v>174609000000</v>
      </c>
      <c r="J904">
        <v>157003000000</v>
      </c>
      <c r="K904">
        <v>124279000000</v>
      </c>
      <c r="L904">
        <v>116551000000</v>
      </c>
      <c r="M904">
        <v>95903000000</v>
      </c>
      <c r="N904">
        <v>78114012000</v>
      </c>
      <c r="O904">
        <v>71616786000</v>
      </c>
      <c r="P904">
        <v>16385</v>
      </c>
      <c r="Q904" t="s">
        <v>2056</v>
      </c>
    </row>
    <row r="905" spans="1:17" x14ac:dyDescent="0.3">
      <c r="A905" t="s">
        <v>17</v>
      </c>
      <c r="B905" t="str">
        <f>"601177"</f>
        <v>601177</v>
      </c>
      <c r="C905" t="s">
        <v>2057</v>
      </c>
      <c r="D905" t="s">
        <v>274</v>
      </c>
      <c r="F905">
        <v>1941328945</v>
      </c>
      <c r="G905">
        <v>1720478647</v>
      </c>
      <c r="H905">
        <v>1650218055</v>
      </c>
      <c r="I905">
        <v>1634779483</v>
      </c>
      <c r="J905">
        <v>1606639647</v>
      </c>
      <c r="K905">
        <v>1610443563</v>
      </c>
      <c r="L905">
        <v>1616640925</v>
      </c>
      <c r="M905">
        <v>1736315019</v>
      </c>
      <c r="N905">
        <v>1720933517</v>
      </c>
      <c r="O905">
        <v>1710934087</v>
      </c>
      <c r="P905">
        <v>74</v>
      </c>
      <c r="Q905" t="s">
        <v>2058</v>
      </c>
    </row>
    <row r="906" spans="1:17" x14ac:dyDescent="0.3">
      <c r="A906" t="s">
        <v>17</v>
      </c>
      <c r="B906" t="str">
        <f>"601179"</f>
        <v>601179</v>
      </c>
      <c r="C906" t="s">
        <v>2059</v>
      </c>
      <c r="D906" t="s">
        <v>210</v>
      </c>
      <c r="F906">
        <v>20541751704</v>
      </c>
      <c r="G906">
        <v>19815190151</v>
      </c>
      <c r="H906">
        <v>19825113510</v>
      </c>
      <c r="I906">
        <v>19637536289</v>
      </c>
      <c r="J906">
        <v>19332307431</v>
      </c>
      <c r="K906">
        <v>18994358350</v>
      </c>
      <c r="L906">
        <v>18434922621</v>
      </c>
      <c r="M906">
        <v>18025888739</v>
      </c>
      <c r="N906">
        <v>17684312267</v>
      </c>
      <c r="O906">
        <v>14070849234</v>
      </c>
      <c r="P906">
        <v>329</v>
      </c>
      <c r="Q906" t="s">
        <v>2060</v>
      </c>
    </row>
    <row r="907" spans="1:17" x14ac:dyDescent="0.3">
      <c r="A907" t="s">
        <v>17</v>
      </c>
      <c r="B907" t="str">
        <f>"601186"</f>
        <v>601186</v>
      </c>
      <c r="C907" t="s">
        <v>2061</v>
      </c>
      <c r="D907" t="s">
        <v>101</v>
      </c>
      <c r="F907">
        <v>205535486000</v>
      </c>
      <c r="G907">
        <v>186039359000</v>
      </c>
      <c r="H907">
        <v>169770581000</v>
      </c>
      <c r="I907">
        <v>149496990000</v>
      </c>
      <c r="J907">
        <v>136011750000</v>
      </c>
      <c r="K907">
        <v>122786839000</v>
      </c>
      <c r="L907">
        <v>111664991000</v>
      </c>
      <c r="M907">
        <v>90935729000</v>
      </c>
      <c r="N907">
        <v>80986894000</v>
      </c>
      <c r="O907">
        <v>71963667000</v>
      </c>
      <c r="P907">
        <v>1361</v>
      </c>
      <c r="Q907" t="s">
        <v>2062</v>
      </c>
    </row>
    <row r="908" spans="1:17" x14ac:dyDescent="0.3">
      <c r="A908" t="s">
        <v>17</v>
      </c>
      <c r="B908" t="str">
        <f>"601187"</f>
        <v>601187</v>
      </c>
      <c r="C908" t="s">
        <v>2063</v>
      </c>
      <c r="D908" t="s">
        <v>1842</v>
      </c>
      <c r="F908">
        <v>20258725848</v>
      </c>
      <c r="G908">
        <v>18363843192</v>
      </c>
      <c r="H908">
        <v>15295485180</v>
      </c>
      <c r="I908">
        <v>13703629095</v>
      </c>
      <c r="J908">
        <v>12052771278</v>
      </c>
      <c r="K908">
        <v>9016096000</v>
      </c>
      <c r="L908">
        <v>8228086000</v>
      </c>
      <c r="M908">
        <v>6251684000</v>
      </c>
      <c r="N908">
        <v>4687512487</v>
      </c>
      <c r="O908">
        <v>4382628611</v>
      </c>
      <c r="P908">
        <v>177</v>
      </c>
      <c r="Q908" t="s">
        <v>2064</v>
      </c>
    </row>
    <row r="909" spans="1:17" x14ac:dyDescent="0.3">
      <c r="A909" t="s">
        <v>17</v>
      </c>
      <c r="B909" t="str">
        <f>"601188"</f>
        <v>601188</v>
      </c>
      <c r="C909" t="s">
        <v>2065</v>
      </c>
      <c r="D909" t="s">
        <v>44</v>
      </c>
      <c r="F909">
        <v>4502302098</v>
      </c>
      <c r="G909">
        <v>4496866833</v>
      </c>
      <c r="H909">
        <v>4491689559</v>
      </c>
      <c r="I909">
        <v>4218956877</v>
      </c>
      <c r="J909">
        <v>4008869351</v>
      </c>
      <c r="K909">
        <v>3756752046</v>
      </c>
      <c r="L909">
        <v>3594994269</v>
      </c>
      <c r="M909">
        <v>3392528962</v>
      </c>
      <c r="N909">
        <v>3201513359</v>
      </c>
      <c r="O909">
        <v>2627087132</v>
      </c>
      <c r="P909">
        <v>124</v>
      </c>
      <c r="Q909" t="s">
        <v>2066</v>
      </c>
    </row>
    <row r="910" spans="1:17" x14ac:dyDescent="0.3">
      <c r="A910" t="s">
        <v>17</v>
      </c>
      <c r="B910" t="str">
        <f>"601198"</f>
        <v>601198</v>
      </c>
      <c r="C910" t="s">
        <v>2067</v>
      </c>
      <c r="D910" t="s">
        <v>80</v>
      </c>
      <c r="F910">
        <v>26658735548</v>
      </c>
      <c r="G910">
        <v>21147991350</v>
      </c>
      <c r="H910">
        <v>20292487586</v>
      </c>
      <c r="I910">
        <v>19640604705</v>
      </c>
      <c r="J910">
        <v>19218975345</v>
      </c>
      <c r="K910">
        <v>18318461708</v>
      </c>
      <c r="L910">
        <v>13585014857</v>
      </c>
      <c r="M910">
        <v>7435088637</v>
      </c>
      <c r="N910">
        <v>6052602687</v>
      </c>
      <c r="O910">
        <v>5368993659</v>
      </c>
      <c r="P910">
        <v>814</v>
      </c>
      <c r="Q910" t="s">
        <v>2068</v>
      </c>
    </row>
    <row r="911" spans="1:17" x14ac:dyDescent="0.3">
      <c r="A911" t="s">
        <v>17</v>
      </c>
      <c r="B911" t="str">
        <f>"601199"</f>
        <v>601199</v>
      </c>
      <c r="C911" t="s">
        <v>2069</v>
      </c>
      <c r="D911" t="s">
        <v>33</v>
      </c>
      <c r="F911">
        <v>3295848975</v>
      </c>
      <c r="G911">
        <v>3077523473</v>
      </c>
      <c r="H911">
        <v>2909508004</v>
      </c>
      <c r="I911">
        <v>2732867446</v>
      </c>
      <c r="J911">
        <v>2608095444</v>
      </c>
      <c r="K911">
        <v>2452760908</v>
      </c>
      <c r="L911">
        <v>2199697926</v>
      </c>
      <c r="M911">
        <v>1978066782</v>
      </c>
      <c r="N911">
        <v>1840710114</v>
      </c>
      <c r="O911">
        <v>1750455530</v>
      </c>
      <c r="P911">
        <v>186</v>
      </c>
      <c r="Q911" t="s">
        <v>2070</v>
      </c>
    </row>
    <row r="912" spans="1:17" x14ac:dyDescent="0.3">
      <c r="A912" t="s">
        <v>17</v>
      </c>
      <c r="B912" t="str">
        <f>"601200"</f>
        <v>601200</v>
      </c>
      <c r="C912" t="s">
        <v>2071</v>
      </c>
      <c r="D912" t="s">
        <v>499</v>
      </c>
      <c r="F912">
        <v>9842898450</v>
      </c>
      <c r="G912">
        <v>9251908656</v>
      </c>
      <c r="H912">
        <v>6470389512</v>
      </c>
      <c r="I912">
        <v>5920627056</v>
      </c>
      <c r="J912">
        <v>5398952628</v>
      </c>
      <c r="K912">
        <v>4893005142</v>
      </c>
      <c r="P912">
        <v>326</v>
      </c>
      <c r="Q912" t="s">
        <v>2072</v>
      </c>
    </row>
    <row r="913" spans="1:17" x14ac:dyDescent="0.3">
      <c r="A913" t="s">
        <v>17</v>
      </c>
      <c r="B913" t="str">
        <f>"601206"</f>
        <v>601206</v>
      </c>
      <c r="C913" t="s">
        <v>2073</v>
      </c>
      <c r="D913" t="s">
        <v>2074</v>
      </c>
      <c r="L913">
        <v>669221384</v>
      </c>
      <c r="M913">
        <v>559766862</v>
      </c>
      <c r="N913">
        <v>493174390</v>
      </c>
      <c r="P913">
        <v>19</v>
      </c>
      <c r="Q913" t="s">
        <v>2075</v>
      </c>
    </row>
    <row r="914" spans="1:17" x14ac:dyDescent="0.3">
      <c r="A914" t="s">
        <v>17</v>
      </c>
      <c r="B914" t="str">
        <f>"601208"</f>
        <v>601208</v>
      </c>
      <c r="C914" t="s">
        <v>2076</v>
      </c>
      <c r="D914" t="s">
        <v>324</v>
      </c>
      <c r="F914">
        <v>3588528924</v>
      </c>
      <c r="G914">
        <v>2517527775</v>
      </c>
      <c r="H914">
        <v>2324151416</v>
      </c>
      <c r="I914">
        <v>2350782939</v>
      </c>
      <c r="J914">
        <v>2321680021</v>
      </c>
      <c r="K914">
        <v>2280606729</v>
      </c>
      <c r="L914">
        <v>2217700025</v>
      </c>
      <c r="M914">
        <v>2212905923</v>
      </c>
      <c r="N914">
        <v>2093465867</v>
      </c>
      <c r="O914">
        <v>2146120173</v>
      </c>
      <c r="P914">
        <v>3074</v>
      </c>
      <c r="Q914" t="s">
        <v>2077</v>
      </c>
    </row>
    <row r="915" spans="1:17" x14ac:dyDescent="0.3">
      <c r="A915" t="s">
        <v>17</v>
      </c>
      <c r="B915" t="str">
        <f>"601211"</f>
        <v>601211</v>
      </c>
      <c r="C915" t="s">
        <v>2078</v>
      </c>
      <c r="D915" t="s">
        <v>80</v>
      </c>
      <c r="F915">
        <v>136052008309</v>
      </c>
      <c r="G915">
        <v>126281598746</v>
      </c>
      <c r="H915">
        <v>121371690832</v>
      </c>
      <c r="I915">
        <v>112320243485</v>
      </c>
      <c r="J915">
        <v>111998141570</v>
      </c>
      <c r="K915">
        <v>89964418051</v>
      </c>
      <c r="L915">
        <v>85324414670</v>
      </c>
      <c r="M915">
        <v>42040468085</v>
      </c>
      <c r="N915">
        <v>34065165639</v>
      </c>
      <c r="O915">
        <v>31722698597</v>
      </c>
      <c r="P915">
        <v>3571</v>
      </c>
      <c r="Q915" t="s">
        <v>2079</v>
      </c>
    </row>
    <row r="916" spans="1:17" x14ac:dyDescent="0.3">
      <c r="A916" t="s">
        <v>17</v>
      </c>
      <c r="B916" t="str">
        <f>"601212"</f>
        <v>601212</v>
      </c>
      <c r="C916" t="s">
        <v>2080</v>
      </c>
      <c r="D916" t="s">
        <v>2081</v>
      </c>
      <c r="F916">
        <v>14232367297</v>
      </c>
      <c r="G916">
        <v>15255744523</v>
      </c>
      <c r="H916">
        <v>14065491593</v>
      </c>
      <c r="I916">
        <v>9658699221</v>
      </c>
      <c r="J916">
        <v>10366330880</v>
      </c>
      <c r="K916">
        <v>11122092171</v>
      </c>
      <c r="L916">
        <v>11220050274</v>
      </c>
      <c r="M916">
        <v>11573003332</v>
      </c>
      <c r="N916">
        <v>11919438694</v>
      </c>
      <c r="P916">
        <v>185</v>
      </c>
      <c r="Q916" t="s">
        <v>2082</v>
      </c>
    </row>
    <row r="917" spans="1:17" x14ac:dyDescent="0.3">
      <c r="A917" t="s">
        <v>17</v>
      </c>
      <c r="B917" t="str">
        <f>"601216"</f>
        <v>601216</v>
      </c>
      <c r="C917" t="s">
        <v>2083</v>
      </c>
      <c r="D917" t="s">
        <v>175</v>
      </c>
      <c r="F917">
        <v>22658450377</v>
      </c>
      <c r="G917">
        <v>20752563371</v>
      </c>
      <c r="H917">
        <v>18924126854</v>
      </c>
      <c r="I917">
        <v>16397760076</v>
      </c>
      <c r="J917">
        <v>15748751550</v>
      </c>
      <c r="K917">
        <v>13668888116</v>
      </c>
      <c r="L917">
        <v>12206600744</v>
      </c>
      <c r="M917">
        <v>6486340694</v>
      </c>
      <c r="N917">
        <v>5857647925</v>
      </c>
      <c r="O917">
        <v>5375470885</v>
      </c>
      <c r="P917">
        <v>958</v>
      </c>
      <c r="Q917" t="s">
        <v>2084</v>
      </c>
    </row>
    <row r="918" spans="1:17" x14ac:dyDescent="0.3">
      <c r="A918" t="s">
        <v>17</v>
      </c>
      <c r="B918" t="str">
        <f>"601218"</f>
        <v>601218</v>
      </c>
      <c r="C918" t="s">
        <v>2085</v>
      </c>
      <c r="D918" t="s">
        <v>950</v>
      </c>
      <c r="F918">
        <v>2736741460</v>
      </c>
      <c r="G918">
        <v>2722838898</v>
      </c>
      <c r="H918">
        <v>2498511779</v>
      </c>
      <c r="I918">
        <v>2483215856</v>
      </c>
      <c r="J918">
        <v>2552392219</v>
      </c>
      <c r="K918">
        <v>2546318187</v>
      </c>
      <c r="L918">
        <v>2443787513</v>
      </c>
      <c r="M918">
        <v>2344989385</v>
      </c>
      <c r="N918">
        <v>2252131963</v>
      </c>
      <c r="O918">
        <v>2232159813</v>
      </c>
      <c r="P918">
        <v>146</v>
      </c>
      <c r="Q918" t="s">
        <v>2086</v>
      </c>
    </row>
    <row r="919" spans="1:17" x14ac:dyDescent="0.3">
      <c r="A919" t="s">
        <v>17</v>
      </c>
      <c r="B919" t="str">
        <f>"601222"</f>
        <v>601222</v>
      </c>
      <c r="C919" t="s">
        <v>2087</v>
      </c>
      <c r="D919" t="s">
        <v>86</v>
      </c>
      <c r="F919">
        <v>14440127138</v>
      </c>
      <c r="G919">
        <v>10316257198</v>
      </c>
      <c r="H919">
        <v>9641956895</v>
      </c>
      <c r="I919">
        <v>9281790370</v>
      </c>
      <c r="J919">
        <v>8673470944</v>
      </c>
      <c r="K919">
        <v>8119910351</v>
      </c>
      <c r="L919">
        <v>4989248374</v>
      </c>
      <c r="M919">
        <v>2947130021</v>
      </c>
      <c r="N919">
        <v>2608148523</v>
      </c>
      <c r="O919">
        <v>2355528422</v>
      </c>
      <c r="P919">
        <v>556</v>
      </c>
      <c r="Q919" t="s">
        <v>2088</v>
      </c>
    </row>
    <row r="920" spans="1:17" x14ac:dyDescent="0.3">
      <c r="A920" t="s">
        <v>17</v>
      </c>
      <c r="B920" t="str">
        <f>"601225"</f>
        <v>601225</v>
      </c>
      <c r="C920" t="s">
        <v>2089</v>
      </c>
      <c r="D920" t="s">
        <v>292</v>
      </c>
      <c r="F920">
        <v>85385178902</v>
      </c>
      <c r="G920">
        <v>70232567733</v>
      </c>
      <c r="H920">
        <v>58253796499</v>
      </c>
      <c r="I920">
        <v>50664412583</v>
      </c>
      <c r="J920">
        <v>44224379043</v>
      </c>
      <c r="K920">
        <v>34317373508</v>
      </c>
      <c r="L920">
        <v>31179302291</v>
      </c>
      <c r="M920">
        <v>34499675557</v>
      </c>
      <c r="N920">
        <v>30914408849</v>
      </c>
      <c r="O920">
        <v>29645340001</v>
      </c>
      <c r="P920">
        <v>2634</v>
      </c>
      <c r="Q920" t="s">
        <v>2090</v>
      </c>
    </row>
    <row r="921" spans="1:17" x14ac:dyDescent="0.3">
      <c r="A921" t="s">
        <v>17</v>
      </c>
      <c r="B921" t="str">
        <f>"601226"</f>
        <v>601226</v>
      </c>
      <c r="C921" t="s">
        <v>2091</v>
      </c>
      <c r="D921" t="s">
        <v>1992</v>
      </c>
      <c r="F921">
        <v>3974259570</v>
      </c>
      <c r="G921">
        <v>3698307888</v>
      </c>
      <c r="H921">
        <v>3624607232</v>
      </c>
      <c r="I921">
        <v>3561231161</v>
      </c>
      <c r="J921">
        <v>3515203215</v>
      </c>
      <c r="K921">
        <v>3476981709</v>
      </c>
      <c r="L921">
        <v>3688053429</v>
      </c>
      <c r="M921">
        <v>3541234793</v>
      </c>
      <c r="N921">
        <v>1728589723</v>
      </c>
      <c r="O921">
        <v>1366832936</v>
      </c>
      <c r="P921">
        <v>114</v>
      </c>
      <c r="Q921" t="s">
        <v>2092</v>
      </c>
    </row>
    <row r="922" spans="1:17" x14ac:dyDescent="0.3">
      <c r="A922" t="s">
        <v>17</v>
      </c>
      <c r="B922" t="str">
        <f>"601228"</f>
        <v>601228</v>
      </c>
      <c r="C922" t="s">
        <v>2093</v>
      </c>
      <c r="D922" t="s">
        <v>51</v>
      </c>
      <c r="F922">
        <v>14680863512</v>
      </c>
      <c r="G922">
        <v>13803110431</v>
      </c>
      <c r="H922">
        <v>13215552611</v>
      </c>
      <c r="I922">
        <v>12559893480</v>
      </c>
      <c r="J922">
        <v>12079901799</v>
      </c>
      <c r="K922">
        <v>9996328232</v>
      </c>
      <c r="L922">
        <v>9459353829</v>
      </c>
      <c r="M922">
        <v>9006031731</v>
      </c>
      <c r="P922">
        <v>189</v>
      </c>
      <c r="Q922" t="s">
        <v>2094</v>
      </c>
    </row>
    <row r="923" spans="1:17" x14ac:dyDescent="0.3">
      <c r="A923" t="s">
        <v>17</v>
      </c>
      <c r="B923" t="str">
        <f>"601229"</f>
        <v>601229</v>
      </c>
      <c r="C923" t="s">
        <v>2095</v>
      </c>
      <c r="D923" t="s">
        <v>1842</v>
      </c>
      <c r="F923">
        <v>184880272000</v>
      </c>
      <c r="G923">
        <v>170440720000</v>
      </c>
      <c r="H923">
        <v>156751442000</v>
      </c>
      <c r="I923">
        <v>141319379000</v>
      </c>
      <c r="J923">
        <v>127027966000</v>
      </c>
      <c r="K923">
        <v>115769223000</v>
      </c>
      <c r="L923">
        <v>92390498000</v>
      </c>
      <c r="M923">
        <v>73970341000</v>
      </c>
      <c r="N923">
        <v>55954833000</v>
      </c>
      <c r="O923">
        <v>41953981000</v>
      </c>
      <c r="P923">
        <v>1546</v>
      </c>
      <c r="Q923" t="s">
        <v>2096</v>
      </c>
    </row>
    <row r="924" spans="1:17" x14ac:dyDescent="0.3">
      <c r="A924" t="s">
        <v>17</v>
      </c>
      <c r="B924" t="str">
        <f>"601231"</f>
        <v>601231</v>
      </c>
      <c r="C924" t="s">
        <v>2097</v>
      </c>
      <c r="D924" t="s">
        <v>313</v>
      </c>
      <c r="F924">
        <v>12672058091</v>
      </c>
      <c r="G924">
        <v>12049820180</v>
      </c>
      <c r="H924">
        <v>10275615668</v>
      </c>
      <c r="I924">
        <v>9408033114</v>
      </c>
      <c r="J924">
        <v>8631300443</v>
      </c>
      <c r="K924">
        <v>7534884493</v>
      </c>
      <c r="L924">
        <v>6809000814</v>
      </c>
      <c r="M924">
        <v>6326083922</v>
      </c>
      <c r="N924">
        <v>3801032971</v>
      </c>
      <c r="O924">
        <v>3443228789</v>
      </c>
      <c r="P924">
        <v>735</v>
      </c>
      <c r="Q924" t="s">
        <v>2098</v>
      </c>
    </row>
    <row r="925" spans="1:17" x14ac:dyDescent="0.3">
      <c r="A925" t="s">
        <v>17</v>
      </c>
      <c r="B925" t="str">
        <f>"601233"</f>
        <v>601233</v>
      </c>
      <c r="C925" t="s">
        <v>2099</v>
      </c>
      <c r="D925" t="s">
        <v>1617</v>
      </c>
      <c r="F925">
        <v>35836258510</v>
      </c>
      <c r="G925">
        <v>25506330781</v>
      </c>
      <c r="H925">
        <v>18315733245</v>
      </c>
      <c r="I925">
        <v>15316041925</v>
      </c>
      <c r="J925">
        <v>13380489932</v>
      </c>
      <c r="K925">
        <v>10974969001</v>
      </c>
      <c r="L925">
        <v>6945383073</v>
      </c>
      <c r="M925">
        <v>6830573552</v>
      </c>
      <c r="N925">
        <v>6716855999</v>
      </c>
      <c r="O925">
        <v>6770048084</v>
      </c>
      <c r="P925">
        <v>807</v>
      </c>
      <c r="Q925" t="s">
        <v>2100</v>
      </c>
    </row>
    <row r="926" spans="1:17" x14ac:dyDescent="0.3">
      <c r="A926" t="s">
        <v>17</v>
      </c>
      <c r="B926" t="str">
        <f>"601236"</f>
        <v>601236</v>
      </c>
      <c r="C926" t="s">
        <v>2101</v>
      </c>
      <c r="D926" t="s">
        <v>80</v>
      </c>
      <c r="F926">
        <v>23294936309</v>
      </c>
      <c r="G926">
        <v>14423044838</v>
      </c>
      <c r="H926">
        <v>13377950313</v>
      </c>
      <c r="I926">
        <v>11306096212</v>
      </c>
      <c r="J926">
        <v>10925052276</v>
      </c>
      <c r="K926">
        <v>11154971668</v>
      </c>
      <c r="L926">
        <v>11427548000</v>
      </c>
      <c r="M926">
        <v>6138480600</v>
      </c>
      <c r="N926">
        <v>5729398871</v>
      </c>
      <c r="O926">
        <v>3725552281</v>
      </c>
      <c r="P926">
        <v>879</v>
      </c>
      <c r="Q926" t="s">
        <v>2102</v>
      </c>
    </row>
    <row r="927" spans="1:17" x14ac:dyDescent="0.3">
      <c r="A927" t="s">
        <v>17</v>
      </c>
      <c r="B927" t="str">
        <f>"601238"</f>
        <v>601238</v>
      </c>
      <c r="C927" t="s">
        <v>2103</v>
      </c>
      <c r="D927" t="s">
        <v>247</v>
      </c>
      <c r="F927">
        <v>90035420654</v>
      </c>
      <c r="G927">
        <v>84080365554</v>
      </c>
      <c r="H927">
        <v>79893143892</v>
      </c>
      <c r="I927">
        <v>76308886315</v>
      </c>
      <c r="J927">
        <v>69129219669</v>
      </c>
      <c r="K927">
        <v>43417888531</v>
      </c>
      <c r="L927">
        <v>38592624842</v>
      </c>
      <c r="M927">
        <v>35319271248</v>
      </c>
      <c r="N927">
        <v>33257808312</v>
      </c>
      <c r="O927">
        <v>31089854024</v>
      </c>
      <c r="P927">
        <v>1300</v>
      </c>
      <c r="Q927" t="s">
        <v>2104</v>
      </c>
    </row>
    <row r="928" spans="1:17" x14ac:dyDescent="0.3">
      <c r="A928" t="s">
        <v>17</v>
      </c>
      <c r="B928" t="str">
        <f>"601258"</f>
        <v>601258</v>
      </c>
      <c r="C928" t="s">
        <v>2105</v>
      </c>
      <c r="D928" t="s">
        <v>672</v>
      </c>
      <c r="F928">
        <v>11717237976</v>
      </c>
      <c r="G928">
        <v>10990303011</v>
      </c>
      <c r="H928">
        <v>10506068017</v>
      </c>
      <c r="I928">
        <v>6415324013</v>
      </c>
      <c r="J928">
        <v>13289025426</v>
      </c>
      <c r="K928">
        <v>13011616651</v>
      </c>
      <c r="L928">
        <v>12411410612</v>
      </c>
      <c r="M928">
        <v>12132358277</v>
      </c>
      <c r="N928">
        <v>9038863000</v>
      </c>
      <c r="O928">
        <v>8828708758</v>
      </c>
      <c r="P928">
        <v>133</v>
      </c>
      <c r="Q928" t="s">
        <v>2106</v>
      </c>
    </row>
    <row r="929" spans="1:17" x14ac:dyDescent="0.3">
      <c r="A929" t="s">
        <v>17</v>
      </c>
      <c r="B929" t="str">
        <f>"601268"</f>
        <v>601268</v>
      </c>
      <c r="C929" t="s">
        <v>2107</v>
      </c>
      <c r="K929">
        <v>749546241.24000001</v>
      </c>
      <c r="L929">
        <v>393600654.69999999</v>
      </c>
      <c r="M929">
        <v>-6076501671.2299995</v>
      </c>
      <c r="N929">
        <v>1816602426.3399999</v>
      </c>
      <c r="O929">
        <v>5016349216.3699999</v>
      </c>
      <c r="P929">
        <v>2</v>
      </c>
      <c r="Q929" t="s">
        <v>2108</v>
      </c>
    </row>
    <row r="930" spans="1:17" x14ac:dyDescent="0.3">
      <c r="A930" t="s">
        <v>17</v>
      </c>
      <c r="B930" t="str">
        <f>"601279"</f>
        <v>601279</v>
      </c>
      <c r="C930" t="s">
        <v>2109</v>
      </c>
      <c r="D930" t="s">
        <v>985</v>
      </c>
      <c r="F930">
        <v>3643212877</v>
      </c>
      <c r="G930">
        <v>3250219975</v>
      </c>
      <c r="H930">
        <v>3085764205</v>
      </c>
      <c r="I930">
        <v>2930067754</v>
      </c>
      <c r="J930">
        <v>2272660295</v>
      </c>
      <c r="K930">
        <v>1960520445</v>
      </c>
      <c r="P930">
        <v>43</v>
      </c>
      <c r="Q930" t="s">
        <v>2110</v>
      </c>
    </row>
    <row r="931" spans="1:17" x14ac:dyDescent="0.3">
      <c r="A931" t="s">
        <v>17</v>
      </c>
      <c r="B931" t="str">
        <f>"601288"</f>
        <v>601288</v>
      </c>
      <c r="C931" t="s">
        <v>2111</v>
      </c>
      <c r="D931" t="s">
        <v>2112</v>
      </c>
      <c r="F931">
        <v>2054733000000</v>
      </c>
      <c r="G931">
        <v>1884914000000</v>
      </c>
      <c r="H931">
        <v>1748469000000</v>
      </c>
      <c r="I931">
        <v>1590395000000</v>
      </c>
      <c r="J931">
        <v>1346516000000</v>
      </c>
      <c r="K931">
        <v>1238294000000</v>
      </c>
      <c r="L931">
        <v>1130192000000</v>
      </c>
      <c r="M931">
        <v>991122000000</v>
      </c>
      <c r="N931">
        <v>843108000000</v>
      </c>
      <c r="O931">
        <v>749815000000</v>
      </c>
      <c r="P931">
        <v>9498</v>
      </c>
      <c r="Q931" t="s">
        <v>2113</v>
      </c>
    </row>
    <row r="932" spans="1:17" x14ac:dyDescent="0.3">
      <c r="A932" t="s">
        <v>17</v>
      </c>
      <c r="B932" t="str">
        <f>"601298"</f>
        <v>601298</v>
      </c>
      <c r="C932" t="s">
        <v>2114</v>
      </c>
      <c r="D932" t="s">
        <v>51</v>
      </c>
      <c r="F932">
        <v>34923279817</v>
      </c>
      <c r="G932">
        <v>32996392141</v>
      </c>
      <c r="H932">
        <v>30357380875</v>
      </c>
      <c r="I932">
        <v>26979659259</v>
      </c>
      <c r="J932">
        <v>23554662771</v>
      </c>
      <c r="K932">
        <v>14235723787</v>
      </c>
      <c r="L932">
        <v>12664440496</v>
      </c>
      <c r="P932">
        <v>431</v>
      </c>
      <c r="Q932" t="s">
        <v>2115</v>
      </c>
    </row>
    <row r="933" spans="1:17" x14ac:dyDescent="0.3">
      <c r="A933" t="s">
        <v>17</v>
      </c>
      <c r="B933" t="str">
        <f>"601299"</f>
        <v>601299</v>
      </c>
      <c r="C933" t="s">
        <v>2116</v>
      </c>
      <c r="M933">
        <v>48794117000</v>
      </c>
      <c r="N933">
        <v>37780342000</v>
      </c>
      <c r="O933">
        <v>34815497000</v>
      </c>
      <c r="P933">
        <v>12</v>
      </c>
      <c r="Q933" t="s">
        <v>2117</v>
      </c>
    </row>
    <row r="934" spans="1:17" x14ac:dyDescent="0.3">
      <c r="A934" t="s">
        <v>17</v>
      </c>
      <c r="B934" t="str">
        <f>"601311"</f>
        <v>601311</v>
      </c>
      <c r="C934" t="s">
        <v>2118</v>
      </c>
      <c r="D934" t="s">
        <v>555</v>
      </c>
      <c r="F934">
        <v>8486961227</v>
      </c>
      <c r="G934">
        <v>7330337983</v>
      </c>
      <c r="H934">
        <v>6424142533</v>
      </c>
      <c r="I934">
        <v>5697479121</v>
      </c>
      <c r="J934">
        <v>5260917719</v>
      </c>
      <c r="K934">
        <v>4833256472</v>
      </c>
      <c r="L934">
        <v>4536383764</v>
      </c>
      <c r="M934">
        <v>4021742812</v>
      </c>
      <c r="N934">
        <v>3478835265</v>
      </c>
      <c r="O934">
        <v>3083924298</v>
      </c>
      <c r="P934">
        <v>339</v>
      </c>
      <c r="Q934" t="s">
        <v>2119</v>
      </c>
    </row>
    <row r="935" spans="1:17" x14ac:dyDescent="0.3">
      <c r="A935" t="s">
        <v>17</v>
      </c>
      <c r="B935" t="str">
        <f>"601313"</f>
        <v>601313</v>
      </c>
      <c r="C935" t="s">
        <v>2120</v>
      </c>
      <c r="J935">
        <v>16047980000</v>
      </c>
      <c r="K935">
        <v>1689924616</v>
      </c>
      <c r="L935">
        <v>1578387780.6400001</v>
      </c>
      <c r="M935">
        <v>1518486430.6500001</v>
      </c>
      <c r="N935">
        <v>1371590751.5899999</v>
      </c>
      <c r="O935">
        <v>1311776906.8599999</v>
      </c>
      <c r="P935">
        <v>53</v>
      </c>
      <c r="Q935" t="s">
        <v>2121</v>
      </c>
    </row>
    <row r="936" spans="1:17" x14ac:dyDescent="0.3">
      <c r="A936" t="s">
        <v>17</v>
      </c>
      <c r="B936" t="str">
        <f>"601318"</f>
        <v>601318</v>
      </c>
      <c r="C936" t="s">
        <v>2122</v>
      </c>
      <c r="D936" t="s">
        <v>660</v>
      </c>
      <c r="F936">
        <v>812405000000</v>
      </c>
      <c r="G936">
        <v>762560000000</v>
      </c>
      <c r="H936">
        <v>673161000000</v>
      </c>
      <c r="I936">
        <v>556508000000</v>
      </c>
      <c r="J936">
        <v>473351000000</v>
      </c>
      <c r="K936">
        <v>383449000000</v>
      </c>
      <c r="L936">
        <v>334248000000</v>
      </c>
      <c r="M936">
        <v>289564000000</v>
      </c>
      <c r="N936">
        <v>182709000000</v>
      </c>
      <c r="O936">
        <v>159617000000</v>
      </c>
      <c r="P936">
        <v>27845</v>
      </c>
      <c r="Q936" t="s">
        <v>2123</v>
      </c>
    </row>
    <row r="937" spans="1:17" x14ac:dyDescent="0.3">
      <c r="A937" t="s">
        <v>17</v>
      </c>
      <c r="B937" t="str">
        <f>"601319"</f>
        <v>601319</v>
      </c>
      <c r="C937" t="s">
        <v>2124</v>
      </c>
      <c r="D937" t="s">
        <v>660</v>
      </c>
      <c r="F937">
        <v>219132000000</v>
      </c>
      <c r="G937">
        <v>202194000000</v>
      </c>
      <c r="H937">
        <v>183133000000</v>
      </c>
      <c r="I937">
        <v>152468000000</v>
      </c>
      <c r="J937">
        <v>136919000000</v>
      </c>
      <c r="K937">
        <v>125536000000</v>
      </c>
      <c r="L937">
        <v>115444000000</v>
      </c>
      <c r="P937">
        <v>901</v>
      </c>
      <c r="Q937" t="s">
        <v>2125</v>
      </c>
    </row>
    <row r="938" spans="1:17" x14ac:dyDescent="0.3">
      <c r="A938" t="s">
        <v>17</v>
      </c>
      <c r="B938" t="str">
        <f>"601326"</f>
        <v>601326</v>
      </c>
      <c r="C938" t="s">
        <v>2126</v>
      </c>
      <c r="D938" t="s">
        <v>51</v>
      </c>
      <c r="F938">
        <v>16055346159</v>
      </c>
      <c r="G938">
        <v>15216180503</v>
      </c>
      <c r="H938">
        <v>14610442895</v>
      </c>
      <c r="I938">
        <v>13894972220</v>
      </c>
      <c r="J938">
        <v>13405330049</v>
      </c>
      <c r="K938">
        <v>11436690224</v>
      </c>
      <c r="L938">
        <v>11816032620</v>
      </c>
      <c r="M938">
        <v>12240708370</v>
      </c>
      <c r="P938">
        <v>127</v>
      </c>
      <c r="Q938" t="s">
        <v>2127</v>
      </c>
    </row>
    <row r="939" spans="1:17" x14ac:dyDescent="0.3">
      <c r="A939" t="s">
        <v>17</v>
      </c>
      <c r="B939" t="str">
        <f>"601328"</f>
        <v>601328</v>
      </c>
      <c r="C939" t="s">
        <v>2128</v>
      </c>
      <c r="D939" t="s">
        <v>2112</v>
      </c>
      <c r="F939">
        <v>789857000000</v>
      </c>
      <c r="G939">
        <v>733315000000</v>
      </c>
      <c r="H939">
        <v>693377000000</v>
      </c>
      <c r="I939">
        <v>638529000000</v>
      </c>
      <c r="J939">
        <v>611267000000</v>
      </c>
      <c r="K939">
        <v>569266000000</v>
      </c>
      <c r="L939">
        <v>519961000000</v>
      </c>
      <c r="M939">
        <v>471055000000</v>
      </c>
      <c r="N939">
        <v>419561000000</v>
      </c>
      <c r="O939">
        <v>379918000000</v>
      </c>
      <c r="P939">
        <v>4577</v>
      </c>
      <c r="Q939" t="s">
        <v>2129</v>
      </c>
    </row>
    <row r="940" spans="1:17" x14ac:dyDescent="0.3">
      <c r="A940" t="s">
        <v>17</v>
      </c>
      <c r="B940" t="str">
        <f>"601330"</f>
        <v>601330</v>
      </c>
      <c r="C940" t="s">
        <v>2130</v>
      </c>
      <c r="D940" t="s">
        <v>499</v>
      </c>
      <c r="F940">
        <v>6528089591</v>
      </c>
      <c r="G940">
        <v>5487665900</v>
      </c>
      <c r="H940">
        <v>3296228917</v>
      </c>
      <c r="I940">
        <v>2852412360</v>
      </c>
      <c r="J940">
        <v>2231640176</v>
      </c>
      <c r="K940">
        <v>2093647201</v>
      </c>
      <c r="L940">
        <v>1887755441</v>
      </c>
      <c r="P940">
        <v>234</v>
      </c>
      <c r="Q940" t="s">
        <v>2131</v>
      </c>
    </row>
    <row r="941" spans="1:17" x14ac:dyDescent="0.3">
      <c r="A941" t="s">
        <v>17</v>
      </c>
      <c r="B941" t="str">
        <f>"601333"</f>
        <v>601333</v>
      </c>
      <c r="C941" t="s">
        <v>2132</v>
      </c>
      <c r="D941" t="s">
        <v>301</v>
      </c>
      <c r="F941">
        <v>27241949775</v>
      </c>
      <c r="G941">
        <v>28192839252</v>
      </c>
      <c r="H941">
        <v>29175727345</v>
      </c>
      <c r="I941">
        <v>28852300260</v>
      </c>
      <c r="J941">
        <v>28684676483</v>
      </c>
      <c r="K941">
        <v>28054057540</v>
      </c>
      <c r="L941">
        <v>27462486711</v>
      </c>
      <c r="M941">
        <v>26745840611</v>
      </c>
      <c r="N941">
        <v>26650541872</v>
      </c>
      <c r="O941">
        <v>25945189635</v>
      </c>
      <c r="P941">
        <v>318</v>
      </c>
      <c r="Q941" t="s">
        <v>2133</v>
      </c>
    </row>
    <row r="942" spans="1:17" x14ac:dyDescent="0.3">
      <c r="A942" t="s">
        <v>17</v>
      </c>
      <c r="B942" t="str">
        <f>"601336"</f>
        <v>601336</v>
      </c>
      <c r="C942" t="s">
        <v>2134</v>
      </c>
      <c r="D942" t="s">
        <v>660</v>
      </c>
      <c r="F942">
        <v>108497000000</v>
      </c>
      <c r="G942">
        <v>101667000000</v>
      </c>
      <c r="H942">
        <v>84451000000</v>
      </c>
      <c r="I942">
        <v>65587000000</v>
      </c>
      <c r="J942">
        <v>63715000000</v>
      </c>
      <c r="K942">
        <v>59118000000</v>
      </c>
      <c r="L942">
        <v>57835000000</v>
      </c>
      <c r="M942">
        <v>48359000000</v>
      </c>
      <c r="N942">
        <v>39312000000</v>
      </c>
      <c r="O942">
        <v>35870000000</v>
      </c>
      <c r="P942">
        <v>1856</v>
      </c>
      <c r="Q942" t="s">
        <v>2135</v>
      </c>
    </row>
    <row r="943" spans="1:17" x14ac:dyDescent="0.3">
      <c r="A943" t="s">
        <v>17</v>
      </c>
      <c r="B943" t="str">
        <f>"601339"</f>
        <v>601339</v>
      </c>
      <c r="C943" t="s">
        <v>2136</v>
      </c>
      <c r="D943" t="s">
        <v>1009</v>
      </c>
      <c r="F943">
        <v>8993197325</v>
      </c>
      <c r="G943">
        <v>7892836824</v>
      </c>
      <c r="H943">
        <v>7973621681</v>
      </c>
      <c r="I943">
        <v>7733564821</v>
      </c>
      <c r="J943">
        <v>7265894383</v>
      </c>
      <c r="K943">
        <v>7296531462</v>
      </c>
      <c r="L943">
        <v>6723679133</v>
      </c>
      <c r="M943">
        <v>6536540136</v>
      </c>
      <c r="N943">
        <v>6215993750</v>
      </c>
      <c r="O943">
        <v>5797738130</v>
      </c>
      <c r="P943">
        <v>207</v>
      </c>
      <c r="Q943" t="s">
        <v>2137</v>
      </c>
    </row>
    <row r="944" spans="1:17" x14ac:dyDescent="0.3">
      <c r="A944" t="s">
        <v>17</v>
      </c>
      <c r="B944" t="str">
        <f>"601360"</f>
        <v>601360</v>
      </c>
      <c r="C944" t="s">
        <v>2138</v>
      </c>
      <c r="D944" t="s">
        <v>1189</v>
      </c>
      <c r="F944">
        <v>35006521000</v>
      </c>
      <c r="G944">
        <v>36825916000</v>
      </c>
      <c r="H944">
        <v>28700288000</v>
      </c>
      <c r="I944">
        <v>23982254000</v>
      </c>
      <c r="J944">
        <v>1695148401</v>
      </c>
      <c r="K944">
        <v>1689924616</v>
      </c>
      <c r="L944">
        <v>1578387781</v>
      </c>
      <c r="M944">
        <v>1518486431</v>
      </c>
      <c r="N944">
        <v>1371590752</v>
      </c>
      <c r="O944">
        <v>1311776907</v>
      </c>
      <c r="P944">
        <v>1010</v>
      </c>
      <c r="Q944" t="s">
        <v>2139</v>
      </c>
    </row>
    <row r="945" spans="1:17" x14ac:dyDescent="0.3">
      <c r="A945" t="s">
        <v>17</v>
      </c>
      <c r="B945" t="str">
        <f>"601366"</f>
        <v>601366</v>
      </c>
      <c r="C945" t="s">
        <v>2140</v>
      </c>
      <c r="D945" t="s">
        <v>1404</v>
      </c>
      <c r="F945">
        <v>4251185422</v>
      </c>
      <c r="G945">
        <v>4529427973</v>
      </c>
      <c r="H945">
        <v>4675789405</v>
      </c>
      <c r="I945">
        <v>4568393478</v>
      </c>
      <c r="J945">
        <v>4535409259</v>
      </c>
      <c r="K945">
        <v>2726657301</v>
      </c>
      <c r="L945">
        <v>2467467116</v>
      </c>
      <c r="M945">
        <v>2231977159</v>
      </c>
      <c r="P945">
        <v>132</v>
      </c>
      <c r="Q945" t="s">
        <v>2141</v>
      </c>
    </row>
    <row r="946" spans="1:17" x14ac:dyDescent="0.3">
      <c r="A946" t="s">
        <v>17</v>
      </c>
      <c r="B946" t="str">
        <f>"601368"</f>
        <v>601368</v>
      </c>
      <c r="C946" t="s">
        <v>2142</v>
      </c>
      <c r="D946" t="s">
        <v>33</v>
      </c>
      <c r="F946">
        <v>4579117156</v>
      </c>
      <c r="G946">
        <v>4364776212</v>
      </c>
      <c r="H946">
        <v>4196453330</v>
      </c>
      <c r="I946">
        <v>3242543189</v>
      </c>
      <c r="J946">
        <v>3068496780</v>
      </c>
      <c r="K946">
        <v>2797897941</v>
      </c>
      <c r="L946">
        <v>2579303928</v>
      </c>
      <c r="M946">
        <v>1514557538</v>
      </c>
      <c r="N946">
        <v>1316679916</v>
      </c>
      <c r="O946">
        <v>1147808190</v>
      </c>
      <c r="P946">
        <v>109</v>
      </c>
      <c r="Q946" t="s">
        <v>2143</v>
      </c>
    </row>
    <row r="947" spans="1:17" x14ac:dyDescent="0.3">
      <c r="A947" t="s">
        <v>17</v>
      </c>
      <c r="B947" t="str">
        <f>"601369"</f>
        <v>601369</v>
      </c>
      <c r="C947" t="s">
        <v>2144</v>
      </c>
      <c r="D947" t="s">
        <v>560</v>
      </c>
      <c r="F947">
        <v>7504245918</v>
      </c>
      <c r="G947">
        <v>6966983139</v>
      </c>
      <c r="H947">
        <v>6691120291</v>
      </c>
      <c r="I947">
        <v>6196994561</v>
      </c>
      <c r="J947">
        <v>6079183260</v>
      </c>
      <c r="K947">
        <v>6063610792</v>
      </c>
      <c r="L947">
        <v>6112315550</v>
      </c>
      <c r="M947">
        <v>6114378044</v>
      </c>
      <c r="N947">
        <v>6080570377</v>
      </c>
      <c r="O947">
        <v>5668039945</v>
      </c>
      <c r="P947">
        <v>217</v>
      </c>
      <c r="Q947" t="s">
        <v>2145</v>
      </c>
    </row>
    <row r="948" spans="1:17" x14ac:dyDescent="0.3">
      <c r="A948" t="s">
        <v>17</v>
      </c>
      <c r="B948" t="str">
        <f>"601375"</f>
        <v>601375</v>
      </c>
      <c r="C948" t="s">
        <v>2146</v>
      </c>
      <c r="D948" t="s">
        <v>80</v>
      </c>
      <c r="F948">
        <v>13681883165</v>
      </c>
      <c r="G948">
        <v>13368714618</v>
      </c>
      <c r="H948">
        <v>9671208013</v>
      </c>
      <c r="I948">
        <v>9950898719</v>
      </c>
      <c r="J948">
        <v>10169851687</v>
      </c>
      <c r="K948">
        <v>10582116324</v>
      </c>
      <c r="L948">
        <v>8161580474</v>
      </c>
      <c r="M948">
        <v>5786706464</v>
      </c>
      <c r="N948">
        <v>4091341157</v>
      </c>
      <c r="O948">
        <v>3825500092.0799999</v>
      </c>
      <c r="P948">
        <v>690</v>
      </c>
      <c r="Q948" t="s">
        <v>2147</v>
      </c>
    </row>
    <row r="949" spans="1:17" x14ac:dyDescent="0.3">
      <c r="A949" t="s">
        <v>17</v>
      </c>
      <c r="B949" t="str">
        <f>"601377"</f>
        <v>601377</v>
      </c>
      <c r="C949" t="s">
        <v>2148</v>
      </c>
      <c r="D949" t="s">
        <v>80</v>
      </c>
      <c r="F949">
        <v>41189442027</v>
      </c>
      <c r="G949">
        <v>37738571253</v>
      </c>
      <c r="H949">
        <v>34432270051</v>
      </c>
      <c r="I949">
        <v>32505448395</v>
      </c>
      <c r="J949">
        <v>33428887591</v>
      </c>
      <c r="K949">
        <v>30550705711</v>
      </c>
      <c r="L949">
        <v>18515376805</v>
      </c>
      <c r="M949">
        <v>14682646506</v>
      </c>
      <c r="N949">
        <v>13004923191</v>
      </c>
      <c r="O949">
        <v>8709522117</v>
      </c>
      <c r="P949">
        <v>1731</v>
      </c>
      <c r="Q949" t="s">
        <v>2149</v>
      </c>
    </row>
    <row r="950" spans="1:17" x14ac:dyDescent="0.3">
      <c r="A950" t="s">
        <v>17</v>
      </c>
      <c r="B950" t="str">
        <f>"601388"</f>
        <v>601388</v>
      </c>
      <c r="C950" t="s">
        <v>2150</v>
      </c>
      <c r="D950" t="s">
        <v>504</v>
      </c>
      <c r="F950">
        <v>3864426843</v>
      </c>
      <c r="G950">
        <v>3286288080</v>
      </c>
      <c r="H950">
        <v>2740656239</v>
      </c>
      <c r="I950">
        <v>2570363676</v>
      </c>
      <c r="J950">
        <v>2486570262</v>
      </c>
      <c r="K950">
        <v>2182280908</v>
      </c>
      <c r="L950">
        <v>2110097044</v>
      </c>
      <c r="M950">
        <v>2196737477</v>
      </c>
      <c r="N950">
        <v>2228584046</v>
      </c>
      <c r="O950">
        <v>2226684318</v>
      </c>
      <c r="P950">
        <v>206</v>
      </c>
      <c r="Q950" t="s">
        <v>2151</v>
      </c>
    </row>
    <row r="951" spans="1:17" x14ac:dyDescent="0.3">
      <c r="A951" t="s">
        <v>17</v>
      </c>
      <c r="B951" t="str">
        <f>"601390"</f>
        <v>601390</v>
      </c>
      <c r="C951" t="s">
        <v>2152</v>
      </c>
      <c r="D951" t="s">
        <v>101</v>
      </c>
      <c r="F951">
        <v>229646421000</v>
      </c>
      <c r="G951">
        <v>208606445000</v>
      </c>
      <c r="H951">
        <v>189923163000</v>
      </c>
      <c r="I951">
        <v>159851385000</v>
      </c>
      <c r="J951">
        <v>143440615000</v>
      </c>
      <c r="K951">
        <v>128393815000</v>
      </c>
      <c r="L951">
        <v>118646987000</v>
      </c>
      <c r="M951">
        <v>98719844000</v>
      </c>
      <c r="N951">
        <v>86633449000</v>
      </c>
      <c r="O951">
        <v>78364316000</v>
      </c>
      <c r="P951">
        <v>1323</v>
      </c>
      <c r="Q951" t="s">
        <v>2153</v>
      </c>
    </row>
    <row r="952" spans="1:17" x14ac:dyDescent="0.3">
      <c r="A952" t="s">
        <v>17</v>
      </c>
      <c r="B952" t="str">
        <f>"601398"</f>
        <v>601398</v>
      </c>
      <c r="C952" t="s">
        <v>2154</v>
      </c>
      <c r="D952" t="s">
        <v>2112</v>
      </c>
      <c r="F952">
        <v>2903424000000</v>
      </c>
      <c r="G952">
        <v>2667683000000</v>
      </c>
      <c r="H952">
        <v>2470054000000</v>
      </c>
      <c r="I952">
        <v>2243950000000</v>
      </c>
      <c r="J952">
        <v>2041440000000</v>
      </c>
      <c r="K952">
        <v>1883700000000</v>
      </c>
      <c r="L952">
        <v>1789474000000</v>
      </c>
      <c r="M952">
        <v>1496431000000</v>
      </c>
      <c r="N952">
        <v>1274134000000</v>
      </c>
      <c r="O952">
        <v>1124997000000</v>
      </c>
      <c r="P952">
        <v>20387</v>
      </c>
      <c r="Q952" t="s">
        <v>2155</v>
      </c>
    </row>
    <row r="953" spans="1:17" x14ac:dyDescent="0.3">
      <c r="A953" t="s">
        <v>17</v>
      </c>
      <c r="B953" t="str">
        <f>"601399"</f>
        <v>601399</v>
      </c>
      <c r="C953" t="s">
        <v>2156</v>
      </c>
      <c r="D953" t="s">
        <v>395</v>
      </c>
      <c r="F953">
        <v>12854174993</v>
      </c>
      <c r="G953">
        <v>12645533829</v>
      </c>
      <c r="H953">
        <v>12344389538</v>
      </c>
      <c r="I953">
        <v>11581754549</v>
      </c>
      <c r="J953">
        <v>4036077513</v>
      </c>
      <c r="N953">
        <v>1816602426</v>
      </c>
      <c r="O953">
        <v>5016349216</v>
      </c>
      <c r="P953">
        <v>53</v>
      </c>
      <c r="Q953" t="s">
        <v>2157</v>
      </c>
    </row>
    <row r="954" spans="1:17" x14ac:dyDescent="0.3">
      <c r="A954" t="s">
        <v>17</v>
      </c>
      <c r="B954" t="str">
        <f>"601456"</f>
        <v>601456</v>
      </c>
      <c r="C954" t="s">
        <v>2158</v>
      </c>
      <c r="D954" t="s">
        <v>80</v>
      </c>
      <c r="F954">
        <v>16381068288</v>
      </c>
      <c r="G954">
        <v>10594170021</v>
      </c>
      <c r="H954">
        <v>8067326000</v>
      </c>
      <c r="I954">
        <v>7649184000</v>
      </c>
      <c r="J954">
        <v>7592572000</v>
      </c>
      <c r="P954">
        <v>310</v>
      </c>
      <c r="Q954" t="s">
        <v>2159</v>
      </c>
    </row>
    <row r="955" spans="1:17" x14ac:dyDescent="0.3">
      <c r="A955" t="s">
        <v>17</v>
      </c>
      <c r="B955" t="str">
        <f>"601500"</f>
        <v>601500</v>
      </c>
      <c r="C955" t="s">
        <v>2160</v>
      </c>
      <c r="D955" t="s">
        <v>422</v>
      </c>
      <c r="F955">
        <v>4281377912</v>
      </c>
      <c r="G955">
        <v>3672335586</v>
      </c>
      <c r="H955">
        <v>3658431018</v>
      </c>
      <c r="I955">
        <v>2667604951</v>
      </c>
      <c r="J955">
        <v>2595905794</v>
      </c>
      <c r="K955">
        <v>2533534820</v>
      </c>
      <c r="L955">
        <v>1595096686</v>
      </c>
      <c r="M955">
        <v>1394886135</v>
      </c>
      <c r="N955">
        <v>1213435377</v>
      </c>
      <c r="P955">
        <v>85</v>
      </c>
      <c r="Q955" t="s">
        <v>2161</v>
      </c>
    </row>
    <row r="956" spans="1:17" x14ac:dyDescent="0.3">
      <c r="A956" t="s">
        <v>17</v>
      </c>
      <c r="B956" t="str">
        <f>"601512"</f>
        <v>601512</v>
      </c>
      <c r="C956" t="s">
        <v>2162</v>
      </c>
      <c r="D956" t="s">
        <v>194</v>
      </c>
      <c r="F956">
        <v>12172431351</v>
      </c>
      <c r="G956">
        <v>11051890363</v>
      </c>
      <c r="H956">
        <v>10137083879</v>
      </c>
      <c r="I956">
        <v>7644189093</v>
      </c>
      <c r="J956">
        <v>6665936817</v>
      </c>
      <c r="K956">
        <v>5841884074</v>
      </c>
      <c r="P956">
        <v>103</v>
      </c>
      <c r="Q956" t="s">
        <v>2163</v>
      </c>
    </row>
    <row r="957" spans="1:17" x14ac:dyDescent="0.3">
      <c r="A957" t="s">
        <v>17</v>
      </c>
      <c r="B957" t="str">
        <f>"601515"</f>
        <v>601515</v>
      </c>
      <c r="C957" t="s">
        <v>2164</v>
      </c>
      <c r="D957" t="s">
        <v>2165</v>
      </c>
      <c r="F957">
        <v>5922273412</v>
      </c>
      <c r="G957">
        <v>4356431195</v>
      </c>
      <c r="H957">
        <v>4010869868</v>
      </c>
      <c r="I957">
        <v>4169256779</v>
      </c>
      <c r="J957">
        <v>3847755695</v>
      </c>
      <c r="K957">
        <v>3478348542</v>
      </c>
      <c r="L957">
        <v>3593374320</v>
      </c>
      <c r="M957">
        <v>3110080295</v>
      </c>
      <c r="N957">
        <v>2383138810</v>
      </c>
      <c r="O957">
        <v>2255610070</v>
      </c>
      <c r="P957">
        <v>28151</v>
      </c>
      <c r="Q957" t="s">
        <v>2166</v>
      </c>
    </row>
    <row r="958" spans="1:17" x14ac:dyDescent="0.3">
      <c r="A958" t="s">
        <v>17</v>
      </c>
      <c r="B958" t="str">
        <f>"601518"</f>
        <v>601518</v>
      </c>
      <c r="C958" t="s">
        <v>2167</v>
      </c>
      <c r="D958" t="s">
        <v>44</v>
      </c>
      <c r="F958">
        <v>4109933834</v>
      </c>
      <c r="G958">
        <v>3756498287</v>
      </c>
      <c r="H958">
        <v>3657290896</v>
      </c>
      <c r="I958">
        <v>3493530414</v>
      </c>
      <c r="J958">
        <v>2893269066</v>
      </c>
      <c r="K958">
        <v>2654815979</v>
      </c>
      <c r="L958">
        <v>2505331239</v>
      </c>
      <c r="M958">
        <v>2443754032</v>
      </c>
      <c r="N958">
        <v>2266932678</v>
      </c>
      <c r="O958">
        <v>2055510095</v>
      </c>
      <c r="P958">
        <v>111</v>
      </c>
      <c r="Q958" t="s">
        <v>2168</v>
      </c>
    </row>
    <row r="959" spans="1:17" x14ac:dyDescent="0.3">
      <c r="A959" t="s">
        <v>17</v>
      </c>
      <c r="B959" t="str">
        <f>"601519"</f>
        <v>601519</v>
      </c>
      <c r="C959" t="s">
        <v>2169</v>
      </c>
      <c r="D959" t="s">
        <v>945</v>
      </c>
      <c r="F959">
        <v>1576406458</v>
      </c>
      <c r="G959">
        <v>1516853797</v>
      </c>
      <c r="H959">
        <v>1468282596</v>
      </c>
      <c r="I959">
        <v>1441688119</v>
      </c>
      <c r="J959">
        <v>1360805537</v>
      </c>
      <c r="K959">
        <v>944203944</v>
      </c>
      <c r="L959">
        <v>2603094093</v>
      </c>
      <c r="M959">
        <v>2993961149</v>
      </c>
      <c r="N959">
        <v>2781588808</v>
      </c>
      <c r="O959">
        <v>2902614653</v>
      </c>
      <c r="P959">
        <v>209</v>
      </c>
      <c r="Q959" t="s">
        <v>2170</v>
      </c>
    </row>
    <row r="960" spans="1:17" x14ac:dyDescent="0.3">
      <c r="A960" t="s">
        <v>17</v>
      </c>
      <c r="B960" t="str">
        <f>"601528"</f>
        <v>601528</v>
      </c>
      <c r="C960" t="s">
        <v>2171</v>
      </c>
      <c r="D960" t="s">
        <v>1831</v>
      </c>
      <c r="F960">
        <v>13573301000</v>
      </c>
      <c r="G960">
        <v>11027611999</v>
      </c>
      <c r="H960">
        <v>10232208746</v>
      </c>
      <c r="I960">
        <v>9403660843</v>
      </c>
      <c r="K960">
        <v>7743335000</v>
      </c>
      <c r="L960">
        <v>7269090000</v>
      </c>
      <c r="M960">
        <v>6625627000</v>
      </c>
      <c r="P960">
        <v>49</v>
      </c>
      <c r="Q960" t="s">
        <v>2172</v>
      </c>
    </row>
    <row r="961" spans="1:17" x14ac:dyDescent="0.3">
      <c r="A961" t="s">
        <v>17</v>
      </c>
      <c r="B961" t="str">
        <f>"601555"</f>
        <v>601555</v>
      </c>
      <c r="C961" t="s">
        <v>2173</v>
      </c>
      <c r="D961" t="s">
        <v>80</v>
      </c>
      <c r="F961">
        <v>37125623797</v>
      </c>
      <c r="G961">
        <v>27879893403</v>
      </c>
      <c r="H961">
        <v>20955913171</v>
      </c>
      <c r="I961">
        <v>20160273459</v>
      </c>
      <c r="J961">
        <v>20820301874</v>
      </c>
      <c r="K961">
        <v>20227169546</v>
      </c>
      <c r="L961">
        <v>16539917099</v>
      </c>
      <c r="M961">
        <v>14078857197</v>
      </c>
      <c r="N961">
        <v>7829075088</v>
      </c>
      <c r="O961">
        <v>7576997052</v>
      </c>
      <c r="P961">
        <v>937</v>
      </c>
      <c r="Q961" t="s">
        <v>2174</v>
      </c>
    </row>
    <row r="962" spans="1:17" x14ac:dyDescent="0.3">
      <c r="A962" t="s">
        <v>17</v>
      </c>
      <c r="B962" t="str">
        <f>"601558"</f>
        <v>601558</v>
      </c>
      <c r="C962" t="s">
        <v>2175</v>
      </c>
      <c r="H962">
        <v>1527400010</v>
      </c>
      <c r="I962">
        <v>1484027912</v>
      </c>
      <c r="J962">
        <v>1297442049</v>
      </c>
      <c r="K962">
        <v>1179782663</v>
      </c>
      <c r="L962">
        <v>4273165638</v>
      </c>
      <c r="M962">
        <v>8787556791</v>
      </c>
      <c r="N962">
        <v>9111706560</v>
      </c>
      <c r="O962">
        <v>12314413121</v>
      </c>
      <c r="P962">
        <v>47</v>
      </c>
      <c r="Q962" t="s">
        <v>2176</v>
      </c>
    </row>
    <row r="963" spans="1:17" x14ac:dyDescent="0.3">
      <c r="A963" t="s">
        <v>17</v>
      </c>
      <c r="B963" t="str">
        <f>"601566"</f>
        <v>601566</v>
      </c>
      <c r="C963" t="s">
        <v>2177</v>
      </c>
      <c r="D963" t="s">
        <v>255</v>
      </c>
      <c r="F963">
        <v>4068289812</v>
      </c>
      <c r="G963">
        <v>4197951403</v>
      </c>
      <c r="H963">
        <v>4264746333</v>
      </c>
      <c r="I963">
        <v>4432416210</v>
      </c>
      <c r="J963">
        <v>5330042158</v>
      </c>
      <c r="K963">
        <v>4457551508</v>
      </c>
      <c r="L963">
        <v>4283708115</v>
      </c>
      <c r="M963">
        <v>4434395032</v>
      </c>
      <c r="N963">
        <v>4519430948</v>
      </c>
      <c r="O963">
        <v>4392565685</v>
      </c>
      <c r="P963">
        <v>426</v>
      </c>
      <c r="Q963" t="s">
        <v>2178</v>
      </c>
    </row>
    <row r="964" spans="1:17" x14ac:dyDescent="0.3">
      <c r="A964" t="s">
        <v>17</v>
      </c>
      <c r="B964" t="str">
        <f>"601567"</f>
        <v>601567</v>
      </c>
      <c r="C964" t="s">
        <v>2179</v>
      </c>
      <c r="D964" t="s">
        <v>2180</v>
      </c>
      <c r="F964">
        <v>8873230301</v>
      </c>
      <c r="G964">
        <v>8620717872</v>
      </c>
      <c r="H964">
        <v>8041156022</v>
      </c>
      <c r="I964">
        <v>7456957237</v>
      </c>
      <c r="J964">
        <v>7516494969</v>
      </c>
      <c r="K964">
        <v>6852861711</v>
      </c>
      <c r="L964">
        <v>3040092657</v>
      </c>
      <c r="M964">
        <v>2417702852</v>
      </c>
      <c r="N964">
        <v>2237450142</v>
      </c>
      <c r="O964">
        <v>2154819090</v>
      </c>
      <c r="P964">
        <v>325</v>
      </c>
      <c r="Q964" t="s">
        <v>2181</v>
      </c>
    </row>
    <row r="965" spans="1:17" x14ac:dyDescent="0.3">
      <c r="A965" t="s">
        <v>17</v>
      </c>
      <c r="B965" t="str">
        <f>"601568"</f>
        <v>601568</v>
      </c>
      <c r="C965" t="s">
        <v>2182</v>
      </c>
      <c r="D965" t="s">
        <v>175</v>
      </c>
      <c r="F965">
        <v>13471294667</v>
      </c>
      <c r="G965">
        <v>12523587993</v>
      </c>
      <c r="H965">
        <v>7886873533</v>
      </c>
      <c r="I965">
        <v>6889506034</v>
      </c>
      <c r="J965">
        <v>5661590204</v>
      </c>
      <c r="K965">
        <v>4332391096</v>
      </c>
      <c r="P965">
        <v>121</v>
      </c>
      <c r="Q965" t="s">
        <v>2183</v>
      </c>
    </row>
    <row r="966" spans="1:17" x14ac:dyDescent="0.3">
      <c r="A966" t="s">
        <v>17</v>
      </c>
      <c r="B966" t="str">
        <f>"601577"</f>
        <v>601577</v>
      </c>
      <c r="C966" t="s">
        <v>2184</v>
      </c>
      <c r="D966" t="s">
        <v>1842</v>
      </c>
      <c r="F966">
        <v>49030382000</v>
      </c>
      <c r="G966">
        <v>38341727000</v>
      </c>
      <c r="H966">
        <v>34641114000</v>
      </c>
      <c r="I966">
        <v>30995770000</v>
      </c>
      <c r="J966">
        <v>23284052000</v>
      </c>
      <c r="K966">
        <v>19939641000</v>
      </c>
      <c r="L966">
        <v>17595709000</v>
      </c>
      <c r="M966">
        <v>13057822000</v>
      </c>
      <c r="N966">
        <v>9183917000</v>
      </c>
      <c r="O966">
        <v>7346085000</v>
      </c>
      <c r="P966">
        <v>927</v>
      </c>
      <c r="Q966" t="s">
        <v>2185</v>
      </c>
    </row>
    <row r="967" spans="1:17" x14ac:dyDescent="0.3">
      <c r="A967" t="s">
        <v>17</v>
      </c>
      <c r="B967" t="str">
        <f>"601579"</f>
        <v>601579</v>
      </c>
      <c r="C967" t="s">
        <v>2186</v>
      </c>
      <c r="D967" t="s">
        <v>134</v>
      </c>
      <c r="F967">
        <v>3628546104</v>
      </c>
      <c r="G967">
        <v>3368785538</v>
      </c>
      <c r="H967">
        <v>3151826359</v>
      </c>
      <c r="I967">
        <v>3151579110</v>
      </c>
      <c r="J967">
        <v>3028447733</v>
      </c>
      <c r="K967">
        <v>2901208825</v>
      </c>
      <c r="L967">
        <v>1503052803</v>
      </c>
      <c r="M967">
        <v>1433954164</v>
      </c>
      <c r="N967">
        <v>948529174</v>
      </c>
      <c r="O967">
        <v>827767683</v>
      </c>
      <c r="P967">
        <v>186</v>
      </c>
      <c r="Q967" t="s">
        <v>2187</v>
      </c>
    </row>
    <row r="968" spans="1:17" x14ac:dyDescent="0.3">
      <c r="A968" t="s">
        <v>17</v>
      </c>
      <c r="B968" t="str">
        <f>"601588"</f>
        <v>601588</v>
      </c>
      <c r="C968" t="s">
        <v>2188</v>
      </c>
      <c r="D968" t="s">
        <v>104</v>
      </c>
      <c r="F968">
        <v>14439124243</v>
      </c>
      <c r="G968">
        <v>14418765987</v>
      </c>
      <c r="H968">
        <v>14737677978</v>
      </c>
      <c r="I968">
        <v>13604010874</v>
      </c>
      <c r="J968">
        <v>12598972264</v>
      </c>
      <c r="K968">
        <v>11660582806</v>
      </c>
      <c r="L968">
        <v>11265269862</v>
      </c>
      <c r="M968">
        <v>10900953962</v>
      </c>
      <c r="N968">
        <v>10572150153</v>
      </c>
      <c r="O968">
        <v>10109496972</v>
      </c>
      <c r="P968">
        <v>536</v>
      </c>
      <c r="Q968" t="s">
        <v>2189</v>
      </c>
    </row>
    <row r="969" spans="1:17" x14ac:dyDescent="0.3">
      <c r="A969" t="s">
        <v>17</v>
      </c>
      <c r="B969" t="str">
        <f>"601595"</f>
        <v>601595</v>
      </c>
      <c r="C969" t="s">
        <v>2190</v>
      </c>
      <c r="D969" t="s">
        <v>113</v>
      </c>
      <c r="F969">
        <v>1930854910</v>
      </c>
      <c r="G969">
        <v>2019343813</v>
      </c>
      <c r="H969">
        <v>2485717131</v>
      </c>
      <c r="I969">
        <v>2320264617</v>
      </c>
      <c r="J969">
        <v>2098558362</v>
      </c>
      <c r="K969">
        <v>1929560775</v>
      </c>
      <c r="L969">
        <v>781395445</v>
      </c>
      <c r="M969">
        <v>592582203</v>
      </c>
      <c r="N969">
        <v>466579037</v>
      </c>
      <c r="P969">
        <v>158</v>
      </c>
      <c r="Q969" t="s">
        <v>2191</v>
      </c>
    </row>
    <row r="970" spans="1:17" x14ac:dyDescent="0.3">
      <c r="A970" t="s">
        <v>17</v>
      </c>
      <c r="B970" t="str">
        <f>"601598"</f>
        <v>601598</v>
      </c>
      <c r="C970" t="s">
        <v>2192</v>
      </c>
      <c r="D970" t="s">
        <v>287</v>
      </c>
      <c r="F970">
        <v>33098978709</v>
      </c>
      <c r="G970">
        <v>30448004706</v>
      </c>
      <c r="H970">
        <v>28438616352</v>
      </c>
      <c r="I970">
        <v>23236402372</v>
      </c>
      <c r="J970">
        <v>21429972600</v>
      </c>
      <c r="K970">
        <v>19536847300</v>
      </c>
      <c r="L970">
        <v>15385265900</v>
      </c>
      <c r="P970">
        <v>316</v>
      </c>
      <c r="Q970" t="s">
        <v>2193</v>
      </c>
    </row>
    <row r="971" spans="1:17" x14ac:dyDescent="0.3">
      <c r="A971" t="s">
        <v>17</v>
      </c>
      <c r="B971" t="str">
        <f>"601599"</f>
        <v>601599</v>
      </c>
      <c r="C971" t="s">
        <v>2194</v>
      </c>
      <c r="D971" t="s">
        <v>366</v>
      </c>
      <c r="F971">
        <v>1211082667</v>
      </c>
      <c r="G971">
        <v>536533951</v>
      </c>
      <c r="H971">
        <v>1569892852</v>
      </c>
      <c r="I971">
        <v>2555047343</v>
      </c>
      <c r="J971">
        <v>2584103990</v>
      </c>
      <c r="K971">
        <v>2667027542</v>
      </c>
      <c r="L971">
        <v>1560245828</v>
      </c>
      <c r="M971">
        <v>1442362660</v>
      </c>
      <c r="N971">
        <v>953898845</v>
      </c>
      <c r="O971">
        <v>955495048</v>
      </c>
      <c r="P971">
        <v>60</v>
      </c>
      <c r="Q971" t="s">
        <v>2195</v>
      </c>
    </row>
    <row r="972" spans="1:17" x14ac:dyDescent="0.3">
      <c r="A972" t="s">
        <v>17</v>
      </c>
      <c r="B972" t="str">
        <f>"601600"</f>
        <v>601600</v>
      </c>
      <c r="C972" t="s">
        <v>2196</v>
      </c>
      <c r="D972" t="s">
        <v>504</v>
      </c>
      <c r="F972">
        <v>54766258000</v>
      </c>
      <c r="G972">
        <v>49845581000</v>
      </c>
      <c r="H972">
        <v>49172529000</v>
      </c>
      <c r="I972">
        <v>48426890000</v>
      </c>
      <c r="J972">
        <v>37459162000</v>
      </c>
      <c r="K972">
        <v>36088361000</v>
      </c>
      <c r="L972">
        <v>36820809000</v>
      </c>
      <c r="M972">
        <v>28275687000</v>
      </c>
      <c r="N972">
        <v>44357725000</v>
      </c>
      <c r="O972">
        <v>43835118000</v>
      </c>
      <c r="P972">
        <v>743</v>
      </c>
      <c r="Q972" t="s">
        <v>2197</v>
      </c>
    </row>
    <row r="973" spans="1:17" x14ac:dyDescent="0.3">
      <c r="A973" t="s">
        <v>17</v>
      </c>
      <c r="B973" t="str">
        <f>"601601"</f>
        <v>601601</v>
      </c>
      <c r="C973" t="s">
        <v>2198</v>
      </c>
      <c r="D973" t="s">
        <v>660</v>
      </c>
      <c r="F973">
        <v>226741000000</v>
      </c>
      <c r="G973">
        <v>215224000000</v>
      </c>
      <c r="H973">
        <v>178427000000</v>
      </c>
      <c r="I973">
        <v>149576000000</v>
      </c>
      <c r="J973">
        <v>137498000000</v>
      </c>
      <c r="K973">
        <v>131764000000</v>
      </c>
      <c r="L973">
        <v>133336000000</v>
      </c>
      <c r="M973">
        <v>117131000000</v>
      </c>
      <c r="N973">
        <v>98968000000</v>
      </c>
      <c r="O973">
        <v>96177000000</v>
      </c>
      <c r="P973">
        <v>2648</v>
      </c>
      <c r="Q973" t="s">
        <v>2199</v>
      </c>
    </row>
    <row r="974" spans="1:17" x14ac:dyDescent="0.3">
      <c r="A974" t="s">
        <v>17</v>
      </c>
      <c r="B974" t="str">
        <f>"601606"</f>
        <v>601606</v>
      </c>
      <c r="C974" t="s">
        <v>2200</v>
      </c>
      <c r="D974" t="s">
        <v>428</v>
      </c>
      <c r="F974">
        <v>2559409912</v>
      </c>
      <c r="G974">
        <v>2404635116</v>
      </c>
      <c r="H974">
        <v>2310824069</v>
      </c>
      <c r="I974">
        <v>2208287217</v>
      </c>
      <c r="J974">
        <v>1661409956</v>
      </c>
      <c r="K974">
        <v>1496461464</v>
      </c>
      <c r="L974">
        <v>1409367506</v>
      </c>
      <c r="P974">
        <v>180</v>
      </c>
      <c r="Q974" t="s">
        <v>2201</v>
      </c>
    </row>
    <row r="975" spans="1:17" x14ac:dyDescent="0.3">
      <c r="A975" t="s">
        <v>17</v>
      </c>
      <c r="B975" t="str">
        <f>"601607"</f>
        <v>601607</v>
      </c>
      <c r="C975" t="s">
        <v>1716</v>
      </c>
      <c r="D975" t="s">
        <v>125</v>
      </c>
      <c r="F975">
        <v>49359479911</v>
      </c>
      <c r="G975">
        <v>45354677689</v>
      </c>
      <c r="H975">
        <v>41659054747</v>
      </c>
      <c r="I975">
        <v>39013570427</v>
      </c>
      <c r="J975">
        <v>34030840902</v>
      </c>
      <c r="K975">
        <v>31622553106</v>
      </c>
      <c r="L975">
        <v>29930309584</v>
      </c>
      <c r="M975">
        <v>27822129425</v>
      </c>
      <c r="N975">
        <v>25953812432</v>
      </c>
      <c r="O975">
        <v>24639299336</v>
      </c>
      <c r="P975">
        <v>1369</v>
      </c>
      <c r="Q975" t="s">
        <v>2202</v>
      </c>
    </row>
    <row r="976" spans="1:17" x14ac:dyDescent="0.3">
      <c r="A976" t="s">
        <v>17</v>
      </c>
      <c r="B976" t="str">
        <f>"601608"</f>
        <v>601608</v>
      </c>
      <c r="C976" t="s">
        <v>2203</v>
      </c>
      <c r="D976" t="s">
        <v>395</v>
      </c>
      <c r="F976">
        <v>7540737937</v>
      </c>
      <c r="G976">
        <v>7304796978</v>
      </c>
      <c r="H976">
        <v>7164589013</v>
      </c>
      <c r="I976">
        <v>7158155694</v>
      </c>
      <c r="J976">
        <v>7148146508</v>
      </c>
      <c r="K976">
        <v>7103252286</v>
      </c>
      <c r="L976">
        <v>8787566670</v>
      </c>
      <c r="M976">
        <v>7852296089</v>
      </c>
      <c r="N976">
        <v>7651999976</v>
      </c>
      <c r="O976">
        <v>7499919863</v>
      </c>
      <c r="P976">
        <v>178</v>
      </c>
      <c r="Q976" t="s">
        <v>2204</v>
      </c>
    </row>
    <row r="977" spans="1:17" x14ac:dyDescent="0.3">
      <c r="A977" t="s">
        <v>17</v>
      </c>
      <c r="B977" t="str">
        <f>"601609"</f>
        <v>601609</v>
      </c>
      <c r="C977" t="s">
        <v>2205</v>
      </c>
      <c r="D977" t="s">
        <v>263</v>
      </c>
      <c r="F977">
        <v>7260644375</v>
      </c>
      <c r="G977">
        <v>6708243596</v>
      </c>
      <c r="H977">
        <v>4818184128</v>
      </c>
      <c r="I977">
        <v>4302554820</v>
      </c>
      <c r="J977">
        <v>3875565772</v>
      </c>
      <c r="P977">
        <v>106</v>
      </c>
      <c r="Q977" t="s">
        <v>2206</v>
      </c>
    </row>
    <row r="978" spans="1:17" x14ac:dyDescent="0.3">
      <c r="A978" t="s">
        <v>17</v>
      </c>
      <c r="B978" t="str">
        <f>"601611"</f>
        <v>601611</v>
      </c>
      <c r="C978" t="s">
        <v>2207</v>
      </c>
      <c r="D978" t="s">
        <v>101</v>
      </c>
      <c r="F978">
        <v>12823638230</v>
      </c>
      <c r="G978">
        <v>11506431532</v>
      </c>
      <c r="H978">
        <v>9996404587</v>
      </c>
      <c r="I978">
        <v>8774121914</v>
      </c>
      <c r="J978">
        <v>8000453629</v>
      </c>
      <c r="K978">
        <v>7244336688</v>
      </c>
      <c r="L978">
        <v>4722178878</v>
      </c>
      <c r="M978">
        <v>4078446866</v>
      </c>
      <c r="N978">
        <v>3405480257</v>
      </c>
      <c r="P978">
        <v>345</v>
      </c>
      <c r="Q978" t="s">
        <v>2208</v>
      </c>
    </row>
    <row r="979" spans="1:17" x14ac:dyDescent="0.3">
      <c r="A979" t="s">
        <v>17</v>
      </c>
      <c r="B979" t="str">
        <f>"601615"</f>
        <v>601615</v>
      </c>
      <c r="C979" t="s">
        <v>2209</v>
      </c>
      <c r="D979" t="s">
        <v>895</v>
      </c>
      <c r="F979">
        <v>18394542799</v>
      </c>
      <c r="G979">
        <v>14538130661</v>
      </c>
      <c r="H979">
        <v>6328759685</v>
      </c>
      <c r="I979">
        <v>4451934249</v>
      </c>
      <c r="J979">
        <v>4026224985</v>
      </c>
      <c r="K979">
        <v>3447980656</v>
      </c>
      <c r="L979">
        <v>3184090267</v>
      </c>
      <c r="P979">
        <v>1068</v>
      </c>
      <c r="Q979" t="s">
        <v>2210</v>
      </c>
    </row>
    <row r="980" spans="1:17" x14ac:dyDescent="0.3">
      <c r="A980" t="s">
        <v>17</v>
      </c>
      <c r="B980" t="str">
        <f>"601616"</f>
        <v>601616</v>
      </c>
      <c r="C980" t="s">
        <v>2211</v>
      </c>
      <c r="D980" t="s">
        <v>657</v>
      </c>
      <c r="F980">
        <v>2381141852</v>
      </c>
      <c r="G980">
        <v>2633938407</v>
      </c>
      <c r="H980">
        <v>2605026627</v>
      </c>
      <c r="I980">
        <v>2470332016</v>
      </c>
      <c r="J980">
        <v>2364126212</v>
      </c>
      <c r="K980">
        <v>2333770335</v>
      </c>
      <c r="L980">
        <v>2494040323</v>
      </c>
      <c r="M980">
        <v>2522900341</v>
      </c>
      <c r="N980">
        <v>2529572196</v>
      </c>
      <c r="O980">
        <v>2568379792</v>
      </c>
      <c r="P980">
        <v>72</v>
      </c>
      <c r="Q980" t="s">
        <v>2212</v>
      </c>
    </row>
    <row r="981" spans="1:17" x14ac:dyDescent="0.3">
      <c r="A981" t="s">
        <v>17</v>
      </c>
      <c r="B981" t="str">
        <f>"601618"</f>
        <v>601618</v>
      </c>
      <c r="C981" t="s">
        <v>2213</v>
      </c>
      <c r="D981" t="s">
        <v>1992</v>
      </c>
      <c r="F981">
        <v>83794977000</v>
      </c>
      <c r="G981">
        <v>77391638000</v>
      </c>
      <c r="H981">
        <v>72025435000</v>
      </c>
      <c r="I981">
        <v>68019072000</v>
      </c>
      <c r="J981">
        <v>64615589000</v>
      </c>
      <c r="K981">
        <v>60668125000</v>
      </c>
      <c r="L981">
        <v>50672680000</v>
      </c>
      <c r="M981">
        <v>47337257000</v>
      </c>
      <c r="N981">
        <v>44541300000</v>
      </c>
      <c r="O981">
        <v>41148980000</v>
      </c>
      <c r="P981">
        <v>584</v>
      </c>
      <c r="Q981" t="s">
        <v>2214</v>
      </c>
    </row>
    <row r="982" spans="1:17" x14ac:dyDescent="0.3">
      <c r="A982" t="s">
        <v>17</v>
      </c>
      <c r="B982" t="str">
        <f>"601619"</f>
        <v>601619</v>
      </c>
      <c r="C982" t="s">
        <v>2215</v>
      </c>
      <c r="D982" t="s">
        <v>383</v>
      </c>
      <c r="F982">
        <v>5183502681</v>
      </c>
      <c r="G982">
        <v>3432639671</v>
      </c>
      <c r="H982">
        <v>3323768828</v>
      </c>
      <c r="I982">
        <v>2647499630</v>
      </c>
      <c r="J982">
        <v>2430378175</v>
      </c>
      <c r="K982">
        <v>2066618322</v>
      </c>
      <c r="L982">
        <v>1929649611</v>
      </c>
      <c r="M982">
        <v>1153297844</v>
      </c>
      <c r="P982">
        <v>184</v>
      </c>
      <c r="Q982" t="s">
        <v>2216</v>
      </c>
    </row>
    <row r="983" spans="1:17" x14ac:dyDescent="0.3">
      <c r="A983" t="s">
        <v>17</v>
      </c>
      <c r="B983" t="str">
        <f>"601628"</f>
        <v>601628</v>
      </c>
      <c r="C983" t="s">
        <v>2217</v>
      </c>
      <c r="D983" t="s">
        <v>660</v>
      </c>
      <c r="F983">
        <v>478585000000</v>
      </c>
      <c r="G983">
        <v>450051000000</v>
      </c>
      <c r="H983">
        <v>403764000000</v>
      </c>
      <c r="I983">
        <v>318371000000</v>
      </c>
      <c r="J983">
        <v>313142000000</v>
      </c>
      <c r="K983">
        <v>295830000000</v>
      </c>
      <c r="L983">
        <v>314701000000</v>
      </c>
      <c r="M983">
        <v>284121000000</v>
      </c>
      <c r="N983">
        <v>220331000000</v>
      </c>
      <c r="O983">
        <v>221085000000</v>
      </c>
      <c r="P983">
        <v>1729</v>
      </c>
      <c r="Q983" t="s">
        <v>2218</v>
      </c>
    </row>
    <row r="984" spans="1:17" x14ac:dyDescent="0.3">
      <c r="A984" t="s">
        <v>17</v>
      </c>
      <c r="B984" t="str">
        <f>"601633"</f>
        <v>601633</v>
      </c>
      <c r="C984" t="s">
        <v>2219</v>
      </c>
      <c r="D984" t="s">
        <v>247</v>
      </c>
      <c r="F984">
        <v>61788430337</v>
      </c>
      <c r="G984">
        <v>57341847584</v>
      </c>
      <c r="H984">
        <v>54399229917</v>
      </c>
      <c r="I984">
        <v>52524831081</v>
      </c>
      <c r="J984">
        <v>49134530407</v>
      </c>
      <c r="K984">
        <v>47294801734</v>
      </c>
      <c r="L984">
        <v>38330869378</v>
      </c>
      <c r="M984">
        <v>33451860471</v>
      </c>
      <c r="N984">
        <v>27995898019</v>
      </c>
      <c r="O984">
        <v>21514243993</v>
      </c>
      <c r="P984">
        <v>2066</v>
      </c>
      <c r="Q984" t="s">
        <v>2220</v>
      </c>
    </row>
    <row r="985" spans="1:17" x14ac:dyDescent="0.3">
      <c r="A985" t="s">
        <v>17</v>
      </c>
      <c r="B985" t="str">
        <f>"601636"</f>
        <v>601636</v>
      </c>
      <c r="C985" t="s">
        <v>2221</v>
      </c>
      <c r="D985" t="s">
        <v>666</v>
      </c>
      <c r="F985">
        <v>13095799177</v>
      </c>
      <c r="G985">
        <v>9473167910</v>
      </c>
      <c r="H985">
        <v>8237259419</v>
      </c>
      <c r="I985">
        <v>7570053615</v>
      </c>
      <c r="J985">
        <v>7077555648</v>
      </c>
      <c r="K985">
        <v>6024866986</v>
      </c>
      <c r="L985">
        <v>5123470697</v>
      </c>
      <c r="M985">
        <v>4004973854</v>
      </c>
      <c r="N985">
        <v>3129285057</v>
      </c>
      <c r="O985">
        <v>2767718940</v>
      </c>
      <c r="P985">
        <v>1517</v>
      </c>
      <c r="Q985" t="s">
        <v>2222</v>
      </c>
    </row>
    <row r="986" spans="1:17" x14ac:dyDescent="0.3">
      <c r="A986" t="s">
        <v>17</v>
      </c>
      <c r="B986" t="str">
        <f>"601658"</f>
        <v>601658</v>
      </c>
      <c r="C986" t="s">
        <v>2223</v>
      </c>
      <c r="D986" t="s">
        <v>2112</v>
      </c>
      <c r="F986">
        <v>636236000000</v>
      </c>
      <c r="G986">
        <v>543941000000</v>
      </c>
      <c r="H986">
        <v>495998000000</v>
      </c>
      <c r="I986">
        <v>426535000000</v>
      </c>
      <c r="J986">
        <v>383127000000</v>
      </c>
      <c r="K986">
        <v>346530000000</v>
      </c>
      <c r="L986">
        <v>270448000000</v>
      </c>
      <c r="M986">
        <v>187909000000</v>
      </c>
      <c r="N986">
        <v>141047000000</v>
      </c>
      <c r="O986">
        <v>114869000000</v>
      </c>
      <c r="P986">
        <v>1193</v>
      </c>
      <c r="Q986" t="s">
        <v>2224</v>
      </c>
    </row>
    <row r="987" spans="1:17" x14ac:dyDescent="0.3">
      <c r="A987" t="s">
        <v>17</v>
      </c>
      <c r="B987" t="str">
        <f>"601665"</f>
        <v>601665</v>
      </c>
      <c r="C987" t="s">
        <v>2225</v>
      </c>
      <c r="D987" t="s">
        <v>1842</v>
      </c>
      <c r="F987">
        <v>26857380000</v>
      </c>
      <c r="G987">
        <v>22084802000</v>
      </c>
      <c r="H987">
        <v>20462638000</v>
      </c>
      <c r="I987">
        <v>18697266000</v>
      </c>
      <c r="J987">
        <v>16267385000</v>
      </c>
      <c r="K987">
        <v>10781726000</v>
      </c>
      <c r="P987">
        <v>52</v>
      </c>
      <c r="Q987" t="s">
        <v>2226</v>
      </c>
    </row>
    <row r="988" spans="1:17" x14ac:dyDescent="0.3">
      <c r="A988" t="s">
        <v>17</v>
      </c>
      <c r="B988" t="str">
        <f>"601666"</f>
        <v>601666</v>
      </c>
      <c r="C988" t="s">
        <v>2227</v>
      </c>
      <c r="D988" t="s">
        <v>298</v>
      </c>
      <c r="F988">
        <v>16789220716</v>
      </c>
      <c r="G988">
        <v>14622699405</v>
      </c>
      <c r="H988">
        <v>13827743931</v>
      </c>
      <c r="I988">
        <v>12868580593</v>
      </c>
      <c r="J988">
        <v>11970725827</v>
      </c>
      <c r="K988">
        <v>10890102368</v>
      </c>
      <c r="L988">
        <v>9333337176</v>
      </c>
      <c r="M988">
        <v>11493333785</v>
      </c>
      <c r="N988">
        <v>11450492854</v>
      </c>
      <c r="O988">
        <v>11156541902</v>
      </c>
      <c r="P988">
        <v>401</v>
      </c>
      <c r="Q988" t="s">
        <v>2228</v>
      </c>
    </row>
    <row r="989" spans="1:17" x14ac:dyDescent="0.3">
      <c r="A989" t="s">
        <v>17</v>
      </c>
      <c r="B989" t="str">
        <f>"601668"</f>
        <v>601668</v>
      </c>
      <c r="C989" t="s">
        <v>2229</v>
      </c>
      <c r="D989" t="s">
        <v>398</v>
      </c>
      <c r="F989">
        <v>333900090000</v>
      </c>
      <c r="G989">
        <v>290421431000</v>
      </c>
      <c r="H989">
        <v>256222271000</v>
      </c>
      <c r="I989">
        <v>220989006000</v>
      </c>
      <c r="J989">
        <v>197783339000</v>
      </c>
      <c r="K989">
        <v>173518359000</v>
      </c>
      <c r="L989">
        <v>151005212000</v>
      </c>
      <c r="M989">
        <v>139019458000</v>
      </c>
      <c r="N989">
        <v>118036755000</v>
      </c>
      <c r="O989">
        <v>101858378000</v>
      </c>
      <c r="P989">
        <v>10290</v>
      </c>
      <c r="Q989" t="s">
        <v>2230</v>
      </c>
    </row>
    <row r="990" spans="1:17" x14ac:dyDescent="0.3">
      <c r="A990" t="s">
        <v>17</v>
      </c>
      <c r="B990" t="str">
        <f>"601669"</f>
        <v>601669</v>
      </c>
      <c r="C990" t="s">
        <v>2231</v>
      </c>
      <c r="D990" t="s">
        <v>101</v>
      </c>
      <c r="F990">
        <v>98998512646</v>
      </c>
      <c r="G990">
        <v>92030035810</v>
      </c>
      <c r="H990">
        <v>84596301834</v>
      </c>
      <c r="I990">
        <v>80180103285</v>
      </c>
      <c r="J990">
        <v>72866673160</v>
      </c>
      <c r="K990">
        <v>55727317840</v>
      </c>
      <c r="L990">
        <v>49516510317</v>
      </c>
      <c r="M990">
        <v>40081806949</v>
      </c>
      <c r="N990">
        <v>33884783545</v>
      </c>
      <c r="O990">
        <v>30929989896</v>
      </c>
      <c r="P990">
        <v>752</v>
      </c>
      <c r="Q990" t="s">
        <v>2232</v>
      </c>
    </row>
    <row r="991" spans="1:17" x14ac:dyDescent="0.3">
      <c r="A991" t="s">
        <v>17</v>
      </c>
      <c r="B991" t="str">
        <f>"601677"</f>
        <v>601677</v>
      </c>
      <c r="C991" t="s">
        <v>2233</v>
      </c>
      <c r="D991" t="s">
        <v>504</v>
      </c>
      <c r="F991">
        <v>10503876160</v>
      </c>
      <c r="G991">
        <v>8450758519</v>
      </c>
      <c r="H991">
        <v>6759222840</v>
      </c>
      <c r="I991">
        <v>5934102054</v>
      </c>
      <c r="J991">
        <v>5337484553</v>
      </c>
      <c r="K991">
        <v>3877963502</v>
      </c>
      <c r="L991">
        <v>3609099286</v>
      </c>
      <c r="M991">
        <v>2767479890</v>
      </c>
      <c r="N991">
        <v>2527546005</v>
      </c>
      <c r="O991">
        <v>2508214002</v>
      </c>
      <c r="P991">
        <v>370</v>
      </c>
      <c r="Q991" t="s">
        <v>2234</v>
      </c>
    </row>
    <row r="992" spans="1:17" x14ac:dyDescent="0.3">
      <c r="A992" t="s">
        <v>17</v>
      </c>
      <c r="B992" t="str">
        <f>"601678"</f>
        <v>601678</v>
      </c>
      <c r="C992" t="s">
        <v>2235</v>
      </c>
      <c r="D992" t="s">
        <v>175</v>
      </c>
      <c r="F992">
        <v>10162804231</v>
      </c>
      <c r="G992">
        <v>7005978436</v>
      </c>
      <c r="H992">
        <v>6342421257</v>
      </c>
      <c r="I992">
        <v>6132717238</v>
      </c>
      <c r="J992">
        <v>5711150005</v>
      </c>
      <c r="K992">
        <v>4981739403</v>
      </c>
      <c r="L992">
        <v>4649809208</v>
      </c>
      <c r="M992">
        <v>4419390675</v>
      </c>
      <c r="N992">
        <v>4059127361</v>
      </c>
      <c r="O992">
        <v>3905067382</v>
      </c>
      <c r="P992">
        <v>353</v>
      </c>
      <c r="Q992" t="s">
        <v>2236</v>
      </c>
    </row>
    <row r="993" spans="1:17" x14ac:dyDescent="0.3">
      <c r="A993" t="s">
        <v>17</v>
      </c>
      <c r="B993" t="str">
        <f>"601686"</f>
        <v>601686</v>
      </c>
      <c r="C993" t="s">
        <v>2237</v>
      </c>
      <c r="D993" t="s">
        <v>2238</v>
      </c>
      <c r="F993">
        <v>6230332266</v>
      </c>
      <c r="G993">
        <v>6255044209</v>
      </c>
      <c r="H993">
        <v>3716508410</v>
      </c>
      <c r="I993">
        <v>2995845287</v>
      </c>
      <c r="J993">
        <v>2637738178</v>
      </c>
      <c r="K993">
        <v>2183727136</v>
      </c>
      <c r="P993">
        <v>57</v>
      </c>
      <c r="Q993" t="s">
        <v>2239</v>
      </c>
    </row>
    <row r="994" spans="1:17" x14ac:dyDescent="0.3">
      <c r="A994" t="s">
        <v>17</v>
      </c>
      <c r="B994" t="str">
        <f>"601688"</f>
        <v>601688</v>
      </c>
      <c r="C994" t="s">
        <v>2240</v>
      </c>
      <c r="D994" t="s">
        <v>80</v>
      </c>
      <c r="F994">
        <v>138426385389</v>
      </c>
      <c r="G994">
        <v>129071499419</v>
      </c>
      <c r="H994">
        <v>122537479428</v>
      </c>
      <c r="I994">
        <v>103393576925</v>
      </c>
      <c r="J994">
        <v>87335937716</v>
      </c>
      <c r="K994">
        <v>84357456362</v>
      </c>
      <c r="L994">
        <v>80784924865</v>
      </c>
      <c r="M994">
        <v>41298556412</v>
      </c>
      <c r="N994">
        <v>35698581640</v>
      </c>
      <c r="O994">
        <v>34181831245</v>
      </c>
      <c r="P994">
        <v>6874</v>
      </c>
      <c r="Q994" t="s">
        <v>2241</v>
      </c>
    </row>
    <row r="995" spans="1:17" x14ac:dyDescent="0.3">
      <c r="A995" t="s">
        <v>17</v>
      </c>
      <c r="B995" t="str">
        <f>"601689"</f>
        <v>601689</v>
      </c>
      <c r="C995" t="s">
        <v>2242</v>
      </c>
      <c r="D995" t="s">
        <v>348</v>
      </c>
      <c r="F995">
        <v>10588767194</v>
      </c>
      <c r="G995">
        <v>7786994894</v>
      </c>
      <c r="H995">
        <v>7375492363</v>
      </c>
      <c r="I995">
        <v>7220835806</v>
      </c>
      <c r="J995">
        <v>6468637906</v>
      </c>
      <c r="K995">
        <v>3371544292</v>
      </c>
      <c r="L995">
        <v>3155947252</v>
      </c>
      <c r="M995">
        <v>1475339642</v>
      </c>
      <c r="N995">
        <v>1436319857</v>
      </c>
      <c r="O995">
        <v>1096897404</v>
      </c>
      <c r="P995">
        <v>664</v>
      </c>
      <c r="Q995" t="s">
        <v>2243</v>
      </c>
    </row>
    <row r="996" spans="1:17" x14ac:dyDescent="0.3">
      <c r="A996" t="s">
        <v>17</v>
      </c>
      <c r="B996" t="str">
        <f>"601696"</f>
        <v>601696</v>
      </c>
      <c r="C996" t="s">
        <v>2244</v>
      </c>
      <c r="D996" t="s">
        <v>80</v>
      </c>
      <c r="F996">
        <v>15702318547</v>
      </c>
      <c r="G996">
        <v>14999893111</v>
      </c>
      <c r="H996">
        <v>12733120259</v>
      </c>
      <c r="I996">
        <v>12042245869</v>
      </c>
      <c r="J996">
        <v>11571409346</v>
      </c>
      <c r="K996">
        <v>10717055260</v>
      </c>
      <c r="L996">
        <v>10009257500</v>
      </c>
      <c r="M996">
        <v>7986373718</v>
      </c>
      <c r="N996">
        <v>7427555491</v>
      </c>
      <c r="O996">
        <v>4866868049</v>
      </c>
      <c r="P996">
        <v>516</v>
      </c>
      <c r="Q996" t="s">
        <v>2245</v>
      </c>
    </row>
    <row r="997" spans="1:17" x14ac:dyDescent="0.3">
      <c r="A997" t="s">
        <v>17</v>
      </c>
      <c r="B997" t="str">
        <f>"601698"</f>
        <v>601698</v>
      </c>
      <c r="C997" t="s">
        <v>2246</v>
      </c>
      <c r="D997" t="s">
        <v>284</v>
      </c>
      <c r="F997">
        <v>12005706042</v>
      </c>
      <c r="G997">
        <v>11583778376</v>
      </c>
      <c r="H997">
        <v>11303080314</v>
      </c>
      <c r="I997">
        <v>9763821596</v>
      </c>
      <c r="J997">
        <v>9283579697</v>
      </c>
      <c r="K997">
        <v>9249463564</v>
      </c>
      <c r="P997">
        <v>316</v>
      </c>
      <c r="Q997" t="s">
        <v>2247</v>
      </c>
    </row>
    <row r="998" spans="1:17" x14ac:dyDescent="0.3">
      <c r="A998" t="s">
        <v>17</v>
      </c>
      <c r="B998" t="str">
        <f>"601699"</f>
        <v>601699</v>
      </c>
      <c r="C998" t="s">
        <v>2248</v>
      </c>
      <c r="D998" t="s">
        <v>298</v>
      </c>
      <c r="F998">
        <v>34617567686</v>
      </c>
      <c r="G998">
        <v>27138173720</v>
      </c>
      <c r="H998">
        <v>24962941545</v>
      </c>
      <c r="I998">
        <v>23900932264</v>
      </c>
      <c r="J998">
        <v>21114241013</v>
      </c>
      <c r="K998">
        <v>18320290869</v>
      </c>
      <c r="L998">
        <v>17762888732</v>
      </c>
      <c r="M998">
        <v>18461384623</v>
      </c>
      <c r="N998">
        <v>17061625085</v>
      </c>
      <c r="O998">
        <v>16020161876</v>
      </c>
      <c r="P998">
        <v>791</v>
      </c>
      <c r="Q998" t="s">
        <v>2249</v>
      </c>
    </row>
    <row r="999" spans="1:17" x14ac:dyDescent="0.3">
      <c r="A999" t="s">
        <v>17</v>
      </c>
      <c r="B999" t="str">
        <f>"601700"</f>
        <v>601700</v>
      </c>
      <c r="C999" t="s">
        <v>2250</v>
      </c>
      <c r="D999" t="s">
        <v>1164</v>
      </c>
      <c r="F999">
        <v>2616300514</v>
      </c>
      <c r="G999">
        <v>2593657393</v>
      </c>
      <c r="H999">
        <v>2384575271</v>
      </c>
      <c r="I999">
        <v>2845230422</v>
      </c>
      <c r="J999">
        <v>2964962871</v>
      </c>
      <c r="K999">
        <v>3033944877</v>
      </c>
      <c r="L999">
        <v>2817660125</v>
      </c>
      <c r="M999">
        <v>2821060696</v>
      </c>
      <c r="N999">
        <v>2756645634</v>
      </c>
      <c r="O999">
        <v>2580639027</v>
      </c>
      <c r="P999">
        <v>126</v>
      </c>
      <c r="Q999" t="s">
        <v>2251</v>
      </c>
    </row>
    <row r="1000" spans="1:17" x14ac:dyDescent="0.3">
      <c r="A1000" t="s">
        <v>17</v>
      </c>
      <c r="B1000" t="str">
        <f>"601702"</f>
        <v>601702</v>
      </c>
      <c r="C1000" t="s">
        <v>2252</v>
      </c>
      <c r="D1000" t="s">
        <v>504</v>
      </c>
      <c r="F1000">
        <v>3140852230</v>
      </c>
      <c r="G1000">
        <v>2664137514</v>
      </c>
      <c r="H1000">
        <v>1516143907</v>
      </c>
      <c r="I1000">
        <v>1318097185</v>
      </c>
      <c r="J1000">
        <v>825112212</v>
      </c>
      <c r="P1000">
        <v>116</v>
      </c>
      <c r="Q1000" t="s">
        <v>2253</v>
      </c>
    </row>
    <row r="1001" spans="1:17" x14ac:dyDescent="0.3">
      <c r="A1001" t="s">
        <v>17</v>
      </c>
      <c r="B1001" t="str">
        <f>"601717"</f>
        <v>601717</v>
      </c>
      <c r="C1001" t="s">
        <v>2254</v>
      </c>
      <c r="D1001" t="s">
        <v>395</v>
      </c>
      <c r="F1001">
        <v>14795491306</v>
      </c>
      <c r="G1001">
        <v>13063794901</v>
      </c>
      <c r="H1001">
        <v>12239731258</v>
      </c>
      <c r="I1001">
        <v>11457211263</v>
      </c>
      <c r="J1001">
        <v>10800207562</v>
      </c>
      <c r="K1001">
        <v>9674172644</v>
      </c>
      <c r="L1001">
        <v>9502573210</v>
      </c>
      <c r="M1001">
        <v>9432317484</v>
      </c>
      <c r="N1001">
        <v>9518848730</v>
      </c>
      <c r="O1001">
        <v>9160778415</v>
      </c>
      <c r="P1001">
        <v>318</v>
      </c>
      <c r="Q1001" t="s">
        <v>2255</v>
      </c>
    </row>
    <row r="1002" spans="1:17" x14ac:dyDescent="0.3">
      <c r="A1002" t="s">
        <v>17</v>
      </c>
      <c r="B1002" t="str">
        <f>"601718"</f>
        <v>601718</v>
      </c>
      <c r="C1002" t="s">
        <v>2256</v>
      </c>
      <c r="D1002" t="s">
        <v>255</v>
      </c>
      <c r="F1002">
        <v>16914556537</v>
      </c>
      <c r="G1002">
        <v>17075895775</v>
      </c>
      <c r="H1002">
        <v>17976809585</v>
      </c>
      <c r="I1002">
        <v>17949772456</v>
      </c>
      <c r="J1002">
        <v>18804719061</v>
      </c>
      <c r="K1002">
        <v>13947823018</v>
      </c>
      <c r="L1002">
        <v>12833750157</v>
      </c>
      <c r="M1002">
        <v>11931150606</v>
      </c>
      <c r="N1002">
        <v>10878230382</v>
      </c>
      <c r="O1002">
        <v>10053251227</v>
      </c>
      <c r="P1002">
        <v>180</v>
      </c>
      <c r="Q1002" t="s">
        <v>2257</v>
      </c>
    </row>
    <row r="1003" spans="1:17" x14ac:dyDescent="0.3">
      <c r="A1003" t="s">
        <v>17</v>
      </c>
      <c r="B1003" t="str">
        <f>"601727"</f>
        <v>601727</v>
      </c>
      <c r="C1003" t="s">
        <v>2258</v>
      </c>
      <c r="D1003" t="s">
        <v>973</v>
      </c>
      <c r="F1003">
        <v>58134328000</v>
      </c>
      <c r="G1003">
        <v>66400834000</v>
      </c>
      <c r="H1003">
        <v>63345856000</v>
      </c>
      <c r="I1003">
        <v>57290196000</v>
      </c>
      <c r="J1003">
        <v>55537083000</v>
      </c>
      <c r="K1003">
        <v>45092754000</v>
      </c>
      <c r="L1003">
        <v>37251086000</v>
      </c>
      <c r="M1003">
        <v>34236392000</v>
      </c>
      <c r="N1003">
        <v>32205954000</v>
      </c>
      <c r="O1003">
        <v>30506562000</v>
      </c>
      <c r="P1003">
        <v>551</v>
      </c>
      <c r="Q1003" t="s">
        <v>2259</v>
      </c>
    </row>
    <row r="1004" spans="1:17" x14ac:dyDescent="0.3">
      <c r="A1004" t="s">
        <v>17</v>
      </c>
      <c r="B1004" t="str">
        <f>"601728"</f>
        <v>601728</v>
      </c>
      <c r="C1004" t="s">
        <v>2260</v>
      </c>
      <c r="D1004" t="s">
        <v>107</v>
      </c>
      <c r="F1004">
        <v>428681345459</v>
      </c>
      <c r="G1004">
        <v>363463000000</v>
      </c>
      <c r="H1004">
        <v>352517000000</v>
      </c>
      <c r="I1004">
        <v>343076000000</v>
      </c>
      <c r="P1004">
        <v>144</v>
      </c>
      <c r="Q1004" t="s">
        <v>2261</v>
      </c>
    </row>
    <row r="1005" spans="1:17" x14ac:dyDescent="0.3">
      <c r="A1005" t="s">
        <v>17</v>
      </c>
      <c r="B1005" t="str">
        <f>"601766"</f>
        <v>601766</v>
      </c>
      <c r="C1005" t="s">
        <v>2262</v>
      </c>
      <c r="D1005" t="s">
        <v>1012</v>
      </c>
      <c r="F1005">
        <v>148574346000</v>
      </c>
      <c r="G1005">
        <v>143021347000</v>
      </c>
      <c r="H1005">
        <v>135893631000</v>
      </c>
      <c r="I1005">
        <v>128457695000</v>
      </c>
      <c r="J1005">
        <v>121558591000</v>
      </c>
      <c r="K1005">
        <v>104856609000</v>
      </c>
      <c r="L1005">
        <v>96900316000</v>
      </c>
      <c r="M1005">
        <v>40510531065</v>
      </c>
      <c r="N1005">
        <v>36559903015</v>
      </c>
      <c r="O1005">
        <v>32755426981</v>
      </c>
      <c r="P1005">
        <v>1205</v>
      </c>
      <c r="Q1005" t="s">
        <v>2263</v>
      </c>
    </row>
    <row r="1006" spans="1:17" x14ac:dyDescent="0.3">
      <c r="A1006" t="s">
        <v>17</v>
      </c>
      <c r="B1006" t="str">
        <f>"601777"</f>
        <v>601777</v>
      </c>
      <c r="C1006" t="s">
        <v>2264</v>
      </c>
      <c r="D1006" t="s">
        <v>1656</v>
      </c>
      <c r="F1006">
        <v>10169667235</v>
      </c>
      <c r="G1006">
        <v>10075401050</v>
      </c>
      <c r="H1006">
        <v>2744301895</v>
      </c>
      <c r="I1006">
        <v>7451790945</v>
      </c>
      <c r="J1006">
        <v>7191012051</v>
      </c>
      <c r="K1006">
        <v>6732801301</v>
      </c>
      <c r="L1006">
        <v>6830262081</v>
      </c>
      <c r="M1006">
        <v>5408066142</v>
      </c>
      <c r="N1006">
        <v>5714220619</v>
      </c>
      <c r="O1006">
        <v>4909796202</v>
      </c>
      <c r="P1006">
        <v>154</v>
      </c>
      <c r="Q1006" t="s">
        <v>2265</v>
      </c>
    </row>
    <row r="1007" spans="1:17" x14ac:dyDescent="0.3">
      <c r="A1007" t="s">
        <v>17</v>
      </c>
      <c r="B1007" t="str">
        <f>"601778"</f>
        <v>601778</v>
      </c>
      <c r="C1007" t="s">
        <v>2266</v>
      </c>
      <c r="D1007" t="s">
        <v>86</v>
      </c>
      <c r="F1007">
        <v>11920971837</v>
      </c>
      <c r="G1007">
        <v>11069714240</v>
      </c>
      <c r="H1007">
        <v>8255697202</v>
      </c>
      <c r="I1007">
        <v>7524783383</v>
      </c>
      <c r="J1007">
        <v>5679150027</v>
      </c>
      <c r="K1007">
        <v>3007529057</v>
      </c>
      <c r="P1007">
        <v>221</v>
      </c>
      <c r="Q1007" t="s">
        <v>2267</v>
      </c>
    </row>
    <row r="1008" spans="1:17" x14ac:dyDescent="0.3">
      <c r="A1008" t="s">
        <v>17</v>
      </c>
      <c r="B1008" t="str">
        <f>"601788"</f>
        <v>601788</v>
      </c>
      <c r="C1008" t="s">
        <v>2268</v>
      </c>
      <c r="D1008" t="s">
        <v>80</v>
      </c>
      <c r="F1008">
        <v>52866537968</v>
      </c>
      <c r="G1008">
        <v>50448879695</v>
      </c>
      <c r="H1008">
        <v>47444724840</v>
      </c>
      <c r="I1008">
        <v>47203026662</v>
      </c>
      <c r="J1008">
        <v>48575912325</v>
      </c>
      <c r="K1008">
        <v>47195711243</v>
      </c>
      <c r="L1008">
        <v>40482598448</v>
      </c>
      <c r="M1008">
        <v>25809062318</v>
      </c>
      <c r="N1008">
        <v>22836227221</v>
      </c>
      <c r="O1008">
        <v>22172479056</v>
      </c>
      <c r="P1008">
        <v>1149</v>
      </c>
      <c r="Q1008" t="s">
        <v>2269</v>
      </c>
    </row>
    <row r="1009" spans="1:17" x14ac:dyDescent="0.3">
      <c r="A1009" t="s">
        <v>17</v>
      </c>
      <c r="B1009" t="str">
        <f>"601789"</f>
        <v>601789</v>
      </c>
      <c r="C1009" t="s">
        <v>2270</v>
      </c>
      <c r="D1009" t="s">
        <v>398</v>
      </c>
      <c r="F1009">
        <v>3372545541</v>
      </c>
      <c r="G1009">
        <v>3070269345</v>
      </c>
      <c r="H1009">
        <v>2894426344</v>
      </c>
      <c r="I1009">
        <v>2734711505</v>
      </c>
      <c r="J1009">
        <v>2584898350</v>
      </c>
      <c r="K1009">
        <v>2441819395</v>
      </c>
      <c r="L1009">
        <v>2300556218</v>
      </c>
      <c r="M1009">
        <v>2175478783</v>
      </c>
      <c r="N1009">
        <v>2063807318</v>
      </c>
      <c r="O1009">
        <v>1724997379</v>
      </c>
      <c r="P1009">
        <v>147</v>
      </c>
      <c r="Q1009" t="s">
        <v>2271</v>
      </c>
    </row>
    <row r="1010" spans="1:17" x14ac:dyDescent="0.3">
      <c r="A1010" t="s">
        <v>17</v>
      </c>
      <c r="B1010" t="str">
        <f>"601798"</f>
        <v>601798</v>
      </c>
      <c r="C1010" t="s">
        <v>2272</v>
      </c>
      <c r="D1010" t="s">
        <v>395</v>
      </c>
      <c r="F1010">
        <v>1606901968</v>
      </c>
      <c r="G1010">
        <v>1780398574</v>
      </c>
      <c r="H1010">
        <v>1760356437</v>
      </c>
      <c r="I1010">
        <v>1800282051</v>
      </c>
      <c r="J1010">
        <v>1736860224</v>
      </c>
      <c r="K1010">
        <v>1822289540</v>
      </c>
      <c r="L1010">
        <v>1965215237</v>
      </c>
      <c r="M1010">
        <v>1935869318</v>
      </c>
      <c r="N1010">
        <v>1716944623</v>
      </c>
      <c r="O1010">
        <v>1657100321</v>
      </c>
      <c r="P1010">
        <v>77</v>
      </c>
      <c r="Q1010" t="s">
        <v>2273</v>
      </c>
    </row>
    <row r="1011" spans="1:17" x14ac:dyDescent="0.3">
      <c r="A1011" t="s">
        <v>17</v>
      </c>
      <c r="B1011" t="str">
        <f>"601799"</f>
        <v>601799</v>
      </c>
      <c r="C1011" t="s">
        <v>2274</v>
      </c>
      <c r="D1011" t="s">
        <v>1415</v>
      </c>
      <c r="F1011">
        <v>7859029733</v>
      </c>
      <c r="G1011">
        <v>5768574532</v>
      </c>
      <c r="H1011">
        <v>4885259877</v>
      </c>
      <c r="I1011">
        <v>4368407697</v>
      </c>
      <c r="J1011">
        <v>4022084042</v>
      </c>
      <c r="K1011">
        <v>3749367788</v>
      </c>
      <c r="L1011">
        <v>2094948460</v>
      </c>
      <c r="M1011">
        <v>1986196381</v>
      </c>
      <c r="N1011">
        <v>1888678411</v>
      </c>
      <c r="O1011">
        <v>1826083811</v>
      </c>
      <c r="P1011">
        <v>1014</v>
      </c>
      <c r="Q1011" t="s">
        <v>2275</v>
      </c>
    </row>
    <row r="1012" spans="1:17" x14ac:dyDescent="0.3">
      <c r="A1012" t="s">
        <v>17</v>
      </c>
      <c r="B1012" t="str">
        <f>"601800"</f>
        <v>601800</v>
      </c>
      <c r="C1012" t="s">
        <v>2276</v>
      </c>
      <c r="D1012" t="s">
        <v>101</v>
      </c>
      <c r="F1012">
        <v>226388266509</v>
      </c>
      <c r="G1012">
        <v>211133038488</v>
      </c>
      <c r="H1012">
        <v>199730040072</v>
      </c>
      <c r="I1012">
        <v>172752141278</v>
      </c>
      <c r="J1012">
        <v>161839876414</v>
      </c>
      <c r="K1012">
        <v>140235477870</v>
      </c>
      <c r="L1012">
        <v>127806596997</v>
      </c>
      <c r="M1012">
        <v>117076079844</v>
      </c>
      <c r="N1012">
        <v>95506291211</v>
      </c>
      <c r="O1012">
        <v>87681229113</v>
      </c>
      <c r="P1012">
        <v>899</v>
      </c>
      <c r="Q1012" t="s">
        <v>2277</v>
      </c>
    </row>
    <row r="1013" spans="1:17" x14ac:dyDescent="0.3">
      <c r="A1013" t="s">
        <v>17</v>
      </c>
      <c r="B1013" t="str">
        <f>"601801"</f>
        <v>601801</v>
      </c>
      <c r="C1013" t="s">
        <v>2278</v>
      </c>
      <c r="D1013" t="s">
        <v>525</v>
      </c>
      <c r="F1013">
        <v>10926183442</v>
      </c>
      <c r="G1013">
        <v>10604744203</v>
      </c>
      <c r="H1013">
        <v>10346108995</v>
      </c>
      <c r="I1013">
        <v>10020072971</v>
      </c>
      <c r="J1013">
        <v>9312834318</v>
      </c>
      <c r="K1013">
        <v>8551229175</v>
      </c>
      <c r="L1013">
        <v>5738478173</v>
      </c>
      <c r="M1013">
        <v>5151749298</v>
      </c>
      <c r="N1013">
        <v>4619546788</v>
      </c>
      <c r="O1013">
        <v>4137581322</v>
      </c>
      <c r="P1013">
        <v>267</v>
      </c>
      <c r="Q1013" t="s">
        <v>2279</v>
      </c>
    </row>
    <row r="1014" spans="1:17" x14ac:dyDescent="0.3">
      <c r="A1014" t="s">
        <v>17</v>
      </c>
      <c r="B1014" t="str">
        <f>"601808"</f>
        <v>601808</v>
      </c>
      <c r="C1014" t="s">
        <v>2280</v>
      </c>
      <c r="D1014" t="s">
        <v>1762</v>
      </c>
      <c r="F1014">
        <v>38032831030</v>
      </c>
      <c r="G1014">
        <v>38509929573</v>
      </c>
      <c r="H1014">
        <v>36734191398</v>
      </c>
      <c r="I1014">
        <v>34529875879</v>
      </c>
      <c r="J1014">
        <v>34554853096</v>
      </c>
      <c r="K1014">
        <v>35206366815</v>
      </c>
      <c r="L1014">
        <v>46741378424</v>
      </c>
      <c r="M1014">
        <v>47272634158</v>
      </c>
      <c r="N1014">
        <v>37238661648</v>
      </c>
      <c r="O1014">
        <v>32193909747</v>
      </c>
      <c r="P1014">
        <v>411</v>
      </c>
      <c r="Q1014" t="s">
        <v>2281</v>
      </c>
    </row>
    <row r="1015" spans="1:17" x14ac:dyDescent="0.3">
      <c r="A1015" t="s">
        <v>17</v>
      </c>
      <c r="B1015" t="str">
        <f>"601811"</f>
        <v>601811</v>
      </c>
      <c r="C1015" t="s">
        <v>2282</v>
      </c>
      <c r="D1015" t="s">
        <v>1536</v>
      </c>
      <c r="F1015">
        <v>11221560024</v>
      </c>
      <c r="G1015">
        <v>10136844481</v>
      </c>
      <c r="H1015">
        <v>9207249787</v>
      </c>
      <c r="I1015">
        <v>8480563534</v>
      </c>
      <c r="J1015">
        <v>8027301715</v>
      </c>
      <c r="K1015">
        <v>8335690361</v>
      </c>
      <c r="L1015">
        <v>7270670930</v>
      </c>
      <c r="M1015">
        <v>5958059910</v>
      </c>
      <c r="N1015">
        <v>5410661222</v>
      </c>
      <c r="P1015">
        <v>276</v>
      </c>
      <c r="Q1015" t="s">
        <v>2283</v>
      </c>
    </row>
    <row r="1016" spans="1:17" x14ac:dyDescent="0.3">
      <c r="A1016" t="s">
        <v>17</v>
      </c>
      <c r="B1016" t="str">
        <f>"601816"</f>
        <v>601816</v>
      </c>
      <c r="C1016" t="s">
        <v>2284</v>
      </c>
      <c r="D1016" t="s">
        <v>301</v>
      </c>
      <c r="F1016">
        <v>186849882544</v>
      </c>
      <c r="G1016">
        <v>183628657851</v>
      </c>
      <c r="H1016">
        <v>158774193751</v>
      </c>
      <c r="I1016">
        <v>148173220467</v>
      </c>
      <c r="J1016">
        <v>144382510783</v>
      </c>
      <c r="K1016">
        <v>139562591118</v>
      </c>
      <c r="P1016">
        <v>977</v>
      </c>
      <c r="Q1016" t="s">
        <v>2285</v>
      </c>
    </row>
    <row r="1017" spans="1:17" x14ac:dyDescent="0.3">
      <c r="A1017" t="s">
        <v>17</v>
      </c>
      <c r="B1017" t="str">
        <f>"601818"</f>
        <v>601818</v>
      </c>
      <c r="C1017" t="s">
        <v>2286</v>
      </c>
      <c r="D1017" t="s">
        <v>19</v>
      </c>
      <c r="F1017">
        <v>373427000000</v>
      </c>
      <c r="G1017">
        <v>344387000000</v>
      </c>
      <c r="H1017">
        <v>314915000000</v>
      </c>
      <c r="I1017">
        <v>286380000000</v>
      </c>
      <c r="J1017">
        <v>269652000000</v>
      </c>
      <c r="K1017">
        <v>220508000000</v>
      </c>
      <c r="L1017">
        <v>203528000000</v>
      </c>
      <c r="M1017">
        <v>178975000000</v>
      </c>
      <c r="N1017">
        <v>152839000000</v>
      </c>
      <c r="O1017">
        <v>114178000000</v>
      </c>
      <c r="P1017">
        <v>15856</v>
      </c>
      <c r="Q1017" t="s">
        <v>2287</v>
      </c>
    </row>
    <row r="1018" spans="1:17" x14ac:dyDescent="0.3">
      <c r="A1018" t="s">
        <v>17</v>
      </c>
      <c r="B1018" t="str">
        <f>"601825"</f>
        <v>601825</v>
      </c>
      <c r="C1018" t="s">
        <v>2288</v>
      </c>
      <c r="D1018" t="s">
        <v>1831</v>
      </c>
      <c r="F1018">
        <v>93768103000</v>
      </c>
      <c r="G1018">
        <v>77210844000</v>
      </c>
      <c r="H1018">
        <v>71149880000</v>
      </c>
      <c r="I1018">
        <v>63635638000</v>
      </c>
      <c r="J1018">
        <v>51682125000</v>
      </c>
      <c r="P1018">
        <v>57</v>
      </c>
      <c r="Q1018" t="s">
        <v>2289</v>
      </c>
    </row>
    <row r="1019" spans="1:17" x14ac:dyDescent="0.3">
      <c r="A1019" t="s">
        <v>17</v>
      </c>
      <c r="B1019" t="str">
        <f>"601827"</f>
        <v>601827</v>
      </c>
      <c r="C1019" t="s">
        <v>2290</v>
      </c>
      <c r="D1019" t="s">
        <v>499</v>
      </c>
      <c r="F1019">
        <v>8808670176</v>
      </c>
      <c r="G1019">
        <v>7763542315</v>
      </c>
      <c r="H1019">
        <v>4547613128</v>
      </c>
      <c r="I1019">
        <v>3978793887</v>
      </c>
      <c r="J1019">
        <v>3567529041</v>
      </c>
      <c r="P1019">
        <v>143</v>
      </c>
      <c r="Q1019" t="s">
        <v>2291</v>
      </c>
    </row>
    <row r="1020" spans="1:17" x14ac:dyDescent="0.3">
      <c r="A1020" t="s">
        <v>17</v>
      </c>
      <c r="B1020" t="str">
        <f>"601828"</f>
        <v>601828</v>
      </c>
      <c r="C1020" t="s">
        <v>2292</v>
      </c>
      <c r="D1020" t="s">
        <v>271</v>
      </c>
      <c r="F1020">
        <v>53981799417</v>
      </c>
      <c r="G1020">
        <v>47563218944</v>
      </c>
      <c r="H1020">
        <v>45714637942</v>
      </c>
      <c r="I1020">
        <v>41714060715</v>
      </c>
      <c r="J1020">
        <v>40426771946</v>
      </c>
      <c r="K1020">
        <v>36565852072</v>
      </c>
      <c r="L1020">
        <v>34878871311</v>
      </c>
      <c r="M1020">
        <v>28120623314</v>
      </c>
      <c r="P1020">
        <v>351</v>
      </c>
      <c r="Q1020" t="s">
        <v>2293</v>
      </c>
    </row>
    <row r="1021" spans="1:17" x14ac:dyDescent="0.3">
      <c r="A1021" t="s">
        <v>17</v>
      </c>
      <c r="B1021" t="str">
        <f>"601838"</f>
        <v>601838</v>
      </c>
      <c r="C1021" t="s">
        <v>2294</v>
      </c>
      <c r="D1021" t="s">
        <v>1842</v>
      </c>
      <c r="F1021">
        <v>45940573000</v>
      </c>
      <c r="G1021">
        <v>40033916000</v>
      </c>
      <c r="H1021">
        <v>35550897000</v>
      </c>
      <c r="I1021">
        <v>31199444000</v>
      </c>
      <c r="J1021">
        <v>24952212000</v>
      </c>
      <c r="K1021">
        <v>21912521000</v>
      </c>
      <c r="L1021">
        <v>20211078000</v>
      </c>
      <c r="M1021">
        <v>18136280000</v>
      </c>
      <c r="N1021">
        <v>15214465000</v>
      </c>
      <c r="O1021">
        <v>12880947000</v>
      </c>
      <c r="P1021">
        <v>1326</v>
      </c>
      <c r="Q1021" t="s">
        <v>2295</v>
      </c>
    </row>
    <row r="1022" spans="1:17" x14ac:dyDescent="0.3">
      <c r="A1022" t="s">
        <v>17</v>
      </c>
      <c r="B1022" t="str">
        <f>"601857"</f>
        <v>601857</v>
      </c>
      <c r="C1022" t="s">
        <v>2296</v>
      </c>
      <c r="D1022" t="s">
        <v>74</v>
      </c>
      <c r="F1022">
        <v>1263815000000</v>
      </c>
      <c r="G1022">
        <v>1215421000000</v>
      </c>
      <c r="H1022">
        <v>1230428000000</v>
      </c>
      <c r="I1022">
        <v>1214570000000</v>
      </c>
      <c r="J1022">
        <v>1193810000000</v>
      </c>
      <c r="K1022">
        <v>1189319000000</v>
      </c>
      <c r="L1022">
        <v>1179968000000</v>
      </c>
      <c r="M1022">
        <v>1176010000000</v>
      </c>
      <c r="N1022">
        <v>1132850000000</v>
      </c>
      <c r="O1022">
        <v>1064147000000</v>
      </c>
      <c r="P1022">
        <v>1280</v>
      </c>
      <c r="Q1022" t="s">
        <v>2297</v>
      </c>
    </row>
    <row r="1023" spans="1:17" x14ac:dyDescent="0.3">
      <c r="A1023" t="s">
        <v>17</v>
      </c>
      <c r="B1023" t="str">
        <f>"601858"</f>
        <v>601858</v>
      </c>
      <c r="C1023" t="s">
        <v>2298</v>
      </c>
      <c r="D1023" t="s">
        <v>525</v>
      </c>
      <c r="F1023">
        <v>4551534650</v>
      </c>
      <c r="G1023">
        <v>4250791094</v>
      </c>
      <c r="H1023">
        <v>3950667381</v>
      </c>
      <c r="I1023">
        <v>3532633642</v>
      </c>
      <c r="J1023">
        <v>3252291221</v>
      </c>
      <c r="K1023">
        <v>2060998000</v>
      </c>
      <c r="L1023">
        <v>1915340511</v>
      </c>
      <c r="M1023">
        <v>1683982317</v>
      </c>
      <c r="N1023">
        <v>1458940445</v>
      </c>
      <c r="P1023">
        <v>178</v>
      </c>
      <c r="Q1023" t="s">
        <v>2299</v>
      </c>
    </row>
    <row r="1024" spans="1:17" x14ac:dyDescent="0.3">
      <c r="A1024" t="s">
        <v>17</v>
      </c>
      <c r="B1024" t="str">
        <f>"601860"</f>
        <v>601860</v>
      </c>
      <c r="C1024" t="s">
        <v>2300</v>
      </c>
      <c r="D1024" t="s">
        <v>1831</v>
      </c>
      <c r="F1024">
        <v>15559655000</v>
      </c>
      <c r="G1024">
        <v>14375528000</v>
      </c>
      <c r="H1024">
        <v>13749160000</v>
      </c>
      <c r="I1024">
        <v>12293870506</v>
      </c>
      <c r="J1024">
        <v>9954831117</v>
      </c>
      <c r="K1024">
        <v>9314085965</v>
      </c>
      <c r="L1024">
        <v>6025338062</v>
      </c>
      <c r="M1024">
        <v>5384001000</v>
      </c>
      <c r="N1024">
        <v>4628174000</v>
      </c>
      <c r="O1024">
        <v>4243233980</v>
      </c>
      <c r="P1024">
        <v>332</v>
      </c>
      <c r="Q1024" t="s">
        <v>2301</v>
      </c>
    </row>
    <row r="1025" spans="1:17" x14ac:dyDescent="0.3">
      <c r="A1025" t="s">
        <v>17</v>
      </c>
      <c r="B1025" t="str">
        <f>"601865"</f>
        <v>601865</v>
      </c>
      <c r="C1025" t="s">
        <v>2302</v>
      </c>
      <c r="D1025" t="s">
        <v>478</v>
      </c>
      <c r="F1025">
        <v>11810169073</v>
      </c>
      <c r="G1025">
        <v>7185340970</v>
      </c>
      <c r="H1025">
        <v>4512888388</v>
      </c>
      <c r="I1025">
        <v>3668653664</v>
      </c>
      <c r="J1025">
        <v>3250373373</v>
      </c>
      <c r="K1025">
        <v>2957648895</v>
      </c>
      <c r="L1025">
        <v>2572775045</v>
      </c>
      <c r="P1025">
        <v>925</v>
      </c>
      <c r="Q1025" t="s">
        <v>2303</v>
      </c>
    </row>
    <row r="1026" spans="1:17" x14ac:dyDescent="0.3">
      <c r="A1026" t="s">
        <v>17</v>
      </c>
      <c r="B1026" t="str">
        <f>"601866"</f>
        <v>601866</v>
      </c>
      <c r="C1026" t="s">
        <v>2304</v>
      </c>
      <c r="D1026" t="s">
        <v>69</v>
      </c>
      <c r="F1026">
        <v>27688898902</v>
      </c>
      <c r="G1026">
        <v>18370007060</v>
      </c>
      <c r="H1026">
        <v>17207718480</v>
      </c>
      <c r="I1026">
        <v>16040136634</v>
      </c>
      <c r="J1026">
        <v>15276161993</v>
      </c>
      <c r="K1026">
        <v>13250047158</v>
      </c>
      <c r="L1026">
        <v>22174233223</v>
      </c>
      <c r="M1026">
        <v>24792436299</v>
      </c>
      <c r="N1026">
        <v>23771459717</v>
      </c>
      <c r="O1026">
        <v>26528576586</v>
      </c>
      <c r="P1026">
        <v>336</v>
      </c>
      <c r="Q1026" t="s">
        <v>2305</v>
      </c>
    </row>
    <row r="1027" spans="1:17" x14ac:dyDescent="0.3">
      <c r="A1027" t="s">
        <v>17</v>
      </c>
      <c r="B1027" t="str">
        <f>"601868"</f>
        <v>601868</v>
      </c>
      <c r="C1027" t="s">
        <v>2306</v>
      </c>
      <c r="D1027" t="s">
        <v>101</v>
      </c>
      <c r="F1027">
        <v>84698680000</v>
      </c>
      <c r="P1027">
        <v>152</v>
      </c>
      <c r="Q1027" t="s">
        <v>2307</v>
      </c>
    </row>
    <row r="1028" spans="1:17" x14ac:dyDescent="0.3">
      <c r="A1028" t="s">
        <v>17</v>
      </c>
      <c r="B1028" t="str">
        <f>"601869"</f>
        <v>601869</v>
      </c>
      <c r="C1028" t="s">
        <v>2308</v>
      </c>
      <c r="D1028" t="s">
        <v>250</v>
      </c>
      <c r="F1028">
        <v>9781997943</v>
      </c>
      <c r="G1028">
        <v>9047489832</v>
      </c>
      <c r="H1028">
        <v>8788220362</v>
      </c>
      <c r="I1028">
        <v>8188034194</v>
      </c>
      <c r="J1028">
        <v>5238319023</v>
      </c>
      <c r="K1028">
        <v>4165882998</v>
      </c>
      <c r="L1028">
        <v>3547954531</v>
      </c>
      <c r="P1028">
        <v>403</v>
      </c>
      <c r="Q1028" t="s">
        <v>2309</v>
      </c>
    </row>
    <row r="1029" spans="1:17" x14ac:dyDescent="0.3">
      <c r="A1029" t="s">
        <v>17</v>
      </c>
      <c r="B1029" t="str">
        <f>"601872"</f>
        <v>601872</v>
      </c>
      <c r="C1029" t="s">
        <v>2310</v>
      </c>
      <c r="D1029" t="s">
        <v>69</v>
      </c>
      <c r="F1029">
        <v>26403065872</v>
      </c>
      <c r="G1029">
        <v>25562623365</v>
      </c>
      <c r="H1029">
        <v>25319782347</v>
      </c>
      <c r="I1029">
        <v>20262118427</v>
      </c>
      <c r="J1029">
        <v>15216447821</v>
      </c>
      <c r="K1029">
        <v>15969159586</v>
      </c>
      <c r="L1029">
        <v>13697609561</v>
      </c>
      <c r="M1029">
        <v>10090282795</v>
      </c>
      <c r="N1029">
        <v>9898695456</v>
      </c>
      <c r="O1029">
        <v>12306337040</v>
      </c>
      <c r="P1029">
        <v>574</v>
      </c>
      <c r="Q1029" t="s">
        <v>2311</v>
      </c>
    </row>
    <row r="1030" spans="1:17" x14ac:dyDescent="0.3">
      <c r="A1030" t="s">
        <v>17</v>
      </c>
      <c r="B1030" t="str">
        <f>"601877"</f>
        <v>601877</v>
      </c>
      <c r="C1030" t="s">
        <v>2312</v>
      </c>
      <c r="D1030" t="s">
        <v>657</v>
      </c>
      <c r="F1030">
        <v>32018621660</v>
      </c>
      <c r="G1030">
        <v>29912648150</v>
      </c>
      <c r="H1030">
        <v>24220828823</v>
      </c>
      <c r="I1030">
        <v>21648870733</v>
      </c>
      <c r="J1030">
        <v>19986459178</v>
      </c>
      <c r="K1030">
        <v>13380441491</v>
      </c>
      <c r="L1030">
        <v>6705446074</v>
      </c>
      <c r="M1030">
        <v>6039919690</v>
      </c>
      <c r="N1030">
        <v>5251142783</v>
      </c>
      <c r="O1030">
        <v>4540051833</v>
      </c>
      <c r="P1030">
        <v>34820</v>
      </c>
      <c r="Q1030" t="s">
        <v>2313</v>
      </c>
    </row>
    <row r="1031" spans="1:17" x14ac:dyDescent="0.3">
      <c r="A1031" t="s">
        <v>17</v>
      </c>
      <c r="B1031" t="str">
        <f>"601878"</f>
        <v>601878</v>
      </c>
      <c r="C1031" t="s">
        <v>2314</v>
      </c>
      <c r="D1031" t="s">
        <v>80</v>
      </c>
      <c r="F1031">
        <v>23836850046</v>
      </c>
      <c r="G1031">
        <v>19349183025</v>
      </c>
      <c r="H1031">
        <v>14387718705</v>
      </c>
      <c r="I1031">
        <v>13664167036</v>
      </c>
      <c r="J1031">
        <v>13513891234</v>
      </c>
      <c r="K1031">
        <v>9565498902</v>
      </c>
      <c r="L1031">
        <v>8444235955</v>
      </c>
      <c r="M1031">
        <v>6555548462</v>
      </c>
      <c r="N1031">
        <v>5753847916.6899996</v>
      </c>
      <c r="O1031">
        <v>5347353210.75</v>
      </c>
      <c r="P1031">
        <v>842</v>
      </c>
      <c r="Q1031" t="s">
        <v>2315</v>
      </c>
    </row>
    <row r="1032" spans="1:17" x14ac:dyDescent="0.3">
      <c r="A1032" t="s">
        <v>17</v>
      </c>
      <c r="B1032" t="str">
        <f>"601880"</f>
        <v>601880</v>
      </c>
      <c r="C1032" t="s">
        <v>2316</v>
      </c>
      <c r="D1032" t="s">
        <v>51</v>
      </c>
      <c r="F1032">
        <v>37946034486</v>
      </c>
      <c r="G1032">
        <v>19353012886</v>
      </c>
      <c r="H1032">
        <v>18769789723</v>
      </c>
      <c r="I1032">
        <v>18276366264</v>
      </c>
      <c r="J1032">
        <v>18059929364</v>
      </c>
      <c r="K1032">
        <v>17773316926</v>
      </c>
      <c r="L1032">
        <v>14038472260</v>
      </c>
      <c r="M1032">
        <v>13705366481</v>
      </c>
      <c r="N1032">
        <v>13444744195</v>
      </c>
      <c r="O1032">
        <v>12964561921</v>
      </c>
      <c r="P1032">
        <v>189</v>
      </c>
      <c r="Q1032" t="s">
        <v>2317</v>
      </c>
    </row>
    <row r="1033" spans="1:17" x14ac:dyDescent="0.3">
      <c r="A1033" t="s">
        <v>17</v>
      </c>
      <c r="B1033" t="str">
        <f>"601881"</f>
        <v>601881</v>
      </c>
      <c r="C1033" t="s">
        <v>2318</v>
      </c>
      <c r="D1033" t="s">
        <v>80</v>
      </c>
      <c r="F1033">
        <v>84069947482</v>
      </c>
      <c r="G1033">
        <v>76292358574</v>
      </c>
      <c r="H1033">
        <v>70895594078</v>
      </c>
      <c r="I1033">
        <v>65982087431</v>
      </c>
      <c r="J1033">
        <v>64513027189</v>
      </c>
      <c r="K1033">
        <v>57988546200</v>
      </c>
      <c r="L1033">
        <v>56913565848</v>
      </c>
      <c r="M1033">
        <v>29023796869</v>
      </c>
      <c r="N1033">
        <v>25174827848</v>
      </c>
      <c r="O1033">
        <v>17429858401.029999</v>
      </c>
      <c r="P1033">
        <v>1598</v>
      </c>
      <c r="Q1033" t="s">
        <v>2319</v>
      </c>
    </row>
    <row r="1034" spans="1:17" x14ac:dyDescent="0.3">
      <c r="A1034" t="s">
        <v>17</v>
      </c>
      <c r="B1034" t="str">
        <f>"601882"</f>
        <v>601882</v>
      </c>
      <c r="C1034" t="s">
        <v>2320</v>
      </c>
      <c r="D1034" t="s">
        <v>2321</v>
      </c>
      <c r="F1034">
        <v>1645518105</v>
      </c>
      <c r="G1034">
        <v>1398968359</v>
      </c>
      <c r="H1034">
        <v>1284540089</v>
      </c>
      <c r="I1034">
        <v>1238484911</v>
      </c>
      <c r="J1034">
        <v>1164212163</v>
      </c>
      <c r="K1034">
        <v>1080785046</v>
      </c>
      <c r="L1034">
        <v>973334357</v>
      </c>
      <c r="M1034">
        <v>942788381</v>
      </c>
      <c r="N1034">
        <v>881767413</v>
      </c>
      <c r="P1034">
        <v>188</v>
      </c>
      <c r="Q1034" t="s">
        <v>2322</v>
      </c>
    </row>
    <row r="1035" spans="1:17" x14ac:dyDescent="0.3">
      <c r="A1035" t="s">
        <v>17</v>
      </c>
      <c r="B1035" t="str">
        <f>"601886"</f>
        <v>601886</v>
      </c>
      <c r="C1035" t="s">
        <v>2323</v>
      </c>
      <c r="D1035" t="s">
        <v>450</v>
      </c>
      <c r="F1035">
        <v>6340078607</v>
      </c>
      <c r="G1035">
        <v>8615011438</v>
      </c>
      <c r="H1035">
        <v>7789316662</v>
      </c>
      <c r="I1035">
        <v>7617762697</v>
      </c>
      <c r="J1035">
        <v>6892604665</v>
      </c>
      <c r="K1035">
        <v>6681798603</v>
      </c>
      <c r="L1035">
        <v>5959747005</v>
      </c>
      <c r="M1035">
        <v>5239768925</v>
      </c>
      <c r="N1035">
        <v>4653861282</v>
      </c>
      <c r="O1035">
        <v>4479665794</v>
      </c>
      <c r="P1035">
        <v>177</v>
      </c>
      <c r="Q1035" t="s">
        <v>2324</v>
      </c>
    </row>
    <row r="1036" spans="1:17" x14ac:dyDescent="0.3">
      <c r="A1036" t="s">
        <v>17</v>
      </c>
      <c r="B1036" t="str">
        <f>"601888"</f>
        <v>601888</v>
      </c>
      <c r="C1036" t="s">
        <v>2325</v>
      </c>
      <c r="D1036" t="s">
        <v>2326</v>
      </c>
      <c r="F1036">
        <v>29618798051</v>
      </c>
      <c r="G1036">
        <v>22307710332</v>
      </c>
      <c r="H1036">
        <v>19889653987</v>
      </c>
      <c r="I1036">
        <v>16235305030</v>
      </c>
      <c r="J1036">
        <v>14033111254</v>
      </c>
      <c r="K1036">
        <v>12599356012</v>
      </c>
      <c r="L1036">
        <v>11181107323</v>
      </c>
      <c r="M1036">
        <v>10097685688</v>
      </c>
      <c r="N1036">
        <v>9065143270</v>
      </c>
      <c r="O1036">
        <v>5600456684</v>
      </c>
      <c r="P1036">
        <v>6129</v>
      </c>
      <c r="Q1036" t="s">
        <v>2327</v>
      </c>
    </row>
    <row r="1037" spans="1:17" x14ac:dyDescent="0.3">
      <c r="A1037" t="s">
        <v>17</v>
      </c>
      <c r="B1037" t="str">
        <f>"601890"</f>
        <v>601890</v>
      </c>
      <c r="C1037" t="s">
        <v>2328</v>
      </c>
      <c r="D1037" t="s">
        <v>167</v>
      </c>
      <c r="F1037">
        <v>3145510405</v>
      </c>
      <c r="G1037">
        <v>3053743648</v>
      </c>
      <c r="H1037">
        <v>2995361802</v>
      </c>
      <c r="I1037">
        <v>2905456370</v>
      </c>
      <c r="J1037">
        <v>2939327593</v>
      </c>
      <c r="K1037">
        <v>2934929354</v>
      </c>
      <c r="L1037">
        <v>2938558226</v>
      </c>
      <c r="M1037">
        <v>2784777335</v>
      </c>
      <c r="N1037">
        <v>2749194325</v>
      </c>
      <c r="O1037">
        <v>2797843867</v>
      </c>
      <c r="P1037">
        <v>144</v>
      </c>
      <c r="Q1037" t="s">
        <v>2329</v>
      </c>
    </row>
    <row r="1038" spans="1:17" x14ac:dyDescent="0.3">
      <c r="A1038" t="s">
        <v>17</v>
      </c>
      <c r="B1038" t="str">
        <f>"601898"</f>
        <v>601898</v>
      </c>
      <c r="C1038" t="s">
        <v>2330</v>
      </c>
      <c r="D1038" t="s">
        <v>292</v>
      </c>
      <c r="F1038">
        <v>113786250000</v>
      </c>
      <c r="G1038">
        <v>100857446000</v>
      </c>
      <c r="H1038">
        <v>97172994000</v>
      </c>
      <c r="I1038">
        <v>92141742000</v>
      </c>
      <c r="J1038">
        <v>89011747000</v>
      </c>
      <c r="K1038">
        <v>85919580000</v>
      </c>
      <c r="L1038">
        <v>83484300000</v>
      </c>
      <c r="M1038">
        <v>86717506000</v>
      </c>
      <c r="N1038">
        <v>87426773000</v>
      </c>
      <c r="O1038">
        <v>86101645000</v>
      </c>
      <c r="P1038">
        <v>446</v>
      </c>
      <c r="Q1038" t="s">
        <v>2331</v>
      </c>
    </row>
    <row r="1039" spans="1:17" x14ac:dyDescent="0.3">
      <c r="A1039" t="s">
        <v>17</v>
      </c>
      <c r="B1039" t="str">
        <f>"601899"</f>
        <v>601899</v>
      </c>
      <c r="C1039" t="s">
        <v>2332</v>
      </c>
      <c r="D1039" t="s">
        <v>263</v>
      </c>
      <c r="F1039">
        <v>71034368061</v>
      </c>
      <c r="G1039">
        <v>51182872995</v>
      </c>
      <c r="H1039">
        <v>46200465026</v>
      </c>
      <c r="I1039">
        <v>35469934274</v>
      </c>
      <c r="J1039">
        <v>34501173155</v>
      </c>
      <c r="K1039">
        <v>27762474794</v>
      </c>
      <c r="L1039">
        <v>27537173972</v>
      </c>
      <c r="M1039">
        <v>28059454796</v>
      </c>
      <c r="N1039">
        <v>27612257755</v>
      </c>
      <c r="O1039">
        <v>28181588753</v>
      </c>
      <c r="P1039">
        <v>2402</v>
      </c>
      <c r="Q1039" t="s">
        <v>2333</v>
      </c>
    </row>
    <row r="1040" spans="1:17" x14ac:dyDescent="0.3">
      <c r="A1040" t="s">
        <v>17</v>
      </c>
      <c r="B1040" t="str">
        <f>"601900"</f>
        <v>601900</v>
      </c>
      <c r="C1040" t="s">
        <v>2334</v>
      </c>
      <c r="D1040" t="s">
        <v>1536</v>
      </c>
      <c r="F1040">
        <v>7110094474</v>
      </c>
      <c r="G1040">
        <v>6579398950</v>
      </c>
      <c r="H1040">
        <v>6045000857</v>
      </c>
      <c r="I1040">
        <v>5474583438</v>
      </c>
      <c r="J1040">
        <v>4881141767</v>
      </c>
      <c r="K1040">
        <v>3579482219</v>
      </c>
      <c r="L1040">
        <v>2316361068</v>
      </c>
      <c r="M1040">
        <v>1931734751</v>
      </c>
      <c r="N1040">
        <v>1688276686</v>
      </c>
      <c r="O1040">
        <v>1457419594</v>
      </c>
      <c r="P1040">
        <v>244</v>
      </c>
      <c r="Q1040" t="s">
        <v>2335</v>
      </c>
    </row>
    <row r="1041" spans="1:17" x14ac:dyDescent="0.3">
      <c r="A1041" t="s">
        <v>17</v>
      </c>
      <c r="B1041" t="str">
        <f>"601901"</f>
        <v>601901</v>
      </c>
      <c r="C1041" t="s">
        <v>2336</v>
      </c>
      <c r="D1041" t="s">
        <v>80</v>
      </c>
      <c r="F1041">
        <v>41358043811</v>
      </c>
      <c r="G1041">
        <v>39620740244</v>
      </c>
      <c r="H1041">
        <v>38551805514</v>
      </c>
      <c r="I1041">
        <v>37753056947</v>
      </c>
      <c r="J1041">
        <v>37428718940</v>
      </c>
      <c r="K1041">
        <v>35429196382</v>
      </c>
      <c r="L1041">
        <v>34958090718</v>
      </c>
      <c r="M1041">
        <v>30335427645</v>
      </c>
      <c r="N1041">
        <v>15459493495</v>
      </c>
      <c r="O1041">
        <v>14431892089</v>
      </c>
      <c r="P1041">
        <v>931</v>
      </c>
      <c r="Q1041" t="s">
        <v>2337</v>
      </c>
    </row>
    <row r="1042" spans="1:17" x14ac:dyDescent="0.3">
      <c r="A1042" t="s">
        <v>17</v>
      </c>
      <c r="B1042" t="str">
        <f>"601908"</f>
        <v>601908</v>
      </c>
      <c r="C1042" t="s">
        <v>2338</v>
      </c>
      <c r="D1042" t="s">
        <v>86</v>
      </c>
      <c r="F1042">
        <v>10782699049</v>
      </c>
      <c r="G1042">
        <v>7580599758</v>
      </c>
      <c r="H1042">
        <v>7140478378</v>
      </c>
      <c r="I1042">
        <v>6895933996</v>
      </c>
      <c r="J1042">
        <v>6563605238</v>
      </c>
      <c r="K1042">
        <v>6253065312</v>
      </c>
      <c r="L1042">
        <v>6074930567</v>
      </c>
      <c r="M1042">
        <v>3766333088</v>
      </c>
      <c r="N1042">
        <v>3668549198</v>
      </c>
      <c r="O1042">
        <v>3637432836</v>
      </c>
      <c r="P1042">
        <v>318</v>
      </c>
      <c r="Q1042" t="s">
        <v>2339</v>
      </c>
    </row>
    <row r="1043" spans="1:17" x14ac:dyDescent="0.3">
      <c r="A1043" t="s">
        <v>17</v>
      </c>
      <c r="B1043" t="str">
        <f>"601916"</f>
        <v>601916</v>
      </c>
      <c r="C1043" t="s">
        <v>2340</v>
      </c>
      <c r="D1043" t="s">
        <v>19</v>
      </c>
      <c r="F1043">
        <v>124216000000</v>
      </c>
      <c r="G1043">
        <v>115554000000</v>
      </c>
      <c r="H1043">
        <v>111288747000</v>
      </c>
      <c r="I1043">
        <v>85927834000</v>
      </c>
      <c r="J1043">
        <v>73236972000</v>
      </c>
      <c r="K1043">
        <v>67475378000</v>
      </c>
      <c r="L1043">
        <v>49657064000</v>
      </c>
      <c r="M1043">
        <v>33150172000</v>
      </c>
      <c r="N1043">
        <v>27808497000</v>
      </c>
      <c r="O1043">
        <v>22709399000</v>
      </c>
      <c r="P1043">
        <v>537</v>
      </c>
      <c r="Q1043" t="s">
        <v>2341</v>
      </c>
    </row>
    <row r="1044" spans="1:17" x14ac:dyDescent="0.3">
      <c r="A1044" t="s">
        <v>17</v>
      </c>
      <c r="B1044" t="str">
        <f>"601918"</f>
        <v>601918</v>
      </c>
      <c r="C1044" t="s">
        <v>2342</v>
      </c>
      <c r="D1044" t="s">
        <v>292</v>
      </c>
      <c r="F1044">
        <v>9382036402</v>
      </c>
      <c r="G1044">
        <v>6947957164</v>
      </c>
      <c r="H1044">
        <v>6096933950</v>
      </c>
      <c r="I1044">
        <v>5305286077</v>
      </c>
      <c r="J1044">
        <v>4792568240</v>
      </c>
      <c r="K1044">
        <v>4513078317</v>
      </c>
      <c r="L1044">
        <v>4308171379</v>
      </c>
      <c r="M1044">
        <v>6705743193</v>
      </c>
      <c r="N1044">
        <v>8680412462</v>
      </c>
      <c r="O1044">
        <v>8738482657</v>
      </c>
      <c r="P1044">
        <v>237</v>
      </c>
      <c r="Q1044" t="s">
        <v>2343</v>
      </c>
    </row>
    <row r="1045" spans="1:17" x14ac:dyDescent="0.3">
      <c r="A1045" t="s">
        <v>17</v>
      </c>
      <c r="B1045" t="str">
        <f>"601919"</f>
        <v>601919</v>
      </c>
      <c r="C1045" t="s">
        <v>2344</v>
      </c>
      <c r="D1045" t="s">
        <v>69</v>
      </c>
      <c r="F1045">
        <v>133094325587</v>
      </c>
      <c r="G1045">
        <v>43913865929</v>
      </c>
      <c r="H1045">
        <v>35359676134</v>
      </c>
      <c r="I1045">
        <v>22886213478</v>
      </c>
      <c r="J1045">
        <v>20669286170</v>
      </c>
      <c r="K1045">
        <v>18323295778</v>
      </c>
      <c r="L1045">
        <v>24653325636</v>
      </c>
      <c r="M1045">
        <v>24379162249</v>
      </c>
      <c r="N1045">
        <v>24222584618</v>
      </c>
      <c r="O1045">
        <v>25136886169</v>
      </c>
      <c r="P1045">
        <v>1359</v>
      </c>
      <c r="Q1045" t="s">
        <v>2345</v>
      </c>
    </row>
    <row r="1046" spans="1:17" x14ac:dyDescent="0.3">
      <c r="A1046" t="s">
        <v>17</v>
      </c>
      <c r="B1046" t="str">
        <f>"601921"</f>
        <v>601921</v>
      </c>
      <c r="C1046" t="s">
        <v>2346</v>
      </c>
      <c r="D1046" t="s">
        <v>1536</v>
      </c>
      <c r="F1046">
        <v>12005235735</v>
      </c>
      <c r="G1046">
        <v>8481717037</v>
      </c>
      <c r="H1046">
        <v>7636338309</v>
      </c>
      <c r="I1046">
        <v>6876562170</v>
      </c>
      <c r="J1046">
        <v>6418370900</v>
      </c>
      <c r="P1046">
        <v>28</v>
      </c>
      <c r="Q1046" t="s">
        <v>2347</v>
      </c>
    </row>
    <row r="1047" spans="1:17" x14ac:dyDescent="0.3">
      <c r="A1047" t="s">
        <v>17</v>
      </c>
      <c r="B1047" t="str">
        <f>"601928"</f>
        <v>601928</v>
      </c>
      <c r="C1047" t="s">
        <v>2348</v>
      </c>
      <c r="D1047" t="s">
        <v>1536</v>
      </c>
      <c r="F1047">
        <v>16129899092</v>
      </c>
      <c r="G1047">
        <v>14715216201</v>
      </c>
      <c r="H1047">
        <v>13910758311</v>
      </c>
      <c r="I1047">
        <v>13332833024</v>
      </c>
      <c r="J1047">
        <v>12387183307</v>
      </c>
      <c r="K1047">
        <v>11620059883</v>
      </c>
      <c r="L1047">
        <v>10676354338</v>
      </c>
      <c r="M1047">
        <v>10058540502</v>
      </c>
      <c r="N1047">
        <v>9523849607</v>
      </c>
      <c r="O1047">
        <v>9092789016</v>
      </c>
      <c r="P1047">
        <v>551</v>
      </c>
      <c r="Q1047" t="s">
        <v>2349</v>
      </c>
    </row>
    <row r="1048" spans="1:17" x14ac:dyDescent="0.3">
      <c r="A1048" t="s">
        <v>17</v>
      </c>
      <c r="B1048" t="str">
        <f>"601929"</f>
        <v>601929</v>
      </c>
      <c r="C1048" t="s">
        <v>2350</v>
      </c>
      <c r="D1048" t="s">
        <v>95</v>
      </c>
      <c r="F1048">
        <v>6631028312</v>
      </c>
      <c r="G1048">
        <v>6593803272</v>
      </c>
      <c r="H1048">
        <v>6624720677</v>
      </c>
      <c r="I1048">
        <v>6819083823</v>
      </c>
      <c r="J1048">
        <v>6583618347</v>
      </c>
      <c r="K1048">
        <v>6312700711</v>
      </c>
      <c r="L1048">
        <v>6028794270</v>
      </c>
      <c r="M1048">
        <v>5044160741</v>
      </c>
      <c r="N1048">
        <v>4280123489</v>
      </c>
      <c r="O1048">
        <v>4009220686</v>
      </c>
      <c r="P1048">
        <v>159</v>
      </c>
      <c r="Q1048" t="s">
        <v>2351</v>
      </c>
    </row>
    <row r="1049" spans="1:17" x14ac:dyDescent="0.3">
      <c r="A1049" t="s">
        <v>17</v>
      </c>
      <c r="B1049" t="str">
        <f>"601933"</f>
        <v>601933</v>
      </c>
      <c r="C1049" t="s">
        <v>2352</v>
      </c>
      <c r="D1049" t="s">
        <v>798</v>
      </c>
      <c r="F1049">
        <v>10658798131</v>
      </c>
      <c r="G1049">
        <v>19351102205</v>
      </c>
      <c r="H1049">
        <v>20105945060</v>
      </c>
      <c r="I1049">
        <v>19354958590</v>
      </c>
      <c r="J1049">
        <v>19994774110</v>
      </c>
      <c r="K1049">
        <v>19198549350</v>
      </c>
      <c r="L1049">
        <v>12227660533</v>
      </c>
      <c r="M1049">
        <v>6438141196</v>
      </c>
      <c r="N1049">
        <v>5909978161</v>
      </c>
      <c r="O1049">
        <v>4417086739</v>
      </c>
      <c r="P1049">
        <v>2444</v>
      </c>
      <c r="Q1049" t="s">
        <v>2353</v>
      </c>
    </row>
    <row r="1050" spans="1:17" x14ac:dyDescent="0.3">
      <c r="A1050" t="s">
        <v>17</v>
      </c>
      <c r="B1050" t="str">
        <f>"601939"</f>
        <v>601939</v>
      </c>
      <c r="C1050" t="s">
        <v>2354</v>
      </c>
      <c r="D1050" t="s">
        <v>2112</v>
      </c>
      <c r="F1050">
        <v>2488263000000</v>
      </c>
      <c r="G1050">
        <v>2264840000000</v>
      </c>
      <c r="H1050">
        <v>2096630000000</v>
      </c>
      <c r="I1050">
        <v>1896827000000</v>
      </c>
      <c r="J1050">
        <v>1700124000000</v>
      </c>
      <c r="K1050">
        <v>1556841000000</v>
      </c>
      <c r="L1050">
        <v>1434020000000</v>
      </c>
      <c r="M1050">
        <v>1242179000000</v>
      </c>
      <c r="N1050">
        <v>1065951000000</v>
      </c>
      <c r="O1050">
        <v>941732000000</v>
      </c>
      <c r="P1050">
        <v>19332</v>
      </c>
      <c r="Q1050" t="s">
        <v>2355</v>
      </c>
    </row>
    <row r="1051" spans="1:17" x14ac:dyDescent="0.3">
      <c r="A1051" t="s">
        <v>17</v>
      </c>
      <c r="B1051" t="str">
        <f>"601949"</f>
        <v>601949</v>
      </c>
      <c r="C1051" t="s">
        <v>2356</v>
      </c>
      <c r="D1051" t="s">
        <v>525</v>
      </c>
      <c r="F1051">
        <v>7741273044</v>
      </c>
      <c r="G1051">
        <v>7189645922</v>
      </c>
      <c r="H1051">
        <v>6651277912</v>
      </c>
      <c r="I1051">
        <v>6138740041</v>
      </c>
      <c r="J1051">
        <v>5729373738</v>
      </c>
      <c r="K1051">
        <v>4299122536</v>
      </c>
      <c r="L1051">
        <v>3838764100</v>
      </c>
      <c r="M1051">
        <v>3237040532</v>
      </c>
      <c r="P1051">
        <v>160</v>
      </c>
      <c r="Q1051" t="s">
        <v>2357</v>
      </c>
    </row>
    <row r="1052" spans="1:17" x14ac:dyDescent="0.3">
      <c r="A1052" t="s">
        <v>17</v>
      </c>
      <c r="B1052" t="str">
        <f>"601952"</f>
        <v>601952</v>
      </c>
      <c r="C1052" t="s">
        <v>2358</v>
      </c>
      <c r="D1052" t="s">
        <v>1210</v>
      </c>
      <c r="F1052">
        <v>5782732939</v>
      </c>
      <c r="G1052">
        <v>6301366150</v>
      </c>
      <c r="H1052">
        <v>5909809393</v>
      </c>
      <c r="I1052">
        <v>5594099929</v>
      </c>
      <c r="J1052">
        <v>5200659359</v>
      </c>
      <c r="K1052">
        <v>2555012030</v>
      </c>
      <c r="L1052">
        <v>2249997114</v>
      </c>
      <c r="M1052">
        <v>1962399311</v>
      </c>
      <c r="P1052">
        <v>313</v>
      </c>
      <c r="Q1052" t="s">
        <v>2359</v>
      </c>
    </row>
    <row r="1053" spans="1:17" x14ac:dyDescent="0.3">
      <c r="A1053" t="s">
        <v>17</v>
      </c>
      <c r="B1053" t="str">
        <f>"601956"</f>
        <v>601956</v>
      </c>
      <c r="C1053" t="s">
        <v>2360</v>
      </c>
      <c r="D1053" t="s">
        <v>1253</v>
      </c>
      <c r="F1053">
        <v>1679653108</v>
      </c>
      <c r="G1053">
        <v>1698424732</v>
      </c>
      <c r="H1053">
        <v>876949493</v>
      </c>
      <c r="P1053">
        <v>23</v>
      </c>
      <c r="Q1053" t="s">
        <v>2361</v>
      </c>
    </row>
    <row r="1054" spans="1:17" x14ac:dyDescent="0.3">
      <c r="A1054" t="s">
        <v>17</v>
      </c>
      <c r="B1054" t="str">
        <f>"601958"</f>
        <v>601958</v>
      </c>
      <c r="C1054" t="s">
        <v>2362</v>
      </c>
      <c r="D1054" t="s">
        <v>2363</v>
      </c>
      <c r="F1054">
        <v>12041531347</v>
      </c>
      <c r="G1054">
        <v>12289818856</v>
      </c>
      <c r="H1054">
        <v>13131830364</v>
      </c>
      <c r="I1054">
        <v>13025953367</v>
      </c>
      <c r="J1054">
        <v>12752660255</v>
      </c>
      <c r="K1054">
        <v>12726846860</v>
      </c>
      <c r="L1054">
        <v>12824118285</v>
      </c>
      <c r="M1054">
        <v>13166680713</v>
      </c>
      <c r="N1054">
        <v>13094749796</v>
      </c>
      <c r="O1054">
        <v>13423628083</v>
      </c>
      <c r="P1054">
        <v>244</v>
      </c>
      <c r="Q1054" t="s">
        <v>2364</v>
      </c>
    </row>
    <row r="1055" spans="1:17" x14ac:dyDescent="0.3">
      <c r="A1055" t="s">
        <v>17</v>
      </c>
      <c r="B1055" t="str">
        <f>"601963"</f>
        <v>601963</v>
      </c>
      <c r="C1055" t="s">
        <v>2365</v>
      </c>
      <c r="D1055" t="s">
        <v>1842</v>
      </c>
      <c r="F1055">
        <v>42363881000</v>
      </c>
      <c r="G1055">
        <v>35265690000</v>
      </c>
      <c r="H1055">
        <v>32040122000</v>
      </c>
      <c r="I1055">
        <v>28141705000</v>
      </c>
      <c r="J1055">
        <v>26042289000</v>
      </c>
      <c r="K1055">
        <v>23811912000</v>
      </c>
      <c r="L1055">
        <v>21292995000</v>
      </c>
      <c r="M1055">
        <v>15903023000</v>
      </c>
      <c r="N1055">
        <v>13479271000</v>
      </c>
      <c r="O1055">
        <v>8247109000</v>
      </c>
      <c r="P1055">
        <v>149</v>
      </c>
      <c r="Q1055" t="s">
        <v>2366</v>
      </c>
    </row>
    <row r="1056" spans="1:17" x14ac:dyDescent="0.3">
      <c r="A1056" t="s">
        <v>17</v>
      </c>
      <c r="B1056" t="str">
        <f>"601965"</f>
        <v>601965</v>
      </c>
      <c r="C1056" t="s">
        <v>2367</v>
      </c>
      <c r="D1056" t="s">
        <v>2368</v>
      </c>
      <c r="F1056">
        <v>5478219474</v>
      </c>
      <c r="G1056">
        <v>5043879720</v>
      </c>
      <c r="H1056">
        <v>4696103076</v>
      </c>
      <c r="I1056">
        <v>4462995024</v>
      </c>
      <c r="J1056">
        <v>4251038762</v>
      </c>
      <c r="K1056">
        <v>4019985410</v>
      </c>
      <c r="L1056">
        <v>3775942042</v>
      </c>
      <c r="M1056">
        <v>3529141330</v>
      </c>
      <c r="N1056">
        <v>3243894586</v>
      </c>
      <c r="O1056">
        <v>2885791332</v>
      </c>
      <c r="P1056">
        <v>307</v>
      </c>
      <c r="Q1056" t="s">
        <v>2369</v>
      </c>
    </row>
    <row r="1057" spans="1:17" x14ac:dyDescent="0.3">
      <c r="A1057" t="s">
        <v>17</v>
      </c>
      <c r="B1057" t="str">
        <f>"601966"</f>
        <v>601966</v>
      </c>
      <c r="C1057" t="s">
        <v>2370</v>
      </c>
      <c r="D1057" t="s">
        <v>422</v>
      </c>
      <c r="F1057">
        <v>16382533512</v>
      </c>
      <c r="G1057">
        <v>16506340505</v>
      </c>
      <c r="H1057">
        <v>10755050940</v>
      </c>
      <c r="I1057">
        <v>9737036211</v>
      </c>
      <c r="J1057">
        <v>8700041554</v>
      </c>
      <c r="K1057">
        <v>8007636185</v>
      </c>
      <c r="L1057">
        <v>4361475764</v>
      </c>
      <c r="M1057">
        <v>4540630459</v>
      </c>
      <c r="N1057">
        <v>3845925407</v>
      </c>
      <c r="P1057">
        <v>927</v>
      </c>
      <c r="Q1057" t="s">
        <v>2371</v>
      </c>
    </row>
    <row r="1058" spans="1:17" x14ac:dyDescent="0.3">
      <c r="A1058" t="s">
        <v>17</v>
      </c>
      <c r="B1058" t="str">
        <f>"601968"</f>
        <v>601968</v>
      </c>
      <c r="C1058" t="s">
        <v>2372</v>
      </c>
      <c r="D1058" t="s">
        <v>2373</v>
      </c>
      <c r="F1058">
        <v>3584831370</v>
      </c>
      <c r="G1058">
        <v>2355034977</v>
      </c>
      <c r="H1058">
        <v>2311103687</v>
      </c>
      <c r="I1058">
        <v>2049059428</v>
      </c>
      <c r="J1058">
        <v>1998545766</v>
      </c>
      <c r="K1058">
        <v>2010248633</v>
      </c>
      <c r="L1058">
        <v>2005794238</v>
      </c>
      <c r="M1058">
        <v>1366656125</v>
      </c>
      <c r="N1058">
        <v>1273591432</v>
      </c>
      <c r="O1058">
        <v>1326705612</v>
      </c>
      <c r="P1058">
        <v>108</v>
      </c>
      <c r="Q1058" t="s">
        <v>2374</v>
      </c>
    </row>
    <row r="1059" spans="1:17" x14ac:dyDescent="0.3">
      <c r="A1059" t="s">
        <v>17</v>
      </c>
      <c r="B1059" t="str">
        <f>"601969"</f>
        <v>601969</v>
      </c>
      <c r="C1059" t="s">
        <v>2375</v>
      </c>
      <c r="D1059" t="s">
        <v>2376</v>
      </c>
      <c r="F1059">
        <v>5596207690</v>
      </c>
      <c r="G1059">
        <v>3990535060</v>
      </c>
      <c r="H1059">
        <v>3886436960</v>
      </c>
      <c r="I1059">
        <v>4140440135</v>
      </c>
      <c r="J1059">
        <v>4914439311</v>
      </c>
      <c r="K1059">
        <v>3998541795</v>
      </c>
      <c r="L1059">
        <v>4318128443</v>
      </c>
      <c r="M1059">
        <v>4599245876</v>
      </c>
      <c r="N1059">
        <v>3366366052</v>
      </c>
      <c r="O1059">
        <v>3018448472</v>
      </c>
      <c r="P1059">
        <v>154</v>
      </c>
      <c r="Q1059" t="s">
        <v>2377</v>
      </c>
    </row>
    <row r="1060" spans="1:17" x14ac:dyDescent="0.3">
      <c r="A1060" t="s">
        <v>17</v>
      </c>
      <c r="B1060" t="str">
        <f>"601975"</f>
        <v>601975</v>
      </c>
      <c r="C1060" t="s">
        <v>2378</v>
      </c>
      <c r="D1060" t="s">
        <v>69</v>
      </c>
      <c r="F1060">
        <v>5769177024</v>
      </c>
      <c r="G1060">
        <v>5724129561</v>
      </c>
      <c r="H1060">
        <v>4673300482</v>
      </c>
      <c r="I1060">
        <v>3765205603</v>
      </c>
      <c r="J1060">
        <v>3344328000</v>
      </c>
      <c r="K1060">
        <v>2995427700</v>
      </c>
      <c r="L1060">
        <v>2394938300</v>
      </c>
      <c r="N1060">
        <v>-2097207874</v>
      </c>
      <c r="O1060">
        <v>3766988375</v>
      </c>
      <c r="P1060">
        <v>270</v>
      </c>
      <c r="Q1060" t="s">
        <v>2379</v>
      </c>
    </row>
    <row r="1061" spans="1:17" x14ac:dyDescent="0.3">
      <c r="A1061" t="s">
        <v>17</v>
      </c>
      <c r="B1061" t="str">
        <f>"601985"</f>
        <v>601985</v>
      </c>
      <c r="C1061" t="s">
        <v>2380</v>
      </c>
      <c r="D1061" t="s">
        <v>2381</v>
      </c>
      <c r="F1061">
        <v>66028464728</v>
      </c>
      <c r="G1061">
        <v>60338044663</v>
      </c>
      <c r="H1061">
        <v>48929545728</v>
      </c>
      <c r="I1061">
        <v>46429665808</v>
      </c>
      <c r="J1061">
        <v>43464672386</v>
      </c>
      <c r="K1061">
        <v>40677389175</v>
      </c>
      <c r="L1061">
        <v>37594659599</v>
      </c>
      <c r="M1061">
        <v>22462382179</v>
      </c>
      <c r="N1061">
        <v>20112253728</v>
      </c>
      <c r="O1061">
        <v>18397550761</v>
      </c>
      <c r="P1061">
        <v>998</v>
      </c>
      <c r="Q1061" t="s">
        <v>2382</v>
      </c>
    </row>
    <row r="1062" spans="1:17" x14ac:dyDescent="0.3">
      <c r="A1062" t="s">
        <v>17</v>
      </c>
      <c r="B1062" t="str">
        <f>"601988"</f>
        <v>601988</v>
      </c>
      <c r="C1062" t="s">
        <v>2383</v>
      </c>
      <c r="D1062" t="s">
        <v>2112</v>
      </c>
      <c r="F1062">
        <v>1905648000000</v>
      </c>
      <c r="G1062">
        <v>1760929000000</v>
      </c>
      <c r="H1062">
        <v>1651808000000</v>
      </c>
      <c r="I1062">
        <v>1513266000000</v>
      </c>
      <c r="J1062">
        <v>1396302000000</v>
      </c>
      <c r="K1062">
        <v>1311968000000</v>
      </c>
      <c r="L1062">
        <v>1304946000000</v>
      </c>
      <c r="M1062">
        <v>1069114000000</v>
      </c>
      <c r="N1062">
        <v>923916000000</v>
      </c>
      <c r="O1062">
        <v>824677000000</v>
      </c>
      <c r="P1062">
        <v>4259</v>
      </c>
      <c r="Q1062" t="s">
        <v>2384</v>
      </c>
    </row>
    <row r="1063" spans="1:17" x14ac:dyDescent="0.3">
      <c r="A1063" t="s">
        <v>17</v>
      </c>
      <c r="B1063" t="str">
        <f>"601989"</f>
        <v>601989</v>
      </c>
      <c r="C1063" t="s">
        <v>2385</v>
      </c>
      <c r="D1063" t="s">
        <v>167</v>
      </c>
      <c r="F1063">
        <v>85307633419</v>
      </c>
      <c r="G1063">
        <v>85204273529</v>
      </c>
      <c r="H1063">
        <v>85699687269</v>
      </c>
      <c r="I1063">
        <v>84435985486</v>
      </c>
      <c r="J1063">
        <v>63733888635</v>
      </c>
      <c r="K1063">
        <v>56569661101</v>
      </c>
      <c r="L1063">
        <v>57000850299</v>
      </c>
      <c r="M1063">
        <v>60288799993</v>
      </c>
      <c r="N1063">
        <v>47838079690</v>
      </c>
      <c r="O1063">
        <v>41809958740</v>
      </c>
      <c r="P1063">
        <v>669</v>
      </c>
      <c r="Q1063" t="s">
        <v>2386</v>
      </c>
    </row>
    <row r="1064" spans="1:17" x14ac:dyDescent="0.3">
      <c r="A1064" t="s">
        <v>17</v>
      </c>
      <c r="B1064" t="str">
        <f>"601990"</f>
        <v>601990</v>
      </c>
      <c r="C1064" t="s">
        <v>2387</v>
      </c>
      <c r="D1064" t="s">
        <v>80</v>
      </c>
      <c r="F1064">
        <v>16444092914</v>
      </c>
      <c r="G1064">
        <v>15786218143</v>
      </c>
      <c r="H1064">
        <v>11092148554</v>
      </c>
      <c r="I1064">
        <v>10593413669</v>
      </c>
      <c r="J1064">
        <v>9366633187</v>
      </c>
      <c r="K1064">
        <v>9248029892</v>
      </c>
      <c r="L1064">
        <v>9245286624</v>
      </c>
      <c r="M1064">
        <v>4612694400</v>
      </c>
      <c r="N1064">
        <v>4061579800</v>
      </c>
      <c r="O1064">
        <v>3903157700</v>
      </c>
      <c r="P1064">
        <v>722</v>
      </c>
      <c r="Q1064" t="s">
        <v>2388</v>
      </c>
    </row>
    <row r="1065" spans="1:17" x14ac:dyDescent="0.3">
      <c r="A1065" t="s">
        <v>17</v>
      </c>
      <c r="B1065" t="str">
        <f>"601991"</f>
        <v>601991</v>
      </c>
      <c r="C1065" t="s">
        <v>2389</v>
      </c>
      <c r="D1065" t="s">
        <v>41</v>
      </c>
      <c r="F1065">
        <v>29290529000</v>
      </c>
      <c r="G1065">
        <v>41707653000</v>
      </c>
      <c r="H1065">
        <v>41880085000</v>
      </c>
      <c r="I1065">
        <v>45126658000</v>
      </c>
      <c r="J1065">
        <v>41478513000</v>
      </c>
      <c r="K1065">
        <v>39718450000</v>
      </c>
      <c r="L1065">
        <v>45023163000</v>
      </c>
      <c r="M1065">
        <v>43803449000</v>
      </c>
      <c r="N1065">
        <v>43517702000</v>
      </c>
      <c r="O1065">
        <v>41490236000</v>
      </c>
      <c r="P1065">
        <v>283</v>
      </c>
      <c r="Q1065" t="s">
        <v>2390</v>
      </c>
    </row>
    <row r="1066" spans="1:17" x14ac:dyDescent="0.3">
      <c r="A1066" t="s">
        <v>17</v>
      </c>
      <c r="B1066" t="str">
        <f>"601992"</f>
        <v>601992</v>
      </c>
      <c r="C1066" t="s">
        <v>2391</v>
      </c>
      <c r="D1066" t="s">
        <v>731</v>
      </c>
      <c r="F1066">
        <v>47728492461</v>
      </c>
      <c r="G1066">
        <v>46853936261</v>
      </c>
      <c r="H1066">
        <v>46169199597</v>
      </c>
      <c r="I1066">
        <v>42703471500</v>
      </c>
      <c r="J1066">
        <v>41190847780</v>
      </c>
      <c r="K1066">
        <v>39218488652</v>
      </c>
      <c r="L1066">
        <v>37092973177</v>
      </c>
      <c r="M1066">
        <v>31107268198</v>
      </c>
      <c r="N1066">
        <v>26280139596</v>
      </c>
      <c r="O1066">
        <v>22903904282</v>
      </c>
      <c r="P1066">
        <v>368</v>
      </c>
      <c r="Q1066" t="s">
        <v>2392</v>
      </c>
    </row>
    <row r="1067" spans="1:17" x14ac:dyDescent="0.3">
      <c r="A1067" t="s">
        <v>17</v>
      </c>
      <c r="B1067" t="str">
        <f>"601995"</f>
        <v>601995</v>
      </c>
      <c r="C1067" t="s">
        <v>2393</v>
      </c>
      <c r="D1067" t="s">
        <v>80</v>
      </c>
      <c r="F1067">
        <v>75922121274</v>
      </c>
      <c r="G1067">
        <v>66634939022</v>
      </c>
      <c r="H1067">
        <v>47293799342</v>
      </c>
      <c r="I1067">
        <v>41183523777</v>
      </c>
      <c r="J1067">
        <v>35706688766</v>
      </c>
      <c r="K1067">
        <v>17446944973</v>
      </c>
      <c r="L1067">
        <v>15442000934</v>
      </c>
      <c r="M1067">
        <v>7992245716</v>
      </c>
      <c r="N1067">
        <v>6866815583</v>
      </c>
      <c r="O1067">
        <v>6546842390</v>
      </c>
      <c r="P1067">
        <v>986</v>
      </c>
      <c r="Q1067" t="s">
        <v>2394</v>
      </c>
    </row>
    <row r="1068" spans="1:17" x14ac:dyDescent="0.3">
      <c r="A1068" t="s">
        <v>17</v>
      </c>
      <c r="B1068" t="str">
        <f>"601996"</f>
        <v>601996</v>
      </c>
      <c r="C1068" t="s">
        <v>2395</v>
      </c>
      <c r="D1068" t="s">
        <v>178</v>
      </c>
      <c r="F1068">
        <v>2820847068</v>
      </c>
      <c r="G1068">
        <v>2893089864</v>
      </c>
      <c r="H1068">
        <v>2788185278</v>
      </c>
      <c r="I1068">
        <v>2641523487</v>
      </c>
      <c r="J1068">
        <v>1879107351</v>
      </c>
      <c r="K1068">
        <v>1772793839</v>
      </c>
      <c r="L1068">
        <v>1717830364</v>
      </c>
      <c r="M1068">
        <v>1691965438</v>
      </c>
      <c r="N1068">
        <v>1636656246</v>
      </c>
      <c r="O1068">
        <v>1569409571</v>
      </c>
      <c r="P1068">
        <v>143</v>
      </c>
      <c r="Q1068" t="s">
        <v>2396</v>
      </c>
    </row>
    <row r="1069" spans="1:17" x14ac:dyDescent="0.3">
      <c r="A1069" t="s">
        <v>17</v>
      </c>
      <c r="B1069" t="str">
        <f>"601997"</f>
        <v>601997</v>
      </c>
      <c r="C1069" t="s">
        <v>2397</v>
      </c>
      <c r="D1069" t="s">
        <v>1842</v>
      </c>
      <c r="F1069">
        <v>47354984000</v>
      </c>
      <c r="G1069">
        <v>37951234000</v>
      </c>
      <c r="H1069">
        <v>34035821000</v>
      </c>
      <c r="I1069">
        <v>29836621000</v>
      </c>
      <c r="J1069">
        <v>24712394000</v>
      </c>
      <c r="K1069">
        <v>21137231000</v>
      </c>
      <c r="L1069">
        <v>13954060000</v>
      </c>
      <c r="M1069">
        <v>10549504000</v>
      </c>
      <c r="N1069">
        <v>7911832000</v>
      </c>
      <c r="O1069">
        <v>6636425000</v>
      </c>
      <c r="P1069">
        <v>2050</v>
      </c>
      <c r="Q1069" t="s">
        <v>2398</v>
      </c>
    </row>
    <row r="1070" spans="1:17" x14ac:dyDescent="0.3">
      <c r="A1070" t="s">
        <v>17</v>
      </c>
      <c r="B1070" t="str">
        <f>"601998"</f>
        <v>601998</v>
      </c>
      <c r="C1070" t="s">
        <v>2399</v>
      </c>
      <c r="D1070" t="s">
        <v>19</v>
      </c>
      <c r="F1070">
        <v>508227000000</v>
      </c>
      <c r="G1070">
        <v>466490000000</v>
      </c>
      <c r="H1070">
        <v>439228000000</v>
      </c>
      <c r="I1070">
        <v>401706000000</v>
      </c>
      <c r="J1070">
        <v>364683000000</v>
      </c>
      <c r="K1070">
        <v>344269000000</v>
      </c>
      <c r="L1070">
        <v>317740000000</v>
      </c>
      <c r="M1070">
        <v>259677000000</v>
      </c>
      <c r="N1070">
        <v>225601000000</v>
      </c>
      <c r="O1070">
        <v>198356000000</v>
      </c>
      <c r="P1070">
        <v>1903</v>
      </c>
      <c r="Q1070" t="s">
        <v>2400</v>
      </c>
    </row>
    <row r="1071" spans="1:17" x14ac:dyDescent="0.3">
      <c r="A1071" t="s">
        <v>17</v>
      </c>
      <c r="B1071" t="str">
        <f>"601999"</f>
        <v>601999</v>
      </c>
      <c r="C1071" t="s">
        <v>2401</v>
      </c>
      <c r="D1071" t="s">
        <v>525</v>
      </c>
      <c r="F1071">
        <v>2402790335</v>
      </c>
      <c r="G1071">
        <v>2367393621</v>
      </c>
      <c r="H1071">
        <v>2260617244</v>
      </c>
      <c r="I1071">
        <v>2187311569</v>
      </c>
      <c r="J1071">
        <v>2058617443</v>
      </c>
      <c r="K1071">
        <v>1933363718</v>
      </c>
      <c r="L1071">
        <v>1864673226</v>
      </c>
      <c r="M1071">
        <v>1806795900</v>
      </c>
      <c r="N1071">
        <v>1752282151</v>
      </c>
      <c r="O1071">
        <v>1703038881</v>
      </c>
      <c r="P1071">
        <v>82</v>
      </c>
      <c r="Q1071" t="s">
        <v>2402</v>
      </c>
    </row>
    <row r="1072" spans="1:17" x14ac:dyDescent="0.3">
      <c r="A1072" t="s">
        <v>17</v>
      </c>
      <c r="B1072" t="str">
        <f>"603000"</f>
        <v>603000</v>
      </c>
      <c r="C1072" t="s">
        <v>2403</v>
      </c>
      <c r="D1072" t="s">
        <v>522</v>
      </c>
      <c r="F1072">
        <v>3353781842</v>
      </c>
      <c r="G1072">
        <v>3365426831</v>
      </c>
      <c r="H1072">
        <v>3192975839</v>
      </c>
      <c r="I1072">
        <v>2990813557</v>
      </c>
      <c r="J1072">
        <v>2784882442</v>
      </c>
      <c r="K1072">
        <v>2733950515</v>
      </c>
      <c r="L1072">
        <v>2694643636</v>
      </c>
      <c r="M1072">
        <v>2535475926</v>
      </c>
      <c r="N1072">
        <v>2297135371</v>
      </c>
      <c r="O1072">
        <v>2143799426</v>
      </c>
      <c r="P1072">
        <v>323</v>
      </c>
      <c r="Q1072" t="s">
        <v>2404</v>
      </c>
    </row>
    <row r="1073" spans="1:17" x14ac:dyDescent="0.3">
      <c r="A1073" t="s">
        <v>17</v>
      </c>
      <c r="B1073" t="str">
        <f>"603001"</f>
        <v>603001</v>
      </c>
      <c r="C1073" t="s">
        <v>2405</v>
      </c>
      <c r="D1073" t="s">
        <v>330</v>
      </c>
      <c r="F1073">
        <v>3458104769</v>
      </c>
      <c r="G1073">
        <v>3601176285</v>
      </c>
      <c r="H1073">
        <v>3778158936</v>
      </c>
      <c r="I1073">
        <v>3963739202</v>
      </c>
      <c r="J1073">
        <v>4080196064</v>
      </c>
      <c r="K1073">
        <v>4094798988</v>
      </c>
      <c r="L1073">
        <v>4087157889</v>
      </c>
      <c r="M1073">
        <v>3889763154</v>
      </c>
      <c r="N1073">
        <v>3719722469</v>
      </c>
      <c r="O1073">
        <v>3605879742</v>
      </c>
      <c r="P1073">
        <v>148</v>
      </c>
      <c r="Q1073" t="s">
        <v>2406</v>
      </c>
    </row>
    <row r="1074" spans="1:17" x14ac:dyDescent="0.3">
      <c r="A1074" t="s">
        <v>17</v>
      </c>
      <c r="B1074" t="str">
        <f>"603002"</f>
        <v>603002</v>
      </c>
      <c r="C1074" t="s">
        <v>2407</v>
      </c>
      <c r="D1074" t="s">
        <v>2408</v>
      </c>
      <c r="F1074">
        <v>2081014423</v>
      </c>
      <c r="G1074">
        <v>1970413795</v>
      </c>
      <c r="H1074">
        <v>1160139579</v>
      </c>
      <c r="I1074">
        <v>1110110071</v>
      </c>
      <c r="J1074">
        <v>1098115587</v>
      </c>
      <c r="K1074">
        <v>1028337005</v>
      </c>
      <c r="L1074">
        <v>979370741</v>
      </c>
      <c r="M1074">
        <v>934923889</v>
      </c>
      <c r="N1074">
        <v>892987659</v>
      </c>
      <c r="O1074">
        <v>840106517</v>
      </c>
      <c r="P1074">
        <v>117</v>
      </c>
      <c r="Q1074" t="s">
        <v>2409</v>
      </c>
    </row>
    <row r="1075" spans="1:17" x14ac:dyDescent="0.3">
      <c r="A1075" t="s">
        <v>17</v>
      </c>
      <c r="B1075" t="str">
        <f>"603003"</f>
        <v>603003</v>
      </c>
      <c r="C1075" t="s">
        <v>2410</v>
      </c>
      <c r="D1075" t="s">
        <v>316</v>
      </c>
      <c r="F1075">
        <v>3556689350</v>
      </c>
      <c r="G1075">
        <v>3780288125</v>
      </c>
      <c r="H1075">
        <v>3899058119</v>
      </c>
      <c r="I1075">
        <v>3985390324</v>
      </c>
      <c r="J1075">
        <v>4162776880</v>
      </c>
      <c r="K1075">
        <v>4104311717</v>
      </c>
      <c r="L1075">
        <v>630085256</v>
      </c>
      <c r="M1075">
        <v>787266928</v>
      </c>
      <c r="N1075">
        <v>779920663</v>
      </c>
      <c r="O1075">
        <v>842199163</v>
      </c>
      <c r="P1075">
        <v>88</v>
      </c>
      <c r="Q1075" t="s">
        <v>2411</v>
      </c>
    </row>
    <row r="1076" spans="1:17" x14ac:dyDescent="0.3">
      <c r="A1076" t="s">
        <v>17</v>
      </c>
      <c r="B1076" t="str">
        <f>"603005"</f>
        <v>603005</v>
      </c>
      <c r="C1076" t="s">
        <v>2412</v>
      </c>
      <c r="D1076" t="s">
        <v>1180</v>
      </c>
      <c r="F1076">
        <v>3851776182</v>
      </c>
      <c r="G1076">
        <v>3364464020</v>
      </c>
      <c r="H1076">
        <v>1985304226</v>
      </c>
      <c r="I1076">
        <v>1883319656</v>
      </c>
      <c r="J1076">
        <v>1792290064</v>
      </c>
      <c r="K1076">
        <v>1674305722</v>
      </c>
      <c r="L1076">
        <v>1647805449</v>
      </c>
      <c r="M1076">
        <v>1572291922</v>
      </c>
      <c r="N1076">
        <v>750777561</v>
      </c>
      <c r="O1076">
        <v>627079933</v>
      </c>
      <c r="P1076">
        <v>3661</v>
      </c>
      <c r="Q1076" t="s">
        <v>2413</v>
      </c>
    </row>
    <row r="1077" spans="1:17" x14ac:dyDescent="0.3">
      <c r="A1077" t="s">
        <v>17</v>
      </c>
      <c r="B1077" t="str">
        <f>"603006"</f>
        <v>603006</v>
      </c>
      <c r="C1077" t="s">
        <v>2414</v>
      </c>
      <c r="D1077" t="s">
        <v>985</v>
      </c>
      <c r="F1077">
        <v>1386602079</v>
      </c>
      <c r="G1077">
        <v>1169377424</v>
      </c>
      <c r="H1077">
        <v>1109503024</v>
      </c>
      <c r="I1077">
        <v>1032794678</v>
      </c>
      <c r="J1077">
        <v>925709377</v>
      </c>
      <c r="K1077">
        <v>830173272</v>
      </c>
      <c r="L1077">
        <v>721000896</v>
      </c>
      <c r="M1077">
        <v>569766714</v>
      </c>
      <c r="N1077">
        <v>331714390</v>
      </c>
      <c r="O1077">
        <v>271416988</v>
      </c>
      <c r="P1077">
        <v>106</v>
      </c>
      <c r="Q1077" t="s">
        <v>2415</v>
      </c>
    </row>
    <row r="1078" spans="1:17" x14ac:dyDescent="0.3">
      <c r="A1078" t="s">
        <v>17</v>
      </c>
      <c r="B1078" t="str">
        <f>"603007"</f>
        <v>603007</v>
      </c>
      <c r="C1078" t="s">
        <v>2416</v>
      </c>
      <c r="D1078" t="s">
        <v>2417</v>
      </c>
      <c r="F1078">
        <v>489256331</v>
      </c>
      <c r="G1078">
        <v>1162320961</v>
      </c>
      <c r="H1078">
        <v>1157244564</v>
      </c>
      <c r="I1078">
        <v>1072426193</v>
      </c>
      <c r="J1078">
        <v>987297879</v>
      </c>
      <c r="K1078">
        <v>833238459</v>
      </c>
      <c r="L1078">
        <v>404017772</v>
      </c>
      <c r="M1078">
        <v>332666570</v>
      </c>
      <c r="N1078">
        <v>275777739</v>
      </c>
      <c r="P1078">
        <v>81</v>
      </c>
      <c r="Q1078" t="s">
        <v>2418</v>
      </c>
    </row>
    <row r="1079" spans="1:17" x14ac:dyDescent="0.3">
      <c r="A1079" t="s">
        <v>17</v>
      </c>
      <c r="B1079" t="str">
        <f>"603008"</f>
        <v>603008</v>
      </c>
      <c r="C1079" t="s">
        <v>2419</v>
      </c>
      <c r="D1079" t="s">
        <v>757</v>
      </c>
      <c r="F1079">
        <v>3199566617</v>
      </c>
      <c r="G1079">
        <v>2940955266</v>
      </c>
      <c r="H1079">
        <v>2654800552</v>
      </c>
      <c r="I1079">
        <v>2285417306</v>
      </c>
      <c r="J1079">
        <v>2703747256</v>
      </c>
      <c r="K1079">
        <v>2417155749</v>
      </c>
      <c r="L1079">
        <v>1339636129</v>
      </c>
      <c r="M1079">
        <v>1149127167</v>
      </c>
      <c r="N1079">
        <v>1096166817</v>
      </c>
      <c r="O1079">
        <v>1013752895</v>
      </c>
      <c r="P1079">
        <v>300</v>
      </c>
      <c r="Q1079" t="s">
        <v>2420</v>
      </c>
    </row>
    <row r="1080" spans="1:17" x14ac:dyDescent="0.3">
      <c r="A1080" t="s">
        <v>17</v>
      </c>
      <c r="B1080" t="str">
        <f>"603009"</f>
        <v>603009</v>
      </c>
      <c r="C1080" t="s">
        <v>2421</v>
      </c>
      <c r="D1080" t="s">
        <v>348</v>
      </c>
      <c r="F1080">
        <v>1672242089</v>
      </c>
      <c r="G1080">
        <v>1614663195</v>
      </c>
      <c r="H1080">
        <v>1580575757</v>
      </c>
      <c r="I1080">
        <v>1731233680</v>
      </c>
      <c r="J1080">
        <v>1354160085</v>
      </c>
      <c r="K1080">
        <v>1269700745</v>
      </c>
      <c r="L1080">
        <v>517712604</v>
      </c>
      <c r="M1080">
        <v>443618615</v>
      </c>
      <c r="N1080">
        <v>249552674</v>
      </c>
      <c r="O1080">
        <v>208667258</v>
      </c>
      <c r="P1080">
        <v>84</v>
      </c>
      <c r="Q1080" t="s">
        <v>2422</v>
      </c>
    </row>
    <row r="1081" spans="1:17" x14ac:dyDescent="0.3">
      <c r="A1081" t="s">
        <v>17</v>
      </c>
      <c r="B1081" t="str">
        <f>"603010"</f>
        <v>603010</v>
      </c>
      <c r="C1081" t="s">
        <v>2423</v>
      </c>
      <c r="D1081" t="s">
        <v>1192</v>
      </c>
      <c r="F1081">
        <v>2367827787</v>
      </c>
      <c r="G1081">
        <v>1612954112</v>
      </c>
      <c r="H1081">
        <v>1228938772</v>
      </c>
      <c r="I1081">
        <v>1135509799</v>
      </c>
      <c r="J1081">
        <v>1099529350</v>
      </c>
      <c r="K1081">
        <v>1053444536</v>
      </c>
      <c r="L1081">
        <v>930056785</v>
      </c>
      <c r="M1081">
        <v>511629622</v>
      </c>
      <c r="N1081">
        <v>256350328</v>
      </c>
      <c r="O1081">
        <v>228214421</v>
      </c>
      <c r="P1081">
        <v>279</v>
      </c>
      <c r="Q1081" t="s">
        <v>2424</v>
      </c>
    </row>
    <row r="1082" spans="1:17" x14ac:dyDescent="0.3">
      <c r="A1082" t="s">
        <v>17</v>
      </c>
      <c r="B1082" t="str">
        <f>"603011"</f>
        <v>603011</v>
      </c>
      <c r="C1082" t="s">
        <v>2425</v>
      </c>
      <c r="D1082" t="s">
        <v>741</v>
      </c>
      <c r="F1082">
        <v>1756647395</v>
      </c>
      <c r="G1082">
        <v>1691243873</v>
      </c>
      <c r="H1082">
        <v>1676320764</v>
      </c>
      <c r="I1082">
        <v>1731577891</v>
      </c>
      <c r="J1082">
        <v>1697480339</v>
      </c>
      <c r="K1082">
        <v>1677415388</v>
      </c>
      <c r="L1082">
        <v>580594046</v>
      </c>
      <c r="M1082">
        <v>571576765</v>
      </c>
      <c r="N1082">
        <v>381135094</v>
      </c>
      <c r="O1082">
        <v>342998881</v>
      </c>
      <c r="P1082">
        <v>82</v>
      </c>
      <c r="Q1082" t="s">
        <v>2426</v>
      </c>
    </row>
    <row r="1083" spans="1:17" x14ac:dyDescent="0.3">
      <c r="A1083" t="s">
        <v>17</v>
      </c>
      <c r="B1083" t="str">
        <f>"603012"</f>
        <v>603012</v>
      </c>
      <c r="C1083" t="s">
        <v>2427</v>
      </c>
      <c r="D1083" t="s">
        <v>395</v>
      </c>
      <c r="F1083">
        <v>2873600880</v>
      </c>
      <c r="G1083">
        <v>2915684369</v>
      </c>
      <c r="H1083">
        <v>2608604332</v>
      </c>
      <c r="I1083">
        <v>2730982356</v>
      </c>
      <c r="J1083">
        <v>2548959331</v>
      </c>
      <c r="K1083">
        <v>2417020126</v>
      </c>
      <c r="L1083">
        <v>2342874000</v>
      </c>
      <c r="M1083">
        <v>1240080073</v>
      </c>
      <c r="N1083">
        <v>1107126780</v>
      </c>
      <c r="O1083">
        <v>859093110</v>
      </c>
      <c r="P1083">
        <v>135</v>
      </c>
      <c r="Q1083" t="s">
        <v>2428</v>
      </c>
    </row>
    <row r="1084" spans="1:17" x14ac:dyDescent="0.3">
      <c r="A1084" t="s">
        <v>17</v>
      </c>
      <c r="B1084" t="str">
        <f>"603013"</f>
        <v>603013</v>
      </c>
      <c r="C1084" t="s">
        <v>2429</v>
      </c>
      <c r="D1084" t="s">
        <v>348</v>
      </c>
      <c r="F1084">
        <v>3511789206</v>
      </c>
      <c r="G1084">
        <v>3414972406</v>
      </c>
      <c r="H1084">
        <v>3243245638</v>
      </c>
      <c r="I1084">
        <v>3034436213</v>
      </c>
      <c r="J1084">
        <v>2111456057</v>
      </c>
      <c r="K1084">
        <v>1912750867</v>
      </c>
      <c r="L1084">
        <v>2304727052</v>
      </c>
      <c r="P1084">
        <v>236</v>
      </c>
      <c r="Q1084" t="s">
        <v>2430</v>
      </c>
    </row>
    <row r="1085" spans="1:17" x14ac:dyDescent="0.3">
      <c r="A1085" t="s">
        <v>17</v>
      </c>
      <c r="B1085" t="str">
        <f>"603015"</f>
        <v>603015</v>
      </c>
      <c r="C1085" t="s">
        <v>2431</v>
      </c>
      <c r="D1085" t="s">
        <v>2432</v>
      </c>
      <c r="F1085">
        <v>1315605197</v>
      </c>
      <c r="G1085">
        <v>1270193649</v>
      </c>
      <c r="H1085">
        <v>1208001522</v>
      </c>
      <c r="I1085">
        <v>1208727489</v>
      </c>
      <c r="J1085">
        <v>1188237841</v>
      </c>
      <c r="K1085">
        <v>1117490972</v>
      </c>
      <c r="L1085">
        <v>1066398797</v>
      </c>
      <c r="M1085">
        <v>534615074</v>
      </c>
      <c r="N1085">
        <v>510158254</v>
      </c>
      <c r="O1085">
        <v>434148350</v>
      </c>
      <c r="P1085">
        <v>91</v>
      </c>
      <c r="Q1085" t="s">
        <v>2433</v>
      </c>
    </row>
    <row r="1086" spans="1:17" x14ac:dyDescent="0.3">
      <c r="A1086" t="s">
        <v>17</v>
      </c>
      <c r="B1086" t="str">
        <f>"603016"</f>
        <v>603016</v>
      </c>
      <c r="C1086" t="s">
        <v>2434</v>
      </c>
      <c r="D1086" t="s">
        <v>657</v>
      </c>
      <c r="F1086">
        <v>786499000</v>
      </c>
      <c r="G1086">
        <v>813524199</v>
      </c>
      <c r="H1086">
        <v>831452135</v>
      </c>
      <c r="I1086">
        <v>826635067</v>
      </c>
      <c r="J1086">
        <v>811886924</v>
      </c>
      <c r="K1086">
        <v>815555360</v>
      </c>
      <c r="L1086">
        <v>458279441</v>
      </c>
      <c r="M1086">
        <v>392397767</v>
      </c>
      <c r="N1086">
        <v>324647193</v>
      </c>
      <c r="P1086">
        <v>93</v>
      </c>
      <c r="Q1086" t="s">
        <v>2435</v>
      </c>
    </row>
    <row r="1087" spans="1:17" x14ac:dyDescent="0.3">
      <c r="A1087" t="s">
        <v>17</v>
      </c>
      <c r="B1087" t="str">
        <f>"603017"</f>
        <v>603017</v>
      </c>
      <c r="C1087" t="s">
        <v>2436</v>
      </c>
      <c r="D1087" t="s">
        <v>1272</v>
      </c>
      <c r="F1087">
        <v>1405627266</v>
      </c>
      <c r="G1087">
        <v>1993178963</v>
      </c>
      <c r="H1087">
        <v>1879654801</v>
      </c>
      <c r="I1087">
        <v>1767783658</v>
      </c>
      <c r="J1087">
        <v>1705173840</v>
      </c>
      <c r="K1087">
        <v>1556738013</v>
      </c>
      <c r="L1087">
        <v>871888029</v>
      </c>
      <c r="M1087">
        <v>811784849</v>
      </c>
      <c r="N1087">
        <v>352915276</v>
      </c>
      <c r="O1087">
        <v>297845836</v>
      </c>
      <c r="P1087">
        <v>121</v>
      </c>
      <c r="Q1087" t="s">
        <v>2437</v>
      </c>
    </row>
    <row r="1088" spans="1:17" x14ac:dyDescent="0.3">
      <c r="A1088" t="s">
        <v>17</v>
      </c>
      <c r="B1088" t="str">
        <f>"603018"</f>
        <v>603018</v>
      </c>
      <c r="C1088" t="s">
        <v>2438</v>
      </c>
      <c r="D1088" t="s">
        <v>1272</v>
      </c>
      <c r="F1088">
        <v>3878208226</v>
      </c>
      <c r="G1088">
        <v>3355351034</v>
      </c>
      <c r="H1088">
        <v>2867591665</v>
      </c>
      <c r="I1088">
        <v>2475325641</v>
      </c>
      <c r="J1088">
        <v>2143150790</v>
      </c>
      <c r="K1088">
        <v>1902066272</v>
      </c>
      <c r="L1088">
        <v>1744196447</v>
      </c>
      <c r="M1088">
        <v>1620331214</v>
      </c>
      <c r="N1088">
        <v>716626978</v>
      </c>
      <c r="O1088">
        <v>566766506</v>
      </c>
      <c r="P1088">
        <v>400</v>
      </c>
      <c r="Q1088" t="s">
        <v>2439</v>
      </c>
    </row>
    <row r="1089" spans="1:17" x14ac:dyDescent="0.3">
      <c r="A1089" t="s">
        <v>17</v>
      </c>
      <c r="B1089" t="str">
        <f>"603019"</f>
        <v>603019</v>
      </c>
      <c r="C1089" t="s">
        <v>2440</v>
      </c>
      <c r="D1089" t="s">
        <v>236</v>
      </c>
      <c r="F1089">
        <v>12669699108</v>
      </c>
      <c r="G1089">
        <v>11628787041</v>
      </c>
      <c r="H1089">
        <v>4161420165</v>
      </c>
      <c r="I1089">
        <v>3655743056</v>
      </c>
      <c r="J1089">
        <v>3146776445</v>
      </c>
      <c r="K1089">
        <v>2904948507</v>
      </c>
      <c r="L1089">
        <v>1339573344</v>
      </c>
      <c r="M1089">
        <v>1180583509</v>
      </c>
      <c r="N1089">
        <v>716228472</v>
      </c>
      <c r="O1089">
        <v>643100128</v>
      </c>
      <c r="P1089">
        <v>1206</v>
      </c>
      <c r="Q1089" t="s">
        <v>2441</v>
      </c>
    </row>
    <row r="1090" spans="1:17" x14ac:dyDescent="0.3">
      <c r="A1090" t="s">
        <v>17</v>
      </c>
      <c r="B1090" t="str">
        <f>"603020"</f>
        <v>603020</v>
      </c>
      <c r="C1090" t="s">
        <v>2442</v>
      </c>
      <c r="D1090" t="s">
        <v>677</v>
      </c>
      <c r="F1090">
        <v>3092204190</v>
      </c>
      <c r="G1090">
        <v>2223442926</v>
      </c>
      <c r="H1090">
        <v>2105109530</v>
      </c>
      <c r="I1090">
        <v>1986892122</v>
      </c>
      <c r="J1090">
        <v>1898604677</v>
      </c>
      <c r="K1090">
        <v>1828766523</v>
      </c>
      <c r="L1090">
        <v>1764920186</v>
      </c>
      <c r="M1090">
        <v>876810881</v>
      </c>
      <c r="N1090">
        <v>764083101</v>
      </c>
      <c r="O1090">
        <v>638239738</v>
      </c>
      <c r="P1090">
        <v>195</v>
      </c>
      <c r="Q1090" t="s">
        <v>2443</v>
      </c>
    </row>
    <row r="1091" spans="1:17" x14ac:dyDescent="0.3">
      <c r="A1091" t="s">
        <v>17</v>
      </c>
      <c r="B1091" t="str">
        <f>"603021"</f>
        <v>603021</v>
      </c>
      <c r="C1091" t="s">
        <v>2444</v>
      </c>
      <c r="D1091" t="s">
        <v>2445</v>
      </c>
      <c r="F1091">
        <v>903049828</v>
      </c>
      <c r="G1091">
        <v>1267803661</v>
      </c>
      <c r="H1091">
        <v>1239667062</v>
      </c>
      <c r="I1091">
        <v>1343514992</v>
      </c>
      <c r="J1091">
        <v>1347993274</v>
      </c>
      <c r="K1091">
        <v>1347249724</v>
      </c>
      <c r="L1091">
        <v>709740314</v>
      </c>
      <c r="M1091">
        <v>483071944</v>
      </c>
      <c r="N1091">
        <v>456798687</v>
      </c>
      <c r="O1091">
        <v>415403481</v>
      </c>
      <c r="P1091">
        <v>59</v>
      </c>
      <c r="Q1091" t="s">
        <v>2446</v>
      </c>
    </row>
    <row r="1092" spans="1:17" x14ac:dyDescent="0.3">
      <c r="A1092" t="s">
        <v>17</v>
      </c>
      <c r="B1092" t="str">
        <f>"603022"</f>
        <v>603022</v>
      </c>
      <c r="C1092" t="s">
        <v>2447</v>
      </c>
      <c r="D1092" t="s">
        <v>2448</v>
      </c>
      <c r="F1092">
        <v>687882361</v>
      </c>
      <c r="G1092">
        <v>672881163</v>
      </c>
      <c r="H1092">
        <v>638783495</v>
      </c>
      <c r="I1092">
        <v>617328339</v>
      </c>
      <c r="J1092">
        <v>593535749</v>
      </c>
      <c r="K1092">
        <v>577770423</v>
      </c>
      <c r="L1092">
        <v>558360055</v>
      </c>
      <c r="M1092">
        <v>272558399</v>
      </c>
      <c r="N1092">
        <v>227249803</v>
      </c>
      <c r="O1092">
        <v>175461871</v>
      </c>
      <c r="P1092">
        <v>51</v>
      </c>
      <c r="Q1092" t="s">
        <v>2449</v>
      </c>
    </row>
    <row r="1093" spans="1:17" x14ac:dyDescent="0.3">
      <c r="A1093" t="s">
        <v>17</v>
      </c>
      <c r="B1093" t="str">
        <f>"603023"</f>
        <v>603023</v>
      </c>
      <c r="C1093" t="s">
        <v>2450</v>
      </c>
      <c r="D1093" t="s">
        <v>1415</v>
      </c>
      <c r="F1093">
        <v>763104662</v>
      </c>
      <c r="G1093">
        <v>756413603</v>
      </c>
      <c r="H1093">
        <v>686447089</v>
      </c>
      <c r="I1093">
        <v>591528328</v>
      </c>
      <c r="J1093">
        <v>562362560</v>
      </c>
      <c r="K1093">
        <v>529721590</v>
      </c>
      <c r="L1093">
        <v>457037800</v>
      </c>
      <c r="M1093">
        <v>160387465</v>
      </c>
      <c r="N1093">
        <v>225884197</v>
      </c>
      <c r="O1093">
        <v>232970305</v>
      </c>
      <c r="P1093">
        <v>150</v>
      </c>
      <c r="Q1093" t="s">
        <v>2451</v>
      </c>
    </row>
    <row r="1094" spans="1:17" x14ac:dyDescent="0.3">
      <c r="A1094" t="s">
        <v>17</v>
      </c>
      <c r="B1094" t="str">
        <f>"603025"</f>
        <v>603025</v>
      </c>
      <c r="C1094" t="s">
        <v>2452</v>
      </c>
      <c r="D1094" t="s">
        <v>2432</v>
      </c>
      <c r="F1094">
        <v>1969777194</v>
      </c>
      <c r="G1094">
        <v>1813125787</v>
      </c>
      <c r="H1094">
        <v>1797792957</v>
      </c>
      <c r="I1094">
        <v>1818834423</v>
      </c>
      <c r="J1094">
        <v>1906253194</v>
      </c>
      <c r="K1094">
        <v>1521367746</v>
      </c>
      <c r="L1094">
        <v>1459888143</v>
      </c>
      <c r="M1094">
        <v>906460020</v>
      </c>
      <c r="N1094">
        <v>826541924</v>
      </c>
      <c r="O1094">
        <v>642427768</v>
      </c>
      <c r="P1094">
        <v>434</v>
      </c>
      <c r="Q1094" t="s">
        <v>2453</v>
      </c>
    </row>
    <row r="1095" spans="1:17" x14ac:dyDescent="0.3">
      <c r="A1095" t="s">
        <v>17</v>
      </c>
      <c r="B1095" t="str">
        <f>"603026"</f>
        <v>603026</v>
      </c>
      <c r="C1095" t="s">
        <v>2454</v>
      </c>
      <c r="D1095" t="s">
        <v>1790</v>
      </c>
      <c r="F1095">
        <v>3104376481</v>
      </c>
      <c r="G1095">
        <v>2059841691</v>
      </c>
      <c r="H1095">
        <v>1807663849</v>
      </c>
      <c r="I1095">
        <v>1616053421</v>
      </c>
      <c r="J1095">
        <v>1571279012</v>
      </c>
      <c r="K1095">
        <v>1514501391</v>
      </c>
      <c r="L1095">
        <v>1352774942</v>
      </c>
      <c r="M1095">
        <v>989709068</v>
      </c>
      <c r="N1095">
        <v>934760717</v>
      </c>
      <c r="O1095">
        <v>825039232</v>
      </c>
      <c r="P1095">
        <v>420</v>
      </c>
      <c r="Q1095" t="s">
        <v>2455</v>
      </c>
    </row>
    <row r="1096" spans="1:17" x14ac:dyDescent="0.3">
      <c r="A1096" t="s">
        <v>17</v>
      </c>
      <c r="B1096" t="str">
        <f>"603027"</f>
        <v>603027</v>
      </c>
      <c r="C1096" t="s">
        <v>2456</v>
      </c>
      <c r="D1096" t="s">
        <v>433</v>
      </c>
      <c r="F1096">
        <v>2074320829</v>
      </c>
      <c r="G1096">
        <v>1897911349</v>
      </c>
      <c r="H1096">
        <v>1555980616</v>
      </c>
      <c r="I1096">
        <v>1236242324</v>
      </c>
      <c r="J1096">
        <v>1062987000</v>
      </c>
      <c r="K1096">
        <v>890420754</v>
      </c>
      <c r="L1096">
        <v>467498088</v>
      </c>
      <c r="M1096">
        <v>400966970</v>
      </c>
      <c r="N1096">
        <v>361196645</v>
      </c>
      <c r="P1096">
        <v>1883</v>
      </c>
      <c r="Q1096" t="s">
        <v>2457</v>
      </c>
    </row>
    <row r="1097" spans="1:17" x14ac:dyDescent="0.3">
      <c r="A1097" t="s">
        <v>17</v>
      </c>
      <c r="B1097" t="str">
        <f>"603028"</f>
        <v>603028</v>
      </c>
      <c r="C1097" t="s">
        <v>2458</v>
      </c>
      <c r="D1097" t="s">
        <v>274</v>
      </c>
      <c r="F1097">
        <v>810118245</v>
      </c>
      <c r="G1097">
        <v>757396933</v>
      </c>
      <c r="H1097">
        <v>709331132</v>
      </c>
      <c r="I1097">
        <v>699110780</v>
      </c>
      <c r="J1097">
        <v>687954621</v>
      </c>
      <c r="K1097">
        <v>675743007</v>
      </c>
      <c r="L1097">
        <v>450646758</v>
      </c>
      <c r="M1097">
        <v>403532760</v>
      </c>
      <c r="N1097">
        <v>358744586</v>
      </c>
      <c r="P1097">
        <v>52</v>
      </c>
      <c r="Q1097" t="s">
        <v>2459</v>
      </c>
    </row>
    <row r="1098" spans="1:17" x14ac:dyDescent="0.3">
      <c r="A1098" t="s">
        <v>17</v>
      </c>
      <c r="B1098" t="str">
        <f>"603029"</f>
        <v>603029</v>
      </c>
      <c r="C1098" t="s">
        <v>2460</v>
      </c>
      <c r="D1098" t="s">
        <v>741</v>
      </c>
      <c r="F1098">
        <v>748969845</v>
      </c>
      <c r="G1098">
        <v>718580605</v>
      </c>
      <c r="H1098">
        <v>724245572</v>
      </c>
      <c r="I1098">
        <v>721345432</v>
      </c>
      <c r="J1098">
        <v>711318819</v>
      </c>
      <c r="K1098">
        <v>708117348</v>
      </c>
      <c r="L1098">
        <v>505862652</v>
      </c>
      <c r="M1098">
        <v>463477215</v>
      </c>
      <c r="N1098">
        <v>412630983</v>
      </c>
      <c r="P1098">
        <v>62</v>
      </c>
      <c r="Q1098" t="s">
        <v>2461</v>
      </c>
    </row>
    <row r="1099" spans="1:17" x14ac:dyDescent="0.3">
      <c r="A1099" t="s">
        <v>17</v>
      </c>
      <c r="B1099" t="str">
        <f>"603030"</f>
        <v>603030</v>
      </c>
      <c r="C1099" t="s">
        <v>2462</v>
      </c>
      <c r="D1099" t="s">
        <v>450</v>
      </c>
      <c r="F1099">
        <v>1071485159</v>
      </c>
      <c r="G1099">
        <v>2253303668</v>
      </c>
      <c r="H1099">
        <v>2138107567</v>
      </c>
      <c r="I1099">
        <v>1822332413</v>
      </c>
      <c r="J1099">
        <v>1606557650</v>
      </c>
      <c r="K1099">
        <v>1430371343</v>
      </c>
      <c r="L1099">
        <v>849268795</v>
      </c>
      <c r="M1099">
        <v>419785996</v>
      </c>
      <c r="N1099">
        <v>344779660</v>
      </c>
      <c r="O1099">
        <v>277823227</v>
      </c>
      <c r="P1099">
        <v>126</v>
      </c>
      <c r="Q1099" t="s">
        <v>2463</v>
      </c>
    </row>
    <row r="1100" spans="1:17" x14ac:dyDescent="0.3">
      <c r="A1100" t="s">
        <v>17</v>
      </c>
      <c r="B1100" t="str">
        <f>"603031"</f>
        <v>603031</v>
      </c>
      <c r="C1100" t="s">
        <v>2464</v>
      </c>
      <c r="D1100" t="s">
        <v>798</v>
      </c>
      <c r="F1100">
        <v>561973375</v>
      </c>
      <c r="G1100">
        <v>613230956</v>
      </c>
      <c r="H1100">
        <v>619895997</v>
      </c>
      <c r="I1100">
        <v>603477670</v>
      </c>
      <c r="J1100">
        <v>609619464</v>
      </c>
      <c r="K1100">
        <v>584629037</v>
      </c>
      <c r="L1100">
        <v>333795136</v>
      </c>
      <c r="M1100">
        <v>288104409</v>
      </c>
      <c r="N1100">
        <v>252012526</v>
      </c>
      <c r="P1100">
        <v>70</v>
      </c>
      <c r="Q1100" t="s">
        <v>2465</v>
      </c>
    </row>
    <row r="1101" spans="1:17" x14ac:dyDescent="0.3">
      <c r="A1101" t="s">
        <v>17</v>
      </c>
      <c r="B1101" t="str">
        <f>"603032"</f>
        <v>603032</v>
      </c>
      <c r="C1101" t="s">
        <v>2466</v>
      </c>
      <c r="D1101" t="s">
        <v>1133</v>
      </c>
      <c r="F1101">
        <v>768993519</v>
      </c>
      <c r="G1101">
        <v>673425017</v>
      </c>
      <c r="H1101">
        <v>681615293</v>
      </c>
      <c r="I1101">
        <v>684741540</v>
      </c>
      <c r="J1101">
        <v>434082953</v>
      </c>
      <c r="K1101">
        <v>421443129</v>
      </c>
      <c r="L1101">
        <v>210740649</v>
      </c>
      <c r="M1101">
        <v>192950896</v>
      </c>
      <c r="N1101">
        <v>181663842</v>
      </c>
      <c r="P1101">
        <v>73</v>
      </c>
      <c r="Q1101" t="s">
        <v>2467</v>
      </c>
    </row>
    <row r="1102" spans="1:17" x14ac:dyDescent="0.3">
      <c r="A1102" t="s">
        <v>17</v>
      </c>
      <c r="B1102" t="str">
        <f>"603033"</f>
        <v>603033</v>
      </c>
      <c r="C1102" t="s">
        <v>2468</v>
      </c>
      <c r="D1102" t="s">
        <v>2469</v>
      </c>
      <c r="F1102">
        <v>3053564252</v>
      </c>
      <c r="G1102">
        <v>2994323880</v>
      </c>
      <c r="H1102">
        <v>2853114930</v>
      </c>
      <c r="I1102">
        <v>1188420989</v>
      </c>
      <c r="J1102">
        <v>1125547861</v>
      </c>
      <c r="K1102">
        <v>1095642809</v>
      </c>
      <c r="L1102">
        <v>651175882</v>
      </c>
      <c r="M1102">
        <v>560163902</v>
      </c>
      <c r="N1102">
        <v>438488277</v>
      </c>
      <c r="P1102">
        <v>99</v>
      </c>
      <c r="Q1102" t="s">
        <v>2470</v>
      </c>
    </row>
    <row r="1103" spans="1:17" x14ac:dyDescent="0.3">
      <c r="A1103" t="s">
        <v>17</v>
      </c>
      <c r="B1103" t="str">
        <f>"603035"</f>
        <v>603035</v>
      </c>
      <c r="C1103" t="s">
        <v>2471</v>
      </c>
      <c r="D1103" t="s">
        <v>191</v>
      </c>
      <c r="F1103">
        <v>4056031000</v>
      </c>
      <c r="G1103">
        <v>3571058101</v>
      </c>
      <c r="H1103">
        <v>2684143168</v>
      </c>
      <c r="I1103">
        <v>2509712765</v>
      </c>
      <c r="J1103">
        <v>2239086685</v>
      </c>
      <c r="K1103">
        <v>2081106302</v>
      </c>
      <c r="L1103">
        <v>1253236111</v>
      </c>
      <c r="M1103">
        <v>1129705596</v>
      </c>
      <c r="N1103">
        <v>1027710231</v>
      </c>
      <c r="P1103">
        <v>244</v>
      </c>
      <c r="Q1103" t="s">
        <v>2472</v>
      </c>
    </row>
    <row r="1104" spans="1:17" x14ac:dyDescent="0.3">
      <c r="A1104" t="s">
        <v>17</v>
      </c>
      <c r="B1104" t="str">
        <f>"603036"</f>
        <v>603036</v>
      </c>
      <c r="C1104" t="s">
        <v>2473</v>
      </c>
      <c r="D1104" t="s">
        <v>395</v>
      </c>
      <c r="F1104">
        <v>1150774568</v>
      </c>
      <c r="G1104">
        <v>1114415610</v>
      </c>
      <c r="H1104">
        <v>1056972012</v>
      </c>
      <c r="I1104">
        <v>1002414411</v>
      </c>
      <c r="J1104">
        <v>974317425</v>
      </c>
      <c r="K1104">
        <v>958142682</v>
      </c>
      <c r="L1104">
        <v>596606458</v>
      </c>
      <c r="M1104">
        <v>547439180</v>
      </c>
      <c r="N1104">
        <v>466140935</v>
      </c>
      <c r="P1104">
        <v>61</v>
      </c>
      <c r="Q1104" t="s">
        <v>2474</v>
      </c>
    </row>
    <row r="1105" spans="1:17" x14ac:dyDescent="0.3">
      <c r="A1105" t="s">
        <v>17</v>
      </c>
      <c r="B1105" t="str">
        <f>"603037"</f>
        <v>603037</v>
      </c>
      <c r="C1105" t="s">
        <v>2475</v>
      </c>
      <c r="D1105" t="s">
        <v>348</v>
      </c>
      <c r="F1105">
        <v>890204272</v>
      </c>
      <c r="G1105">
        <v>868864457</v>
      </c>
      <c r="H1105">
        <v>845152267</v>
      </c>
      <c r="I1105">
        <v>832952714</v>
      </c>
      <c r="J1105">
        <v>760385913</v>
      </c>
      <c r="K1105">
        <v>414249855</v>
      </c>
      <c r="L1105">
        <v>379580040</v>
      </c>
      <c r="M1105">
        <v>333414446</v>
      </c>
      <c r="N1105">
        <v>294792706</v>
      </c>
      <c r="P1105">
        <v>230</v>
      </c>
      <c r="Q1105" t="s">
        <v>2476</v>
      </c>
    </row>
    <row r="1106" spans="1:17" x14ac:dyDescent="0.3">
      <c r="A1106" t="s">
        <v>17</v>
      </c>
      <c r="B1106" t="str">
        <f>"603038"</f>
        <v>603038</v>
      </c>
      <c r="C1106" t="s">
        <v>2477</v>
      </c>
      <c r="D1106" t="s">
        <v>722</v>
      </c>
      <c r="F1106">
        <v>1333669781</v>
      </c>
      <c r="G1106">
        <v>1082152787</v>
      </c>
      <c r="H1106">
        <v>1081479189</v>
      </c>
      <c r="I1106">
        <v>1012039293</v>
      </c>
      <c r="J1106">
        <v>939784447</v>
      </c>
      <c r="K1106">
        <v>529457320</v>
      </c>
      <c r="L1106">
        <v>453556968</v>
      </c>
      <c r="M1106">
        <v>383961893</v>
      </c>
      <c r="N1106">
        <v>312862413</v>
      </c>
      <c r="P1106">
        <v>70</v>
      </c>
      <c r="Q1106" t="s">
        <v>2478</v>
      </c>
    </row>
    <row r="1107" spans="1:17" x14ac:dyDescent="0.3">
      <c r="A1107" t="s">
        <v>17</v>
      </c>
      <c r="B1107" t="str">
        <f>"603039"</f>
        <v>603039</v>
      </c>
      <c r="C1107" t="s">
        <v>2479</v>
      </c>
      <c r="D1107" t="s">
        <v>1189</v>
      </c>
      <c r="F1107">
        <v>1879551716</v>
      </c>
      <c r="G1107">
        <v>1293987085</v>
      </c>
      <c r="H1107">
        <v>900636371</v>
      </c>
      <c r="I1107">
        <v>724091970</v>
      </c>
      <c r="J1107">
        <v>592590504</v>
      </c>
      <c r="K1107">
        <v>294963521</v>
      </c>
      <c r="L1107">
        <v>229744129</v>
      </c>
      <c r="M1107">
        <v>179348104</v>
      </c>
      <c r="N1107">
        <v>136277577</v>
      </c>
      <c r="P1107">
        <v>609</v>
      </c>
      <c r="Q1107" t="s">
        <v>2480</v>
      </c>
    </row>
    <row r="1108" spans="1:17" x14ac:dyDescent="0.3">
      <c r="A1108" t="s">
        <v>17</v>
      </c>
      <c r="B1108" t="str">
        <f>"603040"</f>
        <v>603040</v>
      </c>
      <c r="C1108" t="s">
        <v>2481</v>
      </c>
      <c r="D1108" t="s">
        <v>348</v>
      </c>
      <c r="F1108">
        <v>968360708</v>
      </c>
      <c r="G1108">
        <v>911717449</v>
      </c>
      <c r="H1108">
        <v>791496954</v>
      </c>
      <c r="I1108">
        <v>678818723</v>
      </c>
      <c r="J1108">
        <v>583572445</v>
      </c>
      <c r="K1108">
        <v>279684054</v>
      </c>
      <c r="L1108">
        <v>238154664</v>
      </c>
      <c r="M1108">
        <v>206860084</v>
      </c>
      <c r="N1108">
        <v>168907618</v>
      </c>
      <c r="P1108">
        <v>619</v>
      </c>
      <c r="Q1108" t="s">
        <v>2482</v>
      </c>
    </row>
    <row r="1109" spans="1:17" x14ac:dyDescent="0.3">
      <c r="A1109" t="s">
        <v>17</v>
      </c>
      <c r="B1109" t="str">
        <f>"603041"</f>
        <v>603041</v>
      </c>
      <c r="C1109" t="s">
        <v>2483</v>
      </c>
      <c r="D1109" t="s">
        <v>528</v>
      </c>
      <c r="F1109">
        <v>922210059</v>
      </c>
      <c r="G1109">
        <v>888677657</v>
      </c>
      <c r="H1109">
        <v>795707610</v>
      </c>
      <c r="I1109">
        <v>734567372</v>
      </c>
      <c r="J1109">
        <v>708320663</v>
      </c>
      <c r="K1109">
        <v>406360185</v>
      </c>
      <c r="L1109">
        <v>358302143</v>
      </c>
      <c r="M1109">
        <v>303961724</v>
      </c>
      <c r="P1109">
        <v>98</v>
      </c>
      <c r="Q1109" t="s">
        <v>2484</v>
      </c>
    </row>
    <row r="1110" spans="1:17" x14ac:dyDescent="0.3">
      <c r="A1110" t="s">
        <v>17</v>
      </c>
      <c r="B1110" t="str">
        <f>"603042"</f>
        <v>603042</v>
      </c>
      <c r="C1110" t="s">
        <v>2485</v>
      </c>
      <c r="D1110" t="s">
        <v>250</v>
      </c>
      <c r="F1110">
        <v>1065956333</v>
      </c>
      <c r="G1110">
        <v>819651331</v>
      </c>
      <c r="H1110">
        <v>807504558</v>
      </c>
      <c r="I1110">
        <v>783703196</v>
      </c>
      <c r="J1110">
        <v>875898972</v>
      </c>
      <c r="K1110">
        <v>459721786</v>
      </c>
      <c r="L1110">
        <v>375768597</v>
      </c>
      <c r="M1110">
        <v>328283249</v>
      </c>
      <c r="P1110">
        <v>122</v>
      </c>
      <c r="Q1110" t="s">
        <v>2486</v>
      </c>
    </row>
    <row r="1111" spans="1:17" x14ac:dyDescent="0.3">
      <c r="A1111" t="s">
        <v>17</v>
      </c>
      <c r="B1111" t="str">
        <f>"603043"</f>
        <v>603043</v>
      </c>
      <c r="C1111" t="s">
        <v>2487</v>
      </c>
      <c r="D1111" t="s">
        <v>2488</v>
      </c>
      <c r="F1111">
        <v>2986628638</v>
      </c>
      <c r="G1111">
        <v>2537204840</v>
      </c>
      <c r="H1111">
        <v>2189247747</v>
      </c>
      <c r="I1111">
        <v>1949495882</v>
      </c>
      <c r="J1111">
        <v>1704507734</v>
      </c>
      <c r="K1111">
        <v>944104489</v>
      </c>
      <c r="L1111">
        <v>854489260</v>
      </c>
      <c r="M1111">
        <v>699505461</v>
      </c>
      <c r="P1111">
        <v>1509</v>
      </c>
      <c r="Q1111" t="s">
        <v>2489</v>
      </c>
    </row>
    <row r="1112" spans="1:17" x14ac:dyDescent="0.3">
      <c r="A1112" t="s">
        <v>17</v>
      </c>
      <c r="B1112" t="str">
        <f>"603045"</f>
        <v>603045</v>
      </c>
      <c r="C1112" t="s">
        <v>2490</v>
      </c>
      <c r="D1112" t="s">
        <v>581</v>
      </c>
      <c r="F1112">
        <v>869566531</v>
      </c>
      <c r="G1112">
        <v>823323153</v>
      </c>
      <c r="H1112">
        <v>824460846</v>
      </c>
      <c r="I1112">
        <v>768385247</v>
      </c>
      <c r="J1112">
        <v>501666453</v>
      </c>
      <c r="K1112">
        <v>457966463</v>
      </c>
      <c r="L1112">
        <v>426441909</v>
      </c>
      <c r="M1112">
        <v>404549546</v>
      </c>
      <c r="P1112">
        <v>54</v>
      </c>
      <c r="Q1112" t="s">
        <v>2491</v>
      </c>
    </row>
    <row r="1113" spans="1:17" x14ac:dyDescent="0.3">
      <c r="A1113" t="s">
        <v>17</v>
      </c>
      <c r="B1113" t="str">
        <f>"603048"</f>
        <v>603048</v>
      </c>
      <c r="C1113" t="s">
        <v>2492</v>
      </c>
      <c r="D1113" t="s">
        <v>985</v>
      </c>
      <c r="F1113">
        <v>1295193754</v>
      </c>
      <c r="G1113">
        <v>650477055</v>
      </c>
      <c r="H1113">
        <v>542261559</v>
      </c>
      <c r="I1113">
        <v>399433643</v>
      </c>
      <c r="J1113">
        <v>522478738</v>
      </c>
      <c r="P1113">
        <v>16</v>
      </c>
      <c r="Q1113" t="s">
        <v>2493</v>
      </c>
    </row>
    <row r="1114" spans="1:17" x14ac:dyDescent="0.3">
      <c r="A1114" t="s">
        <v>17</v>
      </c>
      <c r="B1114" t="str">
        <f>"603050"</f>
        <v>603050</v>
      </c>
      <c r="C1114" t="s">
        <v>2494</v>
      </c>
      <c r="D1114" t="s">
        <v>610</v>
      </c>
      <c r="F1114">
        <v>1278263059</v>
      </c>
      <c r="G1114">
        <v>1217881024</v>
      </c>
      <c r="H1114">
        <v>1122411422</v>
      </c>
      <c r="I1114">
        <v>1046313423</v>
      </c>
      <c r="J1114">
        <v>979205806</v>
      </c>
      <c r="K1114">
        <v>620933541</v>
      </c>
      <c r="L1114">
        <v>566894528</v>
      </c>
      <c r="M1114">
        <v>520254837</v>
      </c>
      <c r="P1114">
        <v>124</v>
      </c>
      <c r="Q1114" t="s">
        <v>2495</v>
      </c>
    </row>
    <row r="1115" spans="1:17" x14ac:dyDescent="0.3">
      <c r="A1115" t="s">
        <v>17</v>
      </c>
      <c r="B1115" t="str">
        <f>"603051"</f>
        <v>603051</v>
      </c>
      <c r="C1115" t="s">
        <v>2496</v>
      </c>
      <c r="F1115">
        <v>755278030</v>
      </c>
      <c r="G1115">
        <v>642314028</v>
      </c>
      <c r="H1115">
        <v>526574316</v>
      </c>
      <c r="I1115">
        <v>454631526</v>
      </c>
      <c r="P1115">
        <v>3</v>
      </c>
      <c r="Q1115" t="s">
        <v>2497</v>
      </c>
    </row>
    <row r="1116" spans="1:17" x14ac:dyDescent="0.3">
      <c r="A1116" t="s">
        <v>17</v>
      </c>
      <c r="B1116" t="str">
        <f>"603053"</f>
        <v>603053</v>
      </c>
      <c r="C1116" t="s">
        <v>2498</v>
      </c>
      <c r="D1116" t="s">
        <v>749</v>
      </c>
      <c r="F1116">
        <v>3911047985</v>
      </c>
      <c r="G1116">
        <v>3639883912</v>
      </c>
      <c r="H1116">
        <v>3439253116</v>
      </c>
      <c r="I1116">
        <v>2080274299</v>
      </c>
      <c r="J1116">
        <v>1750851241</v>
      </c>
      <c r="K1116">
        <v>1921416867</v>
      </c>
      <c r="P1116">
        <v>118</v>
      </c>
      <c r="Q1116" t="s">
        <v>2499</v>
      </c>
    </row>
    <row r="1117" spans="1:17" x14ac:dyDescent="0.3">
      <c r="A1117" t="s">
        <v>17</v>
      </c>
      <c r="B1117" t="str">
        <f>"603055"</f>
        <v>603055</v>
      </c>
      <c r="C1117" t="s">
        <v>2500</v>
      </c>
      <c r="D1117" t="s">
        <v>366</v>
      </c>
      <c r="F1117">
        <v>3686173234</v>
      </c>
      <c r="G1117">
        <v>2943118451</v>
      </c>
      <c r="H1117">
        <v>2587110461</v>
      </c>
      <c r="I1117">
        <v>2499553999</v>
      </c>
      <c r="J1117">
        <v>2282741427</v>
      </c>
      <c r="K1117">
        <v>1398242567</v>
      </c>
      <c r="L1117">
        <v>1187337908</v>
      </c>
      <c r="M1117">
        <v>1160803921</v>
      </c>
      <c r="P1117">
        <v>145</v>
      </c>
      <c r="Q1117" t="s">
        <v>2501</v>
      </c>
    </row>
    <row r="1118" spans="1:17" x14ac:dyDescent="0.3">
      <c r="A1118" t="s">
        <v>17</v>
      </c>
      <c r="B1118" t="str">
        <f>"603056"</f>
        <v>603056</v>
      </c>
      <c r="C1118" t="s">
        <v>2502</v>
      </c>
      <c r="D1118" t="s">
        <v>2503</v>
      </c>
      <c r="F1118">
        <v>6197516931</v>
      </c>
      <c r="G1118">
        <v>4624184745</v>
      </c>
      <c r="H1118">
        <v>4055672170</v>
      </c>
      <c r="I1118">
        <v>4027258875</v>
      </c>
      <c r="J1118">
        <v>3071307362</v>
      </c>
      <c r="K1118">
        <v>2525914555</v>
      </c>
      <c r="L1118">
        <v>2145941586</v>
      </c>
      <c r="M1118">
        <v>1808332429</v>
      </c>
      <c r="P1118">
        <v>412</v>
      </c>
      <c r="Q1118" t="s">
        <v>2504</v>
      </c>
    </row>
    <row r="1119" spans="1:17" x14ac:dyDescent="0.3">
      <c r="A1119" t="s">
        <v>17</v>
      </c>
      <c r="B1119" t="str">
        <f>"603058"</f>
        <v>603058</v>
      </c>
      <c r="C1119" t="s">
        <v>2505</v>
      </c>
      <c r="D1119" t="s">
        <v>2165</v>
      </c>
      <c r="F1119">
        <v>1102311633</v>
      </c>
      <c r="G1119">
        <v>1165464456</v>
      </c>
      <c r="H1119">
        <v>1028878042</v>
      </c>
      <c r="I1119">
        <v>932125094</v>
      </c>
      <c r="J1119">
        <v>854976893</v>
      </c>
      <c r="K1119">
        <v>778018326</v>
      </c>
      <c r="L1119">
        <v>527809361</v>
      </c>
      <c r="M1119">
        <v>493469399</v>
      </c>
      <c r="N1119">
        <v>400881563</v>
      </c>
      <c r="P1119">
        <v>121</v>
      </c>
      <c r="Q1119" t="s">
        <v>2506</v>
      </c>
    </row>
    <row r="1120" spans="1:17" x14ac:dyDescent="0.3">
      <c r="A1120" t="s">
        <v>17</v>
      </c>
      <c r="B1120" t="str">
        <f>"603059"</f>
        <v>603059</v>
      </c>
      <c r="C1120" t="s">
        <v>2507</v>
      </c>
      <c r="D1120" t="s">
        <v>569</v>
      </c>
      <c r="F1120">
        <v>1079220387</v>
      </c>
      <c r="G1120">
        <v>1026858506</v>
      </c>
      <c r="H1120">
        <v>972230253</v>
      </c>
      <c r="I1120">
        <v>871379936</v>
      </c>
      <c r="J1120">
        <v>340939806</v>
      </c>
      <c r="K1120">
        <v>260396430</v>
      </c>
      <c r="L1120">
        <v>206420950</v>
      </c>
      <c r="P1120">
        <v>99</v>
      </c>
      <c r="Q1120" t="s">
        <v>2508</v>
      </c>
    </row>
    <row r="1121" spans="1:17" x14ac:dyDescent="0.3">
      <c r="A1121" t="s">
        <v>17</v>
      </c>
      <c r="B1121" t="str">
        <f>"603060"</f>
        <v>603060</v>
      </c>
      <c r="C1121" t="s">
        <v>2509</v>
      </c>
      <c r="D1121" t="s">
        <v>2510</v>
      </c>
      <c r="F1121">
        <v>1578563932</v>
      </c>
      <c r="G1121">
        <v>1380478692</v>
      </c>
      <c r="H1121">
        <v>1257444864</v>
      </c>
      <c r="I1121">
        <v>1169389338</v>
      </c>
      <c r="J1121">
        <v>1028744521</v>
      </c>
      <c r="K1121">
        <v>928357072</v>
      </c>
      <c r="L1121">
        <v>422964716</v>
      </c>
      <c r="M1121">
        <v>341085527</v>
      </c>
      <c r="N1121">
        <v>278943414</v>
      </c>
      <c r="P1121">
        <v>507</v>
      </c>
      <c r="Q1121" t="s">
        <v>2511</v>
      </c>
    </row>
    <row r="1122" spans="1:17" x14ac:dyDescent="0.3">
      <c r="A1122" t="s">
        <v>17</v>
      </c>
      <c r="B1122" t="str">
        <f>"603063"</f>
        <v>603063</v>
      </c>
      <c r="C1122" t="s">
        <v>2512</v>
      </c>
      <c r="D1122" t="s">
        <v>950</v>
      </c>
      <c r="F1122">
        <v>3160895832</v>
      </c>
      <c r="G1122">
        <v>2796635588</v>
      </c>
      <c r="H1122">
        <v>2473791692</v>
      </c>
      <c r="I1122">
        <v>2378228181</v>
      </c>
      <c r="J1122">
        <v>2384703617</v>
      </c>
      <c r="K1122">
        <v>1393432738</v>
      </c>
      <c r="L1122">
        <v>1161180706</v>
      </c>
      <c r="M1122">
        <v>828690451</v>
      </c>
      <c r="P1122">
        <v>212</v>
      </c>
      <c r="Q1122" t="s">
        <v>2513</v>
      </c>
    </row>
    <row r="1123" spans="1:17" x14ac:dyDescent="0.3">
      <c r="A1123" t="s">
        <v>17</v>
      </c>
      <c r="B1123" t="str">
        <f>"603066"</f>
        <v>603066</v>
      </c>
      <c r="C1123" t="s">
        <v>2514</v>
      </c>
      <c r="D1123" t="s">
        <v>537</v>
      </c>
      <c r="F1123">
        <v>1148555686</v>
      </c>
      <c r="G1123">
        <v>1043385463</v>
      </c>
      <c r="H1123">
        <v>976119156</v>
      </c>
      <c r="I1123">
        <v>940716225</v>
      </c>
      <c r="J1123">
        <v>870104141</v>
      </c>
      <c r="K1123">
        <v>795252432</v>
      </c>
      <c r="L1123">
        <v>723445307</v>
      </c>
      <c r="M1123">
        <v>397649206</v>
      </c>
      <c r="N1123">
        <v>336258806</v>
      </c>
      <c r="O1123">
        <v>285654360</v>
      </c>
      <c r="P1123">
        <v>116</v>
      </c>
      <c r="Q1123" t="s">
        <v>2515</v>
      </c>
    </row>
    <row r="1124" spans="1:17" x14ac:dyDescent="0.3">
      <c r="A1124" t="s">
        <v>17</v>
      </c>
      <c r="B1124" t="str">
        <f>"603067"</f>
        <v>603067</v>
      </c>
      <c r="C1124" t="s">
        <v>2516</v>
      </c>
      <c r="D1124" t="s">
        <v>736</v>
      </c>
      <c r="F1124">
        <v>2160261975</v>
      </c>
      <c r="G1124">
        <v>1443782551</v>
      </c>
      <c r="H1124">
        <v>1337604029</v>
      </c>
      <c r="I1124">
        <v>1237703337</v>
      </c>
      <c r="J1124">
        <v>1118502672</v>
      </c>
      <c r="K1124">
        <v>1044947501</v>
      </c>
      <c r="L1124">
        <v>663774619</v>
      </c>
      <c r="M1124">
        <v>599968223</v>
      </c>
      <c r="N1124">
        <v>514167281</v>
      </c>
      <c r="P1124">
        <v>136</v>
      </c>
      <c r="Q1124" t="s">
        <v>2517</v>
      </c>
    </row>
    <row r="1125" spans="1:17" x14ac:dyDescent="0.3">
      <c r="A1125" t="s">
        <v>17</v>
      </c>
      <c r="B1125" t="str">
        <f>"603068"</f>
        <v>603068</v>
      </c>
      <c r="C1125" t="s">
        <v>2518</v>
      </c>
      <c r="D1125" t="s">
        <v>401</v>
      </c>
      <c r="F1125">
        <v>2026440778</v>
      </c>
      <c r="G1125">
        <v>1988391374</v>
      </c>
      <c r="H1125">
        <v>1262168331</v>
      </c>
      <c r="I1125">
        <v>434397379</v>
      </c>
      <c r="J1125">
        <v>310147256</v>
      </c>
      <c r="K1125">
        <v>223062093</v>
      </c>
      <c r="P1125">
        <v>345</v>
      </c>
      <c r="Q1125" t="s">
        <v>2519</v>
      </c>
    </row>
    <row r="1126" spans="1:17" x14ac:dyDescent="0.3">
      <c r="A1126" t="s">
        <v>17</v>
      </c>
      <c r="B1126" t="str">
        <f>"603069"</f>
        <v>603069</v>
      </c>
      <c r="C1126" t="s">
        <v>2520</v>
      </c>
      <c r="D1126" t="s">
        <v>1133</v>
      </c>
      <c r="F1126">
        <v>940405021</v>
      </c>
      <c r="G1126">
        <v>1022287280</v>
      </c>
      <c r="H1126">
        <v>1144008212</v>
      </c>
      <c r="I1126">
        <v>1112577156</v>
      </c>
      <c r="J1126">
        <v>1070963966</v>
      </c>
      <c r="K1126">
        <v>1042331324</v>
      </c>
      <c r="L1126">
        <v>698760399</v>
      </c>
      <c r="M1126">
        <v>624908326</v>
      </c>
      <c r="N1126">
        <v>554296655</v>
      </c>
      <c r="P1126">
        <v>98</v>
      </c>
      <c r="Q1126" t="s">
        <v>2521</v>
      </c>
    </row>
    <row r="1127" spans="1:17" x14ac:dyDescent="0.3">
      <c r="A1127" t="s">
        <v>17</v>
      </c>
      <c r="B1127" t="str">
        <f>"603070"</f>
        <v>603070</v>
      </c>
      <c r="C1127" t="s">
        <v>2522</v>
      </c>
      <c r="F1127">
        <v>1299507562</v>
      </c>
      <c r="G1127">
        <v>1109485253</v>
      </c>
      <c r="H1127">
        <v>943065906</v>
      </c>
      <c r="I1127">
        <v>577328540</v>
      </c>
      <c r="P1127">
        <v>10</v>
      </c>
      <c r="Q1127" t="s">
        <v>2523</v>
      </c>
    </row>
    <row r="1128" spans="1:17" x14ac:dyDescent="0.3">
      <c r="A1128" t="s">
        <v>17</v>
      </c>
      <c r="B1128" t="str">
        <f>"603071"</f>
        <v>603071</v>
      </c>
      <c r="C1128" t="s">
        <v>2524</v>
      </c>
      <c r="D1128" t="s">
        <v>351</v>
      </c>
      <c r="F1128">
        <v>3820371466</v>
      </c>
      <c r="G1128">
        <v>1779952399</v>
      </c>
      <c r="H1128">
        <v>1611962834</v>
      </c>
      <c r="I1128">
        <v>1392030477</v>
      </c>
      <c r="J1128">
        <v>1089574530</v>
      </c>
      <c r="P1128">
        <v>19</v>
      </c>
      <c r="Q1128" t="s">
        <v>2525</v>
      </c>
    </row>
    <row r="1129" spans="1:17" x14ac:dyDescent="0.3">
      <c r="A1129" t="s">
        <v>17</v>
      </c>
      <c r="B1129" t="str">
        <f>"603076"</f>
        <v>603076</v>
      </c>
      <c r="C1129" t="s">
        <v>2526</v>
      </c>
      <c r="D1129" t="s">
        <v>741</v>
      </c>
      <c r="F1129">
        <v>1291017614</v>
      </c>
      <c r="G1129">
        <v>856734656</v>
      </c>
      <c r="H1129">
        <v>754529543</v>
      </c>
      <c r="I1129">
        <v>789358578</v>
      </c>
      <c r="J1129">
        <v>771382276</v>
      </c>
      <c r="K1129">
        <v>375101896</v>
      </c>
      <c r="L1129">
        <v>298336712</v>
      </c>
      <c r="M1129">
        <v>158122712</v>
      </c>
      <c r="P1129">
        <v>87</v>
      </c>
      <c r="Q1129" t="s">
        <v>2527</v>
      </c>
    </row>
    <row r="1130" spans="1:17" x14ac:dyDescent="0.3">
      <c r="A1130" t="s">
        <v>17</v>
      </c>
      <c r="B1130" t="str">
        <f>"603077"</f>
        <v>603077</v>
      </c>
      <c r="C1130" t="s">
        <v>2528</v>
      </c>
      <c r="D1130" t="s">
        <v>2529</v>
      </c>
      <c r="F1130">
        <v>14245436529</v>
      </c>
      <c r="G1130">
        <v>11141794922</v>
      </c>
      <c r="H1130">
        <v>11233473520</v>
      </c>
      <c r="I1130">
        <v>10972283902</v>
      </c>
      <c r="J1130">
        <v>10987635301</v>
      </c>
      <c r="K1130">
        <v>10456770459</v>
      </c>
      <c r="L1130">
        <v>6287868837</v>
      </c>
      <c r="M1130">
        <v>4752094261</v>
      </c>
      <c r="N1130">
        <v>3290171959</v>
      </c>
      <c r="O1130">
        <v>3404712209</v>
      </c>
      <c r="P1130">
        <v>265</v>
      </c>
      <c r="Q1130" t="s">
        <v>2530</v>
      </c>
    </row>
    <row r="1131" spans="1:17" x14ac:dyDescent="0.3">
      <c r="A1131" t="s">
        <v>17</v>
      </c>
      <c r="B1131" t="str">
        <f>"603078"</f>
        <v>603078</v>
      </c>
      <c r="C1131" t="s">
        <v>2531</v>
      </c>
      <c r="D1131" t="s">
        <v>2408</v>
      </c>
      <c r="F1131">
        <v>1155087310</v>
      </c>
      <c r="G1131">
        <v>1116669350</v>
      </c>
      <c r="H1131">
        <v>790271867</v>
      </c>
      <c r="I1131">
        <v>769787405</v>
      </c>
      <c r="J1131">
        <v>747864303</v>
      </c>
      <c r="K1131">
        <v>381827440</v>
      </c>
      <c r="L1131">
        <v>330884697</v>
      </c>
      <c r="M1131">
        <v>286952921</v>
      </c>
      <c r="P1131">
        <v>226</v>
      </c>
      <c r="Q1131" t="s">
        <v>2532</v>
      </c>
    </row>
    <row r="1132" spans="1:17" x14ac:dyDescent="0.3">
      <c r="A1132" t="s">
        <v>17</v>
      </c>
      <c r="B1132" t="str">
        <f>"603079"</f>
        <v>603079</v>
      </c>
      <c r="C1132" t="s">
        <v>2533</v>
      </c>
      <c r="D1132" t="s">
        <v>496</v>
      </c>
      <c r="F1132">
        <v>1320477673</v>
      </c>
      <c r="G1132">
        <v>1304637334</v>
      </c>
      <c r="H1132">
        <v>824841802</v>
      </c>
      <c r="I1132">
        <v>791251538</v>
      </c>
      <c r="J1132">
        <v>768707113</v>
      </c>
      <c r="K1132">
        <v>440022382</v>
      </c>
      <c r="L1132">
        <v>439086766</v>
      </c>
      <c r="M1132">
        <v>324872454</v>
      </c>
      <c r="P1132">
        <v>239</v>
      </c>
      <c r="Q1132" t="s">
        <v>2534</v>
      </c>
    </row>
    <row r="1133" spans="1:17" x14ac:dyDescent="0.3">
      <c r="A1133" t="s">
        <v>17</v>
      </c>
      <c r="B1133" t="str">
        <f>"603080"</f>
        <v>603080</v>
      </c>
      <c r="C1133" t="s">
        <v>2535</v>
      </c>
      <c r="D1133" t="s">
        <v>749</v>
      </c>
      <c r="F1133">
        <v>1279120902</v>
      </c>
      <c r="G1133">
        <v>1196669191</v>
      </c>
      <c r="H1133">
        <v>1137200753</v>
      </c>
      <c r="I1133">
        <v>1025942865</v>
      </c>
      <c r="J1133">
        <v>959791728</v>
      </c>
      <c r="K1133">
        <v>443626511</v>
      </c>
      <c r="L1133">
        <v>325807917</v>
      </c>
      <c r="M1133">
        <v>165266583</v>
      </c>
      <c r="P1133">
        <v>93</v>
      </c>
      <c r="Q1133" t="s">
        <v>2536</v>
      </c>
    </row>
    <row r="1134" spans="1:17" x14ac:dyDescent="0.3">
      <c r="A1134" t="s">
        <v>17</v>
      </c>
      <c r="B1134" t="str">
        <f>"603081"</f>
        <v>603081</v>
      </c>
      <c r="C1134" t="s">
        <v>2537</v>
      </c>
      <c r="D1134" t="s">
        <v>450</v>
      </c>
      <c r="F1134">
        <v>2494430566</v>
      </c>
      <c r="G1134">
        <v>2158087610</v>
      </c>
      <c r="H1134">
        <v>1903087811</v>
      </c>
      <c r="I1134">
        <v>1713250061</v>
      </c>
      <c r="J1134">
        <v>1531482156</v>
      </c>
      <c r="K1134">
        <v>875965335</v>
      </c>
      <c r="L1134">
        <v>742216336</v>
      </c>
      <c r="M1134">
        <v>602374133</v>
      </c>
      <c r="P1134">
        <v>144</v>
      </c>
      <c r="Q1134" t="s">
        <v>2538</v>
      </c>
    </row>
    <row r="1135" spans="1:17" x14ac:dyDescent="0.3">
      <c r="A1135" t="s">
        <v>17</v>
      </c>
      <c r="B1135" t="str">
        <f>"603083"</f>
        <v>603083</v>
      </c>
      <c r="C1135" t="s">
        <v>2539</v>
      </c>
      <c r="D1135" t="s">
        <v>786</v>
      </c>
      <c r="F1135">
        <v>1742545277</v>
      </c>
      <c r="G1135">
        <v>1665299137</v>
      </c>
      <c r="H1135">
        <v>1183064808</v>
      </c>
      <c r="I1135">
        <v>1127489896</v>
      </c>
      <c r="J1135">
        <v>1061998293</v>
      </c>
      <c r="K1135">
        <v>674512590</v>
      </c>
      <c r="L1135">
        <v>425850238</v>
      </c>
      <c r="M1135">
        <v>455280040</v>
      </c>
      <c r="P1135">
        <v>272</v>
      </c>
      <c r="Q1135" t="s">
        <v>2540</v>
      </c>
    </row>
    <row r="1136" spans="1:17" x14ac:dyDescent="0.3">
      <c r="A1136" t="s">
        <v>17</v>
      </c>
      <c r="B1136" t="str">
        <f>"603085"</f>
        <v>603085</v>
      </c>
      <c r="C1136" t="s">
        <v>2541</v>
      </c>
      <c r="D1136" t="s">
        <v>191</v>
      </c>
      <c r="F1136">
        <v>1037289994</v>
      </c>
      <c r="G1136">
        <v>1010638318</v>
      </c>
      <c r="H1136">
        <v>476642119</v>
      </c>
      <c r="I1136">
        <v>995659485</v>
      </c>
      <c r="J1136">
        <v>981689099</v>
      </c>
      <c r="K1136">
        <v>922508451</v>
      </c>
      <c r="L1136">
        <v>402831883</v>
      </c>
      <c r="M1136">
        <v>218952209</v>
      </c>
      <c r="N1136">
        <v>186704782</v>
      </c>
      <c r="O1136">
        <v>162578447</v>
      </c>
      <c r="P1136">
        <v>81</v>
      </c>
      <c r="Q1136" t="s">
        <v>2542</v>
      </c>
    </row>
    <row r="1137" spans="1:17" x14ac:dyDescent="0.3">
      <c r="A1137" t="s">
        <v>17</v>
      </c>
      <c r="B1137" t="str">
        <f>"603086"</f>
        <v>603086</v>
      </c>
      <c r="C1137" t="s">
        <v>2543</v>
      </c>
      <c r="D1137" t="s">
        <v>853</v>
      </c>
      <c r="F1137">
        <v>1837878063</v>
      </c>
      <c r="G1137">
        <v>1703781975</v>
      </c>
      <c r="H1137">
        <v>1557176381</v>
      </c>
      <c r="I1137">
        <v>1357256286</v>
      </c>
      <c r="J1137">
        <v>1118130778</v>
      </c>
      <c r="K1137">
        <v>701352028</v>
      </c>
      <c r="L1137">
        <v>631626853</v>
      </c>
      <c r="M1137">
        <v>547658707</v>
      </c>
      <c r="P1137">
        <v>124</v>
      </c>
      <c r="Q1137" t="s">
        <v>2544</v>
      </c>
    </row>
    <row r="1138" spans="1:17" x14ac:dyDescent="0.3">
      <c r="A1138" t="s">
        <v>17</v>
      </c>
      <c r="B1138" t="str">
        <f>"603087"</f>
        <v>603087</v>
      </c>
      <c r="C1138" t="s">
        <v>2545</v>
      </c>
      <c r="D1138" t="s">
        <v>1379</v>
      </c>
      <c r="F1138">
        <v>10167304895</v>
      </c>
      <c r="G1138">
        <v>8938520381</v>
      </c>
      <c r="H1138">
        <v>5470959905</v>
      </c>
      <c r="I1138">
        <v>4270858830</v>
      </c>
      <c r="J1138">
        <v>3335519106</v>
      </c>
      <c r="K1138">
        <v>2255994509</v>
      </c>
      <c r="P1138">
        <v>677</v>
      </c>
      <c r="Q1138" t="s">
        <v>2546</v>
      </c>
    </row>
    <row r="1139" spans="1:17" x14ac:dyDescent="0.3">
      <c r="A1139" t="s">
        <v>17</v>
      </c>
      <c r="B1139" t="str">
        <f>"603088"</f>
        <v>603088</v>
      </c>
      <c r="C1139" t="s">
        <v>2547</v>
      </c>
      <c r="D1139" t="s">
        <v>2321</v>
      </c>
      <c r="F1139">
        <v>544027306</v>
      </c>
      <c r="G1139">
        <v>557036801</v>
      </c>
      <c r="H1139">
        <v>547454329</v>
      </c>
      <c r="I1139">
        <v>520537710</v>
      </c>
      <c r="J1139">
        <v>492086023</v>
      </c>
      <c r="K1139">
        <v>469448246</v>
      </c>
      <c r="L1139">
        <v>456753418</v>
      </c>
      <c r="M1139">
        <v>450846131</v>
      </c>
      <c r="N1139">
        <v>290577143</v>
      </c>
      <c r="O1139">
        <v>279195438</v>
      </c>
      <c r="P1139">
        <v>106</v>
      </c>
      <c r="Q1139" t="s">
        <v>2548</v>
      </c>
    </row>
    <row r="1140" spans="1:17" x14ac:dyDescent="0.3">
      <c r="A1140" t="s">
        <v>17</v>
      </c>
      <c r="B1140" t="str">
        <f>"603089"</f>
        <v>603089</v>
      </c>
      <c r="C1140" t="s">
        <v>2549</v>
      </c>
      <c r="D1140" t="s">
        <v>348</v>
      </c>
      <c r="F1140">
        <v>1038780531</v>
      </c>
      <c r="G1140">
        <v>1012286153</v>
      </c>
      <c r="H1140">
        <v>821912090</v>
      </c>
      <c r="I1140">
        <v>779458384</v>
      </c>
      <c r="J1140">
        <v>710700355</v>
      </c>
      <c r="K1140">
        <v>405471237</v>
      </c>
      <c r="L1140">
        <v>353269784</v>
      </c>
      <c r="M1140">
        <v>322092430</v>
      </c>
      <c r="N1140">
        <v>293569887</v>
      </c>
      <c r="P1140">
        <v>111</v>
      </c>
      <c r="Q1140" t="s">
        <v>2550</v>
      </c>
    </row>
    <row r="1141" spans="1:17" x14ac:dyDescent="0.3">
      <c r="A1141" t="s">
        <v>17</v>
      </c>
      <c r="B1141" t="str">
        <f>"603090"</f>
        <v>603090</v>
      </c>
      <c r="C1141" t="s">
        <v>2551</v>
      </c>
      <c r="D1141" t="s">
        <v>560</v>
      </c>
      <c r="F1141">
        <v>512584988</v>
      </c>
      <c r="G1141">
        <v>497935342</v>
      </c>
      <c r="H1141">
        <v>501535344</v>
      </c>
      <c r="I1141">
        <v>480503166</v>
      </c>
      <c r="J1141">
        <v>458476366</v>
      </c>
      <c r="K1141">
        <v>453295780</v>
      </c>
      <c r="L1141">
        <v>239187196</v>
      </c>
      <c r="M1141">
        <v>230581688</v>
      </c>
      <c r="N1141">
        <v>204056356</v>
      </c>
      <c r="P1141">
        <v>51</v>
      </c>
      <c r="Q1141" t="s">
        <v>2552</v>
      </c>
    </row>
    <row r="1142" spans="1:17" x14ac:dyDescent="0.3">
      <c r="A1142" t="s">
        <v>17</v>
      </c>
      <c r="B1142" t="str">
        <f>"603093"</f>
        <v>603093</v>
      </c>
      <c r="C1142" t="s">
        <v>2553</v>
      </c>
      <c r="D1142" t="s">
        <v>1847</v>
      </c>
      <c r="F1142">
        <v>3037602429</v>
      </c>
      <c r="G1142">
        <v>2456665890</v>
      </c>
      <c r="H1142">
        <v>2427324819</v>
      </c>
      <c r="I1142">
        <v>2052072010</v>
      </c>
      <c r="J1142">
        <v>1904731018</v>
      </c>
      <c r="K1142">
        <v>1758274603</v>
      </c>
      <c r="L1142">
        <v>1586561300</v>
      </c>
      <c r="M1142">
        <v>1413057300</v>
      </c>
      <c r="N1142">
        <v>1302202400</v>
      </c>
      <c r="O1142">
        <v>1176809400</v>
      </c>
      <c r="P1142">
        <v>84</v>
      </c>
      <c r="Q1142" t="s">
        <v>2554</v>
      </c>
    </row>
    <row r="1143" spans="1:17" x14ac:dyDescent="0.3">
      <c r="A1143" t="s">
        <v>17</v>
      </c>
      <c r="B1143" t="str">
        <f>"603095"</f>
        <v>603095</v>
      </c>
      <c r="C1143" t="s">
        <v>2555</v>
      </c>
      <c r="D1143" t="s">
        <v>534</v>
      </c>
      <c r="F1143">
        <v>2234407538</v>
      </c>
      <c r="G1143">
        <v>1942512125</v>
      </c>
      <c r="H1143">
        <v>1032188268</v>
      </c>
      <c r="I1143">
        <v>828564275</v>
      </c>
      <c r="J1143">
        <v>661909507</v>
      </c>
      <c r="P1143">
        <v>64</v>
      </c>
      <c r="Q1143" t="s">
        <v>2556</v>
      </c>
    </row>
    <row r="1144" spans="1:17" x14ac:dyDescent="0.3">
      <c r="A1144" t="s">
        <v>17</v>
      </c>
      <c r="B1144" t="str">
        <f>"603096"</f>
        <v>603096</v>
      </c>
      <c r="C1144" t="s">
        <v>2557</v>
      </c>
      <c r="D1144" t="s">
        <v>525</v>
      </c>
      <c r="F1144">
        <v>1921546962</v>
      </c>
      <c r="G1144">
        <v>2048983774</v>
      </c>
      <c r="H1144">
        <v>1908509382</v>
      </c>
      <c r="I1144">
        <v>1744571148</v>
      </c>
      <c r="J1144">
        <v>1524651188</v>
      </c>
      <c r="K1144">
        <v>664833410</v>
      </c>
      <c r="L1144">
        <v>542546637</v>
      </c>
      <c r="M1144">
        <v>443693548</v>
      </c>
      <c r="P1144">
        <v>222</v>
      </c>
      <c r="Q1144" t="s">
        <v>2558</v>
      </c>
    </row>
    <row r="1145" spans="1:17" x14ac:dyDescent="0.3">
      <c r="A1145" t="s">
        <v>17</v>
      </c>
      <c r="B1145" t="str">
        <f>"603097"</f>
        <v>603097</v>
      </c>
      <c r="C1145" t="s">
        <v>2559</v>
      </c>
      <c r="F1145">
        <v>504876230</v>
      </c>
      <c r="G1145">
        <v>426459679</v>
      </c>
      <c r="H1145">
        <v>343722217</v>
      </c>
      <c r="I1145">
        <v>274864845</v>
      </c>
      <c r="Q1145" t="s">
        <v>2560</v>
      </c>
    </row>
    <row r="1146" spans="1:17" x14ac:dyDescent="0.3">
      <c r="A1146" t="s">
        <v>17</v>
      </c>
      <c r="B1146" t="str">
        <f>"603098"</f>
        <v>603098</v>
      </c>
      <c r="C1146" t="s">
        <v>2561</v>
      </c>
      <c r="D1146" t="s">
        <v>978</v>
      </c>
      <c r="F1146">
        <v>2658675088</v>
      </c>
      <c r="G1146">
        <v>2075163689</v>
      </c>
      <c r="H1146">
        <v>2007087068</v>
      </c>
      <c r="I1146">
        <v>1855151049</v>
      </c>
      <c r="J1146">
        <v>1681615739</v>
      </c>
      <c r="K1146">
        <v>1593893692</v>
      </c>
      <c r="L1146">
        <v>968680766</v>
      </c>
      <c r="M1146">
        <v>792737432</v>
      </c>
      <c r="N1146">
        <v>598449279</v>
      </c>
      <c r="P1146">
        <v>158</v>
      </c>
      <c r="Q1146" t="s">
        <v>2562</v>
      </c>
    </row>
    <row r="1147" spans="1:17" x14ac:dyDescent="0.3">
      <c r="A1147" t="s">
        <v>17</v>
      </c>
      <c r="B1147" t="str">
        <f>"603099"</f>
        <v>603099</v>
      </c>
      <c r="C1147" t="s">
        <v>2563</v>
      </c>
      <c r="D1147" t="s">
        <v>119</v>
      </c>
      <c r="F1147">
        <v>965630437</v>
      </c>
      <c r="G1147">
        <v>1017030993</v>
      </c>
      <c r="H1147">
        <v>1082042963</v>
      </c>
      <c r="I1147">
        <v>1011067019</v>
      </c>
      <c r="J1147">
        <v>950247083</v>
      </c>
      <c r="K1147">
        <v>901191538</v>
      </c>
      <c r="L1147">
        <v>859888478</v>
      </c>
      <c r="M1147">
        <v>786569464</v>
      </c>
      <c r="N1147">
        <v>437974199</v>
      </c>
      <c r="O1147">
        <v>383377453</v>
      </c>
      <c r="P1147">
        <v>97</v>
      </c>
      <c r="Q1147" t="s">
        <v>2564</v>
      </c>
    </row>
    <row r="1148" spans="1:17" x14ac:dyDescent="0.3">
      <c r="A1148" t="s">
        <v>17</v>
      </c>
      <c r="B1148" t="str">
        <f>"603100"</f>
        <v>603100</v>
      </c>
      <c r="C1148" t="s">
        <v>2565</v>
      </c>
      <c r="D1148" t="s">
        <v>2566</v>
      </c>
      <c r="F1148">
        <v>3174299758</v>
      </c>
      <c r="G1148">
        <v>2721217851</v>
      </c>
      <c r="H1148">
        <v>2420849560</v>
      </c>
      <c r="I1148">
        <v>2265218918</v>
      </c>
      <c r="J1148">
        <v>1997619394</v>
      </c>
      <c r="K1148">
        <v>1881512568</v>
      </c>
      <c r="L1148">
        <v>1799790083</v>
      </c>
      <c r="M1148">
        <v>1707738599</v>
      </c>
      <c r="N1148">
        <v>990543792</v>
      </c>
      <c r="O1148">
        <v>1102376236</v>
      </c>
      <c r="P1148">
        <v>194</v>
      </c>
      <c r="Q1148" t="s">
        <v>2567</v>
      </c>
    </row>
    <row r="1149" spans="1:17" x14ac:dyDescent="0.3">
      <c r="A1149" t="s">
        <v>17</v>
      </c>
      <c r="B1149" t="str">
        <f>"603101"</f>
        <v>603101</v>
      </c>
      <c r="C1149" t="s">
        <v>2568</v>
      </c>
      <c r="D1149" t="s">
        <v>633</v>
      </c>
      <c r="F1149">
        <v>1452078823</v>
      </c>
      <c r="G1149">
        <v>1399636774</v>
      </c>
      <c r="H1149">
        <v>1380076343</v>
      </c>
      <c r="I1149">
        <v>1339230843</v>
      </c>
      <c r="J1149">
        <v>1293074541</v>
      </c>
      <c r="K1149">
        <v>1210370469</v>
      </c>
      <c r="L1149">
        <v>634461087</v>
      </c>
      <c r="M1149">
        <v>556792967</v>
      </c>
      <c r="N1149">
        <v>477299107</v>
      </c>
      <c r="P1149">
        <v>69</v>
      </c>
      <c r="Q1149" t="s">
        <v>2569</v>
      </c>
    </row>
    <row r="1150" spans="1:17" x14ac:dyDescent="0.3">
      <c r="A1150" t="s">
        <v>17</v>
      </c>
      <c r="B1150" t="str">
        <f>"603102"</f>
        <v>603102</v>
      </c>
      <c r="C1150" t="s">
        <v>2570</v>
      </c>
      <c r="F1150">
        <v>713716610</v>
      </c>
      <c r="G1150">
        <v>580077371</v>
      </c>
      <c r="H1150">
        <v>462920167</v>
      </c>
      <c r="I1150">
        <v>412105486</v>
      </c>
      <c r="J1150">
        <v>351875860</v>
      </c>
      <c r="P1150">
        <v>13</v>
      </c>
      <c r="Q1150" t="s">
        <v>2571</v>
      </c>
    </row>
    <row r="1151" spans="1:17" x14ac:dyDescent="0.3">
      <c r="A1151" t="s">
        <v>17</v>
      </c>
      <c r="B1151" t="str">
        <f>"603103"</f>
        <v>603103</v>
      </c>
      <c r="C1151" t="s">
        <v>2572</v>
      </c>
      <c r="D1151" t="s">
        <v>2573</v>
      </c>
      <c r="F1151">
        <v>1491737381</v>
      </c>
      <c r="G1151">
        <v>1874845724</v>
      </c>
      <c r="H1151">
        <v>2387279006</v>
      </c>
      <c r="I1151">
        <v>2190111743</v>
      </c>
      <c r="J1151">
        <v>1973614787</v>
      </c>
      <c r="K1151">
        <v>951172964</v>
      </c>
      <c r="L1151">
        <v>675155095</v>
      </c>
      <c r="M1151">
        <v>277008796</v>
      </c>
      <c r="P1151">
        <v>240</v>
      </c>
      <c r="Q1151" t="s">
        <v>2574</v>
      </c>
    </row>
    <row r="1152" spans="1:17" x14ac:dyDescent="0.3">
      <c r="A1152" t="s">
        <v>17</v>
      </c>
      <c r="B1152" t="str">
        <f>"603105"</f>
        <v>603105</v>
      </c>
      <c r="C1152" t="s">
        <v>2575</v>
      </c>
      <c r="D1152" t="s">
        <v>86</v>
      </c>
      <c r="F1152">
        <v>1608695529</v>
      </c>
      <c r="G1152">
        <v>1532279095</v>
      </c>
      <c r="H1152">
        <v>1451393052</v>
      </c>
      <c r="I1152">
        <v>1459275039</v>
      </c>
      <c r="J1152">
        <v>1018995202</v>
      </c>
      <c r="K1152">
        <v>899850686</v>
      </c>
      <c r="L1152">
        <v>444420375</v>
      </c>
      <c r="P1152">
        <v>144</v>
      </c>
      <c r="Q1152" t="s">
        <v>2576</v>
      </c>
    </row>
    <row r="1153" spans="1:17" x14ac:dyDescent="0.3">
      <c r="A1153" t="s">
        <v>17</v>
      </c>
      <c r="B1153" t="str">
        <f>"603106"</f>
        <v>603106</v>
      </c>
      <c r="C1153" t="s">
        <v>2577</v>
      </c>
      <c r="D1153" t="s">
        <v>236</v>
      </c>
      <c r="F1153">
        <v>1625685571</v>
      </c>
      <c r="G1153">
        <v>1630692290</v>
      </c>
      <c r="H1153">
        <v>1597710414</v>
      </c>
      <c r="I1153">
        <v>1656185905</v>
      </c>
      <c r="J1153">
        <v>1582997213</v>
      </c>
      <c r="K1153">
        <v>732646085</v>
      </c>
      <c r="L1153">
        <v>588738618</v>
      </c>
      <c r="M1153">
        <v>400404871</v>
      </c>
      <c r="P1153">
        <v>2938</v>
      </c>
      <c r="Q1153" t="s">
        <v>2578</v>
      </c>
    </row>
    <row r="1154" spans="1:17" x14ac:dyDescent="0.3">
      <c r="A1154" t="s">
        <v>17</v>
      </c>
      <c r="B1154" t="str">
        <f>"603108"</f>
        <v>603108</v>
      </c>
      <c r="C1154" t="s">
        <v>2579</v>
      </c>
      <c r="D1154" t="s">
        <v>2580</v>
      </c>
      <c r="F1154">
        <v>3352533646</v>
      </c>
      <c r="G1154">
        <v>3093181408</v>
      </c>
      <c r="H1154">
        <v>2758404144</v>
      </c>
      <c r="I1154">
        <v>2505563204</v>
      </c>
      <c r="J1154">
        <v>2287045058</v>
      </c>
      <c r="K1154">
        <v>2117256085</v>
      </c>
      <c r="L1154">
        <v>924019947</v>
      </c>
      <c r="M1154">
        <v>475435433</v>
      </c>
      <c r="N1154">
        <v>404256883</v>
      </c>
      <c r="O1154">
        <v>340111185</v>
      </c>
      <c r="P1154">
        <v>336</v>
      </c>
      <c r="Q1154" t="s">
        <v>2581</v>
      </c>
    </row>
    <row r="1155" spans="1:17" x14ac:dyDescent="0.3">
      <c r="A1155" t="s">
        <v>17</v>
      </c>
      <c r="B1155" t="str">
        <f>"603109"</f>
        <v>603109</v>
      </c>
      <c r="C1155" t="s">
        <v>2582</v>
      </c>
      <c r="D1155" t="s">
        <v>985</v>
      </c>
      <c r="F1155">
        <v>1483089183</v>
      </c>
      <c r="G1155">
        <v>1319140280</v>
      </c>
      <c r="H1155">
        <v>1252428192</v>
      </c>
      <c r="I1155">
        <v>607196334</v>
      </c>
      <c r="J1155">
        <v>488245296</v>
      </c>
      <c r="K1155">
        <v>413092512</v>
      </c>
      <c r="P1155">
        <v>80</v>
      </c>
      <c r="Q1155" t="s">
        <v>2583</v>
      </c>
    </row>
    <row r="1156" spans="1:17" x14ac:dyDescent="0.3">
      <c r="A1156" t="s">
        <v>17</v>
      </c>
      <c r="B1156" t="str">
        <f>"603110"</f>
        <v>603110</v>
      </c>
      <c r="C1156" t="s">
        <v>2584</v>
      </c>
      <c r="D1156" t="s">
        <v>2585</v>
      </c>
      <c r="F1156">
        <v>683600012</v>
      </c>
      <c r="G1156">
        <v>627907930</v>
      </c>
      <c r="H1156">
        <v>652209684</v>
      </c>
      <c r="I1156">
        <v>633529424</v>
      </c>
      <c r="J1156">
        <v>625467556</v>
      </c>
      <c r="K1156">
        <v>311566084</v>
      </c>
      <c r="L1156">
        <v>279008154</v>
      </c>
      <c r="M1156">
        <v>214919455</v>
      </c>
      <c r="P1156">
        <v>71</v>
      </c>
      <c r="Q1156" t="s">
        <v>2586</v>
      </c>
    </row>
    <row r="1157" spans="1:17" x14ac:dyDescent="0.3">
      <c r="A1157" t="s">
        <v>17</v>
      </c>
      <c r="B1157" t="str">
        <f>"603111"</f>
        <v>603111</v>
      </c>
      <c r="C1157" t="s">
        <v>2587</v>
      </c>
      <c r="D1157" t="s">
        <v>1012</v>
      </c>
      <c r="F1157">
        <v>3338630127</v>
      </c>
      <c r="G1157">
        <v>2968438792</v>
      </c>
      <c r="H1157">
        <v>2539345154</v>
      </c>
      <c r="I1157">
        <v>1701726602</v>
      </c>
      <c r="J1157">
        <v>3891663610</v>
      </c>
      <c r="K1157">
        <v>1322226837</v>
      </c>
      <c r="L1157">
        <v>1107513447</v>
      </c>
      <c r="M1157">
        <v>953525666</v>
      </c>
      <c r="N1157">
        <v>428089124</v>
      </c>
      <c r="O1157">
        <v>358744820</v>
      </c>
      <c r="P1157">
        <v>440</v>
      </c>
      <c r="Q1157" t="s">
        <v>2588</v>
      </c>
    </row>
    <row r="1158" spans="1:17" x14ac:dyDescent="0.3">
      <c r="A1158" t="s">
        <v>17</v>
      </c>
      <c r="B1158" t="str">
        <f>"603112"</f>
        <v>603112</v>
      </c>
      <c r="C1158" t="s">
        <v>2589</v>
      </c>
      <c r="D1158" t="s">
        <v>1253</v>
      </c>
      <c r="F1158">
        <v>2062904897</v>
      </c>
      <c r="G1158">
        <v>1775552341</v>
      </c>
      <c r="H1158">
        <v>1166040474</v>
      </c>
      <c r="I1158">
        <v>1016859533</v>
      </c>
      <c r="J1158">
        <v>840850725</v>
      </c>
      <c r="K1158">
        <v>662802344</v>
      </c>
      <c r="P1158">
        <v>48</v>
      </c>
      <c r="Q1158" t="s">
        <v>2590</v>
      </c>
    </row>
    <row r="1159" spans="1:17" x14ac:dyDescent="0.3">
      <c r="A1159" t="s">
        <v>17</v>
      </c>
      <c r="B1159" t="str">
        <f>"603113"</f>
        <v>603113</v>
      </c>
      <c r="C1159" t="s">
        <v>2591</v>
      </c>
      <c r="D1159" t="s">
        <v>885</v>
      </c>
      <c r="F1159">
        <v>8512190021</v>
      </c>
      <c r="G1159">
        <v>7801038389</v>
      </c>
      <c r="H1159">
        <v>5527523346</v>
      </c>
      <c r="I1159">
        <v>4866004275</v>
      </c>
      <c r="J1159">
        <v>3854183940</v>
      </c>
      <c r="K1159">
        <v>2196376568</v>
      </c>
      <c r="L1159">
        <v>1890640431</v>
      </c>
      <c r="M1159">
        <v>1819004357</v>
      </c>
      <c r="P1159">
        <v>302</v>
      </c>
      <c r="Q1159" t="s">
        <v>2592</v>
      </c>
    </row>
    <row r="1160" spans="1:17" x14ac:dyDescent="0.3">
      <c r="A1160" t="s">
        <v>17</v>
      </c>
      <c r="B1160" t="str">
        <f>"603115"</f>
        <v>603115</v>
      </c>
      <c r="C1160" t="s">
        <v>2593</v>
      </c>
      <c r="D1160" t="s">
        <v>504</v>
      </c>
      <c r="F1160">
        <v>1976215905</v>
      </c>
      <c r="G1160">
        <v>1234905931</v>
      </c>
      <c r="H1160">
        <v>1270133767</v>
      </c>
      <c r="I1160">
        <v>783260789</v>
      </c>
      <c r="J1160">
        <v>695421395</v>
      </c>
      <c r="K1160">
        <v>660296941</v>
      </c>
      <c r="P1160">
        <v>88</v>
      </c>
      <c r="Q1160" t="s">
        <v>2594</v>
      </c>
    </row>
    <row r="1161" spans="1:17" x14ac:dyDescent="0.3">
      <c r="A1161" t="s">
        <v>17</v>
      </c>
      <c r="B1161" t="str">
        <f>"603116"</f>
        <v>603116</v>
      </c>
      <c r="C1161" t="s">
        <v>2595</v>
      </c>
      <c r="D1161" t="s">
        <v>330</v>
      </c>
      <c r="F1161">
        <v>3288322608</v>
      </c>
      <c r="G1161">
        <v>3416125883</v>
      </c>
      <c r="H1161">
        <v>3437736389</v>
      </c>
      <c r="I1161">
        <v>3544973133</v>
      </c>
      <c r="J1161">
        <v>3484153202</v>
      </c>
      <c r="K1161">
        <v>3194252690</v>
      </c>
      <c r="L1161">
        <v>2945109084</v>
      </c>
      <c r="M1161">
        <v>1671274009</v>
      </c>
      <c r="N1161">
        <v>1413643162</v>
      </c>
      <c r="O1161">
        <v>1156055295</v>
      </c>
      <c r="P1161">
        <v>102</v>
      </c>
      <c r="Q1161" t="s">
        <v>2596</v>
      </c>
    </row>
    <row r="1162" spans="1:17" x14ac:dyDescent="0.3">
      <c r="A1162" t="s">
        <v>17</v>
      </c>
      <c r="B1162" t="str">
        <f>"603117"</f>
        <v>603117</v>
      </c>
      <c r="C1162" t="s">
        <v>2597</v>
      </c>
      <c r="D1162" t="s">
        <v>287</v>
      </c>
      <c r="F1162">
        <v>1977728343</v>
      </c>
      <c r="G1162">
        <v>2283790162</v>
      </c>
      <c r="H1162">
        <v>2258683210</v>
      </c>
      <c r="I1162">
        <v>2245173357</v>
      </c>
      <c r="J1162">
        <v>2278678316</v>
      </c>
      <c r="K1162">
        <v>2221183841</v>
      </c>
      <c r="L1162">
        <v>1359733981</v>
      </c>
      <c r="M1162">
        <v>975843652</v>
      </c>
      <c r="N1162">
        <v>864723543</v>
      </c>
      <c r="O1162">
        <v>745029368</v>
      </c>
      <c r="P1162">
        <v>64</v>
      </c>
      <c r="Q1162" t="s">
        <v>2598</v>
      </c>
    </row>
    <row r="1163" spans="1:17" x14ac:dyDescent="0.3">
      <c r="A1163" t="s">
        <v>17</v>
      </c>
      <c r="B1163" t="str">
        <f>"603118"</f>
        <v>603118</v>
      </c>
      <c r="C1163" t="s">
        <v>2599</v>
      </c>
      <c r="D1163" t="s">
        <v>786</v>
      </c>
      <c r="F1163">
        <v>4963393387</v>
      </c>
      <c r="G1163">
        <v>4687841111</v>
      </c>
      <c r="H1163">
        <v>4442561250</v>
      </c>
      <c r="I1163">
        <v>4507639190</v>
      </c>
      <c r="J1163">
        <v>4343822837</v>
      </c>
      <c r="K1163">
        <v>4281550766</v>
      </c>
      <c r="L1163">
        <v>2330145141</v>
      </c>
      <c r="M1163">
        <v>1294520081</v>
      </c>
      <c r="N1163">
        <v>1181900580</v>
      </c>
      <c r="O1163">
        <v>1013311484</v>
      </c>
      <c r="P1163">
        <v>243</v>
      </c>
      <c r="Q1163" t="s">
        <v>2600</v>
      </c>
    </row>
    <row r="1164" spans="1:17" x14ac:dyDescent="0.3">
      <c r="A1164" t="s">
        <v>17</v>
      </c>
      <c r="B1164" t="str">
        <f>"603121"</f>
        <v>603121</v>
      </c>
      <c r="C1164" t="s">
        <v>2601</v>
      </c>
      <c r="D1164" t="s">
        <v>348</v>
      </c>
      <c r="F1164">
        <v>1154942604</v>
      </c>
      <c r="G1164">
        <v>1118822267</v>
      </c>
      <c r="H1164">
        <v>1107413575</v>
      </c>
      <c r="I1164">
        <v>563615508</v>
      </c>
      <c r="J1164">
        <v>485156587</v>
      </c>
      <c r="K1164">
        <v>386142555</v>
      </c>
      <c r="L1164">
        <v>235673120</v>
      </c>
      <c r="P1164">
        <v>77</v>
      </c>
      <c r="Q1164" t="s">
        <v>2602</v>
      </c>
    </row>
    <row r="1165" spans="1:17" x14ac:dyDescent="0.3">
      <c r="A1165" t="s">
        <v>17</v>
      </c>
      <c r="B1165" t="str">
        <f>"603122"</f>
        <v>603122</v>
      </c>
      <c r="C1165" t="s">
        <v>2603</v>
      </c>
      <c r="F1165">
        <v>795832607</v>
      </c>
      <c r="G1165">
        <v>717024203</v>
      </c>
      <c r="H1165">
        <v>789405623</v>
      </c>
      <c r="I1165">
        <v>374768476</v>
      </c>
      <c r="J1165">
        <v>407969700</v>
      </c>
      <c r="P1165">
        <v>12</v>
      </c>
      <c r="Q1165" t="s">
        <v>2604</v>
      </c>
    </row>
    <row r="1166" spans="1:17" x14ac:dyDescent="0.3">
      <c r="A1166" t="s">
        <v>17</v>
      </c>
      <c r="B1166" t="str">
        <f>"603123"</f>
        <v>603123</v>
      </c>
      <c r="C1166" t="s">
        <v>2605</v>
      </c>
      <c r="D1166" t="s">
        <v>633</v>
      </c>
      <c r="F1166">
        <v>3897623454</v>
      </c>
      <c r="G1166">
        <v>3568144586</v>
      </c>
      <c r="H1166">
        <v>3246359206</v>
      </c>
      <c r="I1166">
        <v>3133060863</v>
      </c>
      <c r="J1166">
        <v>3016054062</v>
      </c>
      <c r="K1166">
        <v>2934523074</v>
      </c>
      <c r="L1166">
        <v>2882336485</v>
      </c>
      <c r="M1166">
        <v>2784458048</v>
      </c>
      <c r="N1166">
        <v>1689793492</v>
      </c>
      <c r="O1166">
        <v>1617990750</v>
      </c>
      <c r="P1166">
        <v>100</v>
      </c>
      <c r="Q1166" t="s">
        <v>2606</v>
      </c>
    </row>
    <row r="1167" spans="1:17" x14ac:dyDescent="0.3">
      <c r="A1167" t="s">
        <v>17</v>
      </c>
      <c r="B1167" t="str">
        <f>"603126"</f>
        <v>603126</v>
      </c>
      <c r="C1167" t="s">
        <v>2607</v>
      </c>
      <c r="D1167" t="s">
        <v>499</v>
      </c>
      <c r="F1167">
        <v>1920048935</v>
      </c>
      <c r="G1167">
        <v>1831201306</v>
      </c>
      <c r="H1167">
        <v>1747572276</v>
      </c>
      <c r="I1167">
        <v>1667123209</v>
      </c>
      <c r="J1167">
        <v>1581517714</v>
      </c>
      <c r="K1167">
        <v>1495321061</v>
      </c>
      <c r="L1167">
        <v>1374281293</v>
      </c>
      <c r="M1167">
        <v>1299608416</v>
      </c>
      <c r="N1167">
        <v>1026186503</v>
      </c>
      <c r="O1167">
        <v>948645368</v>
      </c>
      <c r="P1167">
        <v>196</v>
      </c>
      <c r="Q1167" t="s">
        <v>2608</v>
      </c>
    </row>
    <row r="1168" spans="1:17" x14ac:dyDescent="0.3">
      <c r="A1168" t="s">
        <v>17</v>
      </c>
      <c r="B1168" t="str">
        <f>"603127"</f>
        <v>603127</v>
      </c>
      <c r="C1168" t="s">
        <v>2609</v>
      </c>
      <c r="D1168" t="s">
        <v>1461</v>
      </c>
      <c r="F1168">
        <v>7136214378</v>
      </c>
      <c r="G1168">
        <v>1224899092</v>
      </c>
      <c r="H1168">
        <v>826518653</v>
      </c>
      <c r="I1168">
        <v>651319439</v>
      </c>
      <c r="J1168">
        <v>557436824</v>
      </c>
      <c r="K1168">
        <v>259832442</v>
      </c>
      <c r="L1168">
        <v>207997986</v>
      </c>
      <c r="M1168">
        <v>158723000</v>
      </c>
      <c r="P1168">
        <v>1812</v>
      </c>
      <c r="Q1168" t="s">
        <v>2610</v>
      </c>
    </row>
    <row r="1169" spans="1:17" x14ac:dyDescent="0.3">
      <c r="A1169" t="s">
        <v>17</v>
      </c>
      <c r="B1169" t="str">
        <f>"603128"</f>
        <v>603128</v>
      </c>
      <c r="C1169" t="s">
        <v>2611</v>
      </c>
      <c r="D1169" t="s">
        <v>287</v>
      </c>
      <c r="F1169">
        <v>5129883522</v>
      </c>
      <c r="G1169">
        <v>4585633853</v>
      </c>
      <c r="H1169">
        <v>4115151141</v>
      </c>
      <c r="I1169">
        <v>3907665325</v>
      </c>
      <c r="J1169">
        <v>3747892389</v>
      </c>
      <c r="K1169">
        <v>3528703733</v>
      </c>
      <c r="L1169">
        <v>1514536108</v>
      </c>
      <c r="M1169">
        <v>1378815388</v>
      </c>
      <c r="N1169">
        <v>1290566751</v>
      </c>
      <c r="O1169">
        <v>1240963151</v>
      </c>
      <c r="P1169">
        <v>273</v>
      </c>
      <c r="Q1169" t="s">
        <v>2612</v>
      </c>
    </row>
    <row r="1170" spans="1:17" x14ac:dyDescent="0.3">
      <c r="A1170" t="s">
        <v>17</v>
      </c>
      <c r="B1170" t="str">
        <f>"603129"</f>
        <v>603129</v>
      </c>
      <c r="C1170" t="s">
        <v>2613</v>
      </c>
      <c r="D1170" t="s">
        <v>1656</v>
      </c>
      <c r="F1170">
        <v>3636400601</v>
      </c>
      <c r="G1170">
        <v>1495490847</v>
      </c>
      <c r="H1170">
        <v>1040318523</v>
      </c>
      <c r="I1170">
        <v>964502292</v>
      </c>
      <c r="J1170">
        <v>899952571</v>
      </c>
      <c r="K1170">
        <v>387487588</v>
      </c>
      <c r="L1170">
        <v>307043978</v>
      </c>
      <c r="M1170">
        <v>43572889</v>
      </c>
      <c r="P1170">
        <v>625</v>
      </c>
      <c r="Q1170" t="s">
        <v>2614</v>
      </c>
    </row>
    <row r="1171" spans="1:17" x14ac:dyDescent="0.3">
      <c r="A1171" t="s">
        <v>17</v>
      </c>
      <c r="B1171" t="str">
        <f>"603131"</f>
        <v>603131</v>
      </c>
      <c r="C1171" t="s">
        <v>2615</v>
      </c>
      <c r="D1171" t="s">
        <v>560</v>
      </c>
      <c r="F1171">
        <v>1377424099</v>
      </c>
      <c r="G1171">
        <v>1302350447</v>
      </c>
      <c r="H1171">
        <v>1223501487</v>
      </c>
      <c r="I1171">
        <v>1007166245</v>
      </c>
      <c r="J1171">
        <v>653050993</v>
      </c>
      <c r="K1171">
        <v>621795903</v>
      </c>
      <c r="L1171">
        <v>335595669</v>
      </c>
      <c r="M1171">
        <v>296486997</v>
      </c>
      <c r="N1171">
        <v>267870526</v>
      </c>
      <c r="P1171">
        <v>143</v>
      </c>
      <c r="Q1171" t="s">
        <v>2616</v>
      </c>
    </row>
    <row r="1172" spans="1:17" x14ac:dyDescent="0.3">
      <c r="A1172" t="s">
        <v>17</v>
      </c>
      <c r="B1172" t="str">
        <f>"603132"</f>
        <v>603132</v>
      </c>
      <c r="C1172" t="s">
        <v>2617</v>
      </c>
      <c r="F1172">
        <v>2239390892</v>
      </c>
      <c r="G1172">
        <v>1776529976</v>
      </c>
      <c r="H1172">
        <v>1414154053</v>
      </c>
      <c r="I1172">
        <v>733321585</v>
      </c>
      <c r="P1172">
        <v>10</v>
      </c>
      <c r="Q1172" t="s">
        <v>2618</v>
      </c>
    </row>
    <row r="1173" spans="1:17" x14ac:dyDescent="0.3">
      <c r="A1173" t="s">
        <v>17</v>
      </c>
      <c r="B1173" t="str">
        <f>"603133"</f>
        <v>603133</v>
      </c>
      <c r="C1173" t="s">
        <v>2619</v>
      </c>
      <c r="D1173" t="s">
        <v>313</v>
      </c>
      <c r="F1173">
        <v>370557263</v>
      </c>
      <c r="G1173">
        <v>801644072</v>
      </c>
      <c r="H1173">
        <v>890586935</v>
      </c>
      <c r="I1173">
        <v>929653853</v>
      </c>
      <c r="J1173">
        <v>889964522</v>
      </c>
      <c r="K1173">
        <v>505395543</v>
      </c>
      <c r="L1173">
        <v>453515853</v>
      </c>
      <c r="M1173">
        <v>461420263</v>
      </c>
      <c r="P1173">
        <v>138</v>
      </c>
      <c r="Q1173" t="s">
        <v>2620</v>
      </c>
    </row>
    <row r="1174" spans="1:17" x14ac:dyDescent="0.3">
      <c r="A1174" t="s">
        <v>17</v>
      </c>
      <c r="B1174" t="str">
        <f>"603136"</f>
        <v>603136</v>
      </c>
      <c r="C1174" t="s">
        <v>2621</v>
      </c>
      <c r="D1174" t="s">
        <v>333</v>
      </c>
      <c r="F1174">
        <v>1169667880</v>
      </c>
      <c r="G1174">
        <v>886229950</v>
      </c>
      <c r="H1174">
        <v>903302571</v>
      </c>
      <c r="I1174">
        <v>825624619</v>
      </c>
      <c r="J1174">
        <v>754414519</v>
      </c>
      <c r="K1174">
        <v>312482708</v>
      </c>
      <c r="L1174">
        <v>268194394</v>
      </c>
      <c r="M1174">
        <v>226661765</v>
      </c>
      <c r="P1174">
        <v>194</v>
      </c>
      <c r="Q1174" t="s">
        <v>2622</v>
      </c>
    </row>
    <row r="1175" spans="1:17" x14ac:dyDescent="0.3">
      <c r="A1175" t="s">
        <v>17</v>
      </c>
      <c r="B1175" t="str">
        <f>"603138"</f>
        <v>603138</v>
      </c>
      <c r="C1175" t="s">
        <v>2623</v>
      </c>
      <c r="D1175" t="s">
        <v>316</v>
      </c>
      <c r="F1175">
        <v>939107930</v>
      </c>
      <c r="G1175">
        <v>516143545</v>
      </c>
      <c r="H1175">
        <v>489417581</v>
      </c>
      <c r="I1175">
        <v>435417013</v>
      </c>
      <c r="J1175">
        <v>382141371</v>
      </c>
      <c r="K1175">
        <v>165913928</v>
      </c>
      <c r="L1175">
        <v>129775037</v>
      </c>
      <c r="M1175">
        <v>104844172</v>
      </c>
      <c r="P1175">
        <v>147</v>
      </c>
      <c r="Q1175" t="s">
        <v>2624</v>
      </c>
    </row>
    <row r="1176" spans="1:17" x14ac:dyDescent="0.3">
      <c r="A1176" t="s">
        <v>17</v>
      </c>
      <c r="B1176" t="str">
        <f>"603139"</f>
        <v>603139</v>
      </c>
      <c r="C1176" t="s">
        <v>2625</v>
      </c>
      <c r="D1176" t="s">
        <v>188</v>
      </c>
      <c r="F1176">
        <v>1046679306</v>
      </c>
      <c r="G1176">
        <v>1007732429</v>
      </c>
      <c r="H1176">
        <v>978244705</v>
      </c>
      <c r="I1176">
        <v>946476583</v>
      </c>
      <c r="J1176">
        <v>910823402</v>
      </c>
      <c r="K1176">
        <v>522812633</v>
      </c>
      <c r="L1176">
        <v>457578521</v>
      </c>
      <c r="M1176">
        <v>395373327</v>
      </c>
      <c r="P1176">
        <v>97</v>
      </c>
      <c r="Q1176" t="s">
        <v>2626</v>
      </c>
    </row>
    <row r="1177" spans="1:17" x14ac:dyDescent="0.3">
      <c r="A1177" t="s">
        <v>17</v>
      </c>
      <c r="B1177" t="str">
        <f>"603150"</f>
        <v>603150</v>
      </c>
      <c r="C1177" t="s">
        <v>2627</v>
      </c>
      <c r="F1177">
        <v>642736047</v>
      </c>
      <c r="G1177">
        <v>554259595</v>
      </c>
      <c r="H1177">
        <v>465485773</v>
      </c>
      <c r="I1177">
        <v>365987538</v>
      </c>
      <c r="P1177">
        <v>5</v>
      </c>
      <c r="Q1177" t="s">
        <v>2628</v>
      </c>
    </row>
    <row r="1178" spans="1:17" x14ac:dyDescent="0.3">
      <c r="A1178" t="s">
        <v>17</v>
      </c>
      <c r="B1178" t="str">
        <f>"603155"</f>
        <v>603155</v>
      </c>
      <c r="C1178" t="s">
        <v>2629</v>
      </c>
      <c r="D1178" t="s">
        <v>1205</v>
      </c>
      <c r="F1178">
        <v>2200437881</v>
      </c>
      <c r="G1178">
        <v>1966551330</v>
      </c>
      <c r="H1178">
        <v>665214929</v>
      </c>
      <c r="I1178">
        <v>513857940</v>
      </c>
      <c r="J1178">
        <v>280105961</v>
      </c>
      <c r="P1178">
        <v>76</v>
      </c>
      <c r="Q1178" t="s">
        <v>2630</v>
      </c>
    </row>
    <row r="1179" spans="1:17" x14ac:dyDescent="0.3">
      <c r="A1179" t="s">
        <v>17</v>
      </c>
      <c r="B1179" t="str">
        <f>"603156"</f>
        <v>603156</v>
      </c>
      <c r="C1179" t="s">
        <v>2631</v>
      </c>
      <c r="D1179" t="s">
        <v>440</v>
      </c>
      <c r="F1179">
        <v>12461790747</v>
      </c>
      <c r="G1179">
        <v>11838342115</v>
      </c>
      <c r="H1179">
        <v>12413464848</v>
      </c>
      <c r="I1179">
        <v>11970063005</v>
      </c>
      <c r="J1179">
        <v>7336906696</v>
      </c>
      <c r="K1179">
        <v>5973668651</v>
      </c>
      <c r="L1179">
        <v>5638674476</v>
      </c>
      <c r="M1179">
        <v>3637459830</v>
      </c>
      <c r="P1179">
        <v>1235</v>
      </c>
      <c r="Q1179" t="s">
        <v>2632</v>
      </c>
    </row>
    <row r="1180" spans="1:17" x14ac:dyDescent="0.3">
      <c r="A1180" t="s">
        <v>17</v>
      </c>
      <c r="B1180" t="str">
        <f>"603157"</f>
        <v>603157</v>
      </c>
      <c r="C1180" t="s">
        <v>2633</v>
      </c>
      <c r="D1180" t="s">
        <v>255</v>
      </c>
      <c r="F1180">
        <v>-1431296000</v>
      </c>
      <c r="G1180">
        <v>-607856000</v>
      </c>
      <c r="H1180">
        <v>1240434000</v>
      </c>
      <c r="I1180">
        <v>3447418000</v>
      </c>
      <c r="J1180">
        <v>3875556000</v>
      </c>
      <c r="K1180">
        <v>3307285000</v>
      </c>
      <c r="L1180">
        <v>3127043000</v>
      </c>
      <c r="M1180">
        <v>3093308000</v>
      </c>
      <c r="P1180">
        <v>88</v>
      </c>
      <c r="Q1180" t="s">
        <v>2634</v>
      </c>
    </row>
    <row r="1181" spans="1:17" x14ac:dyDescent="0.3">
      <c r="A1181" t="s">
        <v>17</v>
      </c>
      <c r="B1181" t="str">
        <f>"603158"</f>
        <v>603158</v>
      </c>
      <c r="C1181" t="s">
        <v>2635</v>
      </c>
      <c r="D1181" t="s">
        <v>348</v>
      </c>
      <c r="F1181">
        <v>1885813953</v>
      </c>
      <c r="G1181">
        <v>1193846979</v>
      </c>
      <c r="H1181">
        <v>1060616547</v>
      </c>
      <c r="I1181">
        <v>980005414</v>
      </c>
      <c r="J1181">
        <v>996834370</v>
      </c>
      <c r="K1181">
        <v>877250113</v>
      </c>
      <c r="L1181">
        <v>777452593</v>
      </c>
      <c r="M1181">
        <v>346504429</v>
      </c>
      <c r="N1181">
        <v>277411183</v>
      </c>
      <c r="O1181">
        <v>208257653</v>
      </c>
      <c r="P1181">
        <v>145</v>
      </c>
      <c r="Q1181" t="s">
        <v>2636</v>
      </c>
    </row>
    <row r="1182" spans="1:17" x14ac:dyDescent="0.3">
      <c r="A1182" t="s">
        <v>17</v>
      </c>
      <c r="B1182" t="str">
        <f>"603159"</f>
        <v>603159</v>
      </c>
      <c r="C1182" t="s">
        <v>2637</v>
      </c>
      <c r="D1182" t="s">
        <v>741</v>
      </c>
      <c r="F1182">
        <v>462956653</v>
      </c>
      <c r="G1182">
        <v>439315099</v>
      </c>
      <c r="H1182">
        <v>431279729</v>
      </c>
      <c r="I1182">
        <v>423487958</v>
      </c>
      <c r="J1182">
        <v>395562000</v>
      </c>
      <c r="K1182">
        <v>380661754</v>
      </c>
      <c r="L1182">
        <v>210041332</v>
      </c>
      <c r="M1182">
        <v>171812613</v>
      </c>
      <c r="N1182">
        <v>150694580</v>
      </c>
      <c r="P1182">
        <v>62</v>
      </c>
      <c r="Q1182" t="s">
        <v>2638</v>
      </c>
    </row>
    <row r="1183" spans="1:17" x14ac:dyDescent="0.3">
      <c r="A1183" t="s">
        <v>17</v>
      </c>
      <c r="B1183" t="str">
        <f>"603160"</f>
        <v>603160</v>
      </c>
      <c r="C1183" t="s">
        <v>2639</v>
      </c>
      <c r="D1183" t="s">
        <v>401</v>
      </c>
      <c r="F1183">
        <v>8693912724</v>
      </c>
      <c r="G1183">
        <v>8037109890</v>
      </c>
      <c r="H1183">
        <v>6439424033</v>
      </c>
      <c r="I1183">
        <v>4107470168</v>
      </c>
      <c r="J1183">
        <v>3485759076</v>
      </c>
      <c r="K1183">
        <v>2734623421</v>
      </c>
      <c r="L1183">
        <v>1172017131</v>
      </c>
      <c r="M1183">
        <v>892403384</v>
      </c>
      <c r="N1183">
        <v>591327922</v>
      </c>
      <c r="P1183">
        <v>2243</v>
      </c>
      <c r="Q1183" t="s">
        <v>2640</v>
      </c>
    </row>
    <row r="1184" spans="1:17" x14ac:dyDescent="0.3">
      <c r="A1184" t="s">
        <v>17</v>
      </c>
      <c r="B1184" t="str">
        <f>"603161"</f>
        <v>603161</v>
      </c>
      <c r="C1184" t="s">
        <v>2641</v>
      </c>
      <c r="D1184" t="s">
        <v>348</v>
      </c>
      <c r="F1184">
        <v>1244014840</v>
      </c>
      <c r="G1184">
        <v>1307790150</v>
      </c>
      <c r="H1184">
        <v>1287482372</v>
      </c>
      <c r="I1184">
        <v>1246547103</v>
      </c>
      <c r="J1184">
        <v>657798044</v>
      </c>
      <c r="K1184">
        <v>565746192</v>
      </c>
      <c r="L1184">
        <v>464033035</v>
      </c>
      <c r="M1184">
        <v>238875555</v>
      </c>
      <c r="P1184">
        <v>81</v>
      </c>
      <c r="Q1184" t="s">
        <v>2642</v>
      </c>
    </row>
    <row r="1185" spans="1:17" x14ac:dyDescent="0.3">
      <c r="A1185" t="s">
        <v>17</v>
      </c>
      <c r="B1185" t="str">
        <f>"603165"</f>
        <v>603165</v>
      </c>
      <c r="C1185" t="s">
        <v>2643</v>
      </c>
      <c r="D1185" t="s">
        <v>694</v>
      </c>
      <c r="F1185">
        <v>1839132235</v>
      </c>
      <c r="G1185">
        <v>1612307658</v>
      </c>
      <c r="H1185">
        <v>1399797834</v>
      </c>
      <c r="I1185">
        <v>1233833418</v>
      </c>
      <c r="J1185">
        <v>1058664993</v>
      </c>
      <c r="K1185">
        <v>401554290</v>
      </c>
      <c r="L1185">
        <v>278807741</v>
      </c>
      <c r="M1185">
        <v>276613294</v>
      </c>
      <c r="N1185">
        <v>221962213</v>
      </c>
      <c r="P1185">
        <v>587</v>
      </c>
      <c r="Q1185" t="s">
        <v>2644</v>
      </c>
    </row>
    <row r="1186" spans="1:17" x14ac:dyDescent="0.3">
      <c r="A1186" t="s">
        <v>17</v>
      </c>
      <c r="B1186" t="str">
        <f>"603166"</f>
        <v>603166</v>
      </c>
      <c r="C1186" t="s">
        <v>2645</v>
      </c>
      <c r="D1186" t="s">
        <v>348</v>
      </c>
      <c r="F1186">
        <v>2637811713</v>
      </c>
      <c r="G1186">
        <v>2264816924</v>
      </c>
      <c r="H1186">
        <v>2150327482</v>
      </c>
      <c r="I1186">
        <v>2106243451</v>
      </c>
      <c r="J1186">
        <v>2108886535</v>
      </c>
      <c r="K1186">
        <v>2091195672</v>
      </c>
      <c r="L1186">
        <v>2024596659</v>
      </c>
      <c r="M1186">
        <v>1021916507</v>
      </c>
      <c r="N1186">
        <v>697771056</v>
      </c>
      <c r="O1186">
        <v>659508708</v>
      </c>
      <c r="P1186">
        <v>141</v>
      </c>
      <c r="Q1186" t="s">
        <v>2646</v>
      </c>
    </row>
    <row r="1187" spans="1:17" x14ac:dyDescent="0.3">
      <c r="A1187" t="s">
        <v>17</v>
      </c>
      <c r="B1187" t="str">
        <f>"603167"</f>
        <v>603167</v>
      </c>
      <c r="C1187" t="s">
        <v>2647</v>
      </c>
      <c r="D1187" t="s">
        <v>69</v>
      </c>
      <c r="F1187">
        <v>3557910427</v>
      </c>
      <c r="G1187">
        <v>3384843895</v>
      </c>
      <c r="H1187">
        <v>3395379530</v>
      </c>
      <c r="I1187">
        <v>3444071166</v>
      </c>
      <c r="J1187">
        <v>3240964337</v>
      </c>
      <c r="K1187">
        <v>2992375673</v>
      </c>
      <c r="L1187">
        <v>2814254992</v>
      </c>
      <c r="M1187">
        <v>2715639100</v>
      </c>
      <c r="N1187">
        <v>2588982362</v>
      </c>
      <c r="O1187">
        <v>2437284255</v>
      </c>
      <c r="P1187">
        <v>239</v>
      </c>
      <c r="Q1187" t="s">
        <v>2648</v>
      </c>
    </row>
    <row r="1188" spans="1:17" x14ac:dyDescent="0.3">
      <c r="A1188" t="s">
        <v>17</v>
      </c>
      <c r="B1188" t="str">
        <f>"603168"</f>
        <v>603168</v>
      </c>
      <c r="C1188" t="s">
        <v>2649</v>
      </c>
      <c r="D1188" t="s">
        <v>143</v>
      </c>
      <c r="F1188">
        <v>1352466037</v>
      </c>
      <c r="G1188">
        <v>1306118564</v>
      </c>
      <c r="H1188">
        <v>1489036338</v>
      </c>
      <c r="I1188">
        <v>1481179087</v>
      </c>
      <c r="J1188">
        <v>1657283023</v>
      </c>
      <c r="K1188">
        <v>1594233457</v>
      </c>
      <c r="L1188">
        <v>891621713</v>
      </c>
      <c r="M1188">
        <v>762898851</v>
      </c>
      <c r="N1188">
        <v>353307046</v>
      </c>
      <c r="O1188">
        <v>274214612</v>
      </c>
      <c r="P1188">
        <v>528</v>
      </c>
      <c r="Q1188" t="s">
        <v>2650</v>
      </c>
    </row>
    <row r="1189" spans="1:17" x14ac:dyDescent="0.3">
      <c r="A1189" t="s">
        <v>17</v>
      </c>
      <c r="B1189" t="str">
        <f>"603169"</f>
        <v>603169</v>
      </c>
      <c r="C1189" t="s">
        <v>2651</v>
      </c>
      <c r="D1189" t="s">
        <v>395</v>
      </c>
      <c r="F1189">
        <v>2962787190</v>
      </c>
      <c r="G1189">
        <v>1538968904</v>
      </c>
      <c r="H1189">
        <v>1834041385</v>
      </c>
      <c r="I1189">
        <v>1772355762</v>
      </c>
      <c r="J1189">
        <v>3285965448</v>
      </c>
      <c r="K1189">
        <v>2984776821</v>
      </c>
      <c r="L1189">
        <v>3122863570</v>
      </c>
      <c r="M1189">
        <v>1334650711</v>
      </c>
      <c r="N1189">
        <v>772240189</v>
      </c>
      <c r="O1189">
        <v>722998193</v>
      </c>
      <c r="P1189">
        <v>81</v>
      </c>
      <c r="Q1189" t="s">
        <v>2652</v>
      </c>
    </row>
    <row r="1190" spans="1:17" x14ac:dyDescent="0.3">
      <c r="A1190" t="s">
        <v>17</v>
      </c>
      <c r="B1190" t="str">
        <f>"603171"</f>
        <v>603171</v>
      </c>
      <c r="C1190" t="s">
        <v>2653</v>
      </c>
      <c r="D1190" t="s">
        <v>316</v>
      </c>
      <c r="F1190">
        <v>2429707555</v>
      </c>
      <c r="G1190">
        <v>1777842968</v>
      </c>
      <c r="H1190">
        <v>1548669601</v>
      </c>
      <c r="I1190">
        <v>1264647862</v>
      </c>
      <c r="J1190">
        <v>459430100</v>
      </c>
      <c r="P1190">
        <v>54</v>
      </c>
      <c r="Q1190" t="s">
        <v>2654</v>
      </c>
    </row>
    <row r="1191" spans="1:17" x14ac:dyDescent="0.3">
      <c r="A1191" t="s">
        <v>17</v>
      </c>
      <c r="B1191" t="str">
        <f>"603176"</f>
        <v>603176</v>
      </c>
      <c r="C1191" t="s">
        <v>2655</v>
      </c>
      <c r="D1191" t="s">
        <v>101</v>
      </c>
      <c r="F1191">
        <v>955048897</v>
      </c>
      <c r="G1191">
        <v>733917336</v>
      </c>
      <c r="H1191">
        <v>636185267</v>
      </c>
      <c r="I1191">
        <v>498715454</v>
      </c>
      <c r="J1191">
        <v>467124154</v>
      </c>
      <c r="P1191">
        <v>17</v>
      </c>
      <c r="Q1191" t="s">
        <v>2656</v>
      </c>
    </row>
    <row r="1192" spans="1:17" x14ac:dyDescent="0.3">
      <c r="A1192" t="s">
        <v>17</v>
      </c>
      <c r="B1192" t="str">
        <f>"603177"</f>
        <v>603177</v>
      </c>
      <c r="C1192" t="s">
        <v>2657</v>
      </c>
      <c r="D1192" t="s">
        <v>663</v>
      </c>
      <c r="F1192">
        <v>331911953</v>
      </c>
      <c r="G1192">
        <v>411865977</v>
      </c>
      <c r="H1192">
        <v>534254496</v>
      </c>
      <c r="I1192">
        <v>528640374</v>
      </c>
      <c r="J1192">
        <v>535963326</v>
      </c>
      <c r="K1192">
        <v>366119962</v>
      </c>
      <c r="L1192">
        <v>312360144</v>
      </c>
      <c r="M1192">
        <v>278353327</v>
      </c>
      <c r="N1192">
        <v>208917938</v>
      </c>
      <c r="P1192">
        <v>68</v>
      </c>
      <c r="Q1192" t="s">
        <v>2658</v>
      </c>
    </row>
    <row r="1193" spans="1:17" x14ac:dyDescent="0.3">
      <c r="A1193" t="s">
        <v>17</v>
      </c>
      <c r="B1193" t="str">
        <f>"603178"</f>
        <v>603178</v>
      </c>
      <c r="C1193" t="s">
        <v>2659</v>
      </c>
      <c r="D1193" t="s">
        <v>348</v>
      </c>
      <c r="F1193">
        <v>1198320158</v>
      </c>
      <c r="G1193">
        <v>673647959</v>
      </c>
      <c r="H1193">
        <v>621173258</v>
      </c>
      <c r="I1193">
        <v>843125409</v>
      </c>
      <c r="J1193">
        <v>819473638</v>
      </c>
      <c r="K1193">
        <v>408307599</v>
      </c>
      <c r="L1193">
        <v>339339657</v>
      </c>
      <c r="M1193">
        <v>272451715</v>
      </c>
      <c r="N1193">
        <v>206145753</v>
      </c>
      <c r="P1193">
        <v>80</v>
      </c>
      <c r="Q1193" t="s">
        <v>2660</v>
      </c>
    </row>
    <row r="1194" spans="1:17" x14ac:dyDescent="0.3">
      <c r="A1194" t="s">
        <v>17</v>
      </c>
      <c r="B1194" t="str">
        <f>"603179"</f>
        <v>603179</v>
      </c>
      <c r="C1194" t="s">
        <v>2661</v>
      </c>
      <c r="D1194" t="s">
        <v>1415</v>
      </c>
      <c r="F1194">
        <v>3704611469</v>
      </c>
      <c r="G1194">
        <v>3421040217</v>
      </c>
      <c r="H1194">
        <v>1615928299</v>
      </c>
      <c r="I1194">
        <v>1526468666</v>
      </c>
      <c r="J1194">
        <v>1340931846</v>
      </c>
      <c r="K1194">
        <v>594087692</v>
      </c>
      <c r="L1194">
        <v>486392278</v>
      </c>
      <c r="M1194">
        <v>439800758</v>
      </c>
      <c r="P1194">
        <v>302</v>
      </c>
      <c r="Q1194" t="s">
        <v>2662</v>
      </c>
    </row>
    <row r="1195" spans="1:17" x14ac:dyDescent="0.3">
      <c r="A1195" t="s">
        <v>17</v>
      </c>
      <c r="B1195" t="str">
        <f>"603180"</f>
        <v>603180</v>
      </c>
      <c r="C1195" t="s">
        <v>2663</v>
      </c>
      <c r="D1195" t="s">
        <v>2664</v>
      </c>
      <c r="F1195">
        <v>2410682526</v>
      </c>
      <c r="G1195">
        <v>1825803910</v>
      </c>
      <c r="H1195">
        <v>1149443478</v>
      </c>
      <c r="I1195">
        <v>982699565</v>
      </c>
      <c r="J1195">
        <v>858362997</v>
      </c>
      <c r="K1195">
        <v>283635794</v>
      </c>
      <c r="L1195">
        <v>200809210</v>
      </c>
      <c r="M1195">
        <v>161462820</v>
      </c>
      <c r="P1195">
        <v>1304</v>
      </c>
      <c r="Q1195" t="s">
        <v>2665</v>
      </c>
    </row>
    <row r="1196" spans="1:17" x14ac:dyDescent="0.3">
      <c r="A1196" t="s">
        <v>17</v>
      </c>
      <c r="B1196" t="str">
        <f>"603181"</f>
        <v>603181</v>
      </c>
      <c r="C1196" t="s">
        <v>2666</v>
      </c>
      <c r="D1196" t="s">
        <v>1192</v>
      </c>
      <c r="F1196">
        <v>2257402984</v>
      </c>
      <c r="G1196">
        <v>1854531153</v>
      </c>
      <c r="H1196">
        <v>1595082866</v>
      </c>
      <c r="I1196">
        <v>1435423758</v>
      </c>
      <c r="J1196">
        <v>1280961992</v>
      </c>
      <c r="K1196">
        <v>659522735</v>
      </c>
      <c r="L1196">
        <v>547207997</v>
      </c>
      <c r="M1196">
        <v>491655509</v>
      </c>
      <c r="P1196">
        <v>160</v>
      </c>
      <c r="Q1196" t="s">
        <v>2667</v>
      </c>
    </row>
    <row r="1197" spans="1:17" x14ac:dyDescent="0.3">
      <c r="A1197" t="s">
        <v>17</v>
      </c>
      <c r="B1197" t="str">
        <f>"603183"</f>
        <v>603183</v>
      </c>
      <c r="C1197" t="s">
        <v>2668</v>
      </c>
      <c r="D1197" t="s">
        <v>2510</v>
      </c>
      <c r="F1197">
        <v>1409474391</v>
      </c>
      <c r="G1197">
        <v>1287063711</v>
      </c>
      <c r="H1197">
        <v>986632971</v>
      </c>
      <c r="I1197">
        <v>698014926</v>
      </c>
      <c r="J1197">
        <v>644644452</v>
      </c>
      <c r="K1197">
        <v>328645323</v>
      </c>
      <c r="L1197">
        <v>273671651</v>
      </c>
      <c r="M1197">
        <v>199361654</v>
      </c>
      <c r="P1197">
        <v>92</v>
      </c>
      <c r="Q1197" t="s">
        <v>2669</v>
      </c>
    </row>
    <row r="1198" spans="1:17" x14ac:dyDescent="0.3">
      <c r="A1198" t="s">
        <v>17</v>
      </c>
      <c r="B1198" t="str">
        <f>"603185"</f>
        <v>603185</v>
      </c>
      <c r="C1198" t="s">
        <v>2670</v>
      </c>
      <c r="D1198" t="s">
        <v>2671</v>
      </c>
      <c r="F1198">
        <v>7441007751</v>
      </c>
      <c r="G1198">
        <v>2589609118</v>
      </c>
      <c r="H1198">
        <v>1707530232</v>
      </c>
      <c r="I1198">
        <v>1542376808</v>
      </c>
      <c r="J1198">
        <v>479635956</v>
      </c>
      <c r="K1198">
        <v>340264529</v>
      </c>
      <c r="L1198">
        <v>288121551</v>
      </c>
      <c r="P1198">
        <v>516</v>
      </c>
      <c r="Q1198" t="s">
        <v>2672</v>
      </c>
    </row>
    <row r="1199" spans="1:17" x14ac:dyDescent="0.3">
      <c r="A1199" t="s">
        <v>17</v>
      </c>
      <c r="B1199" t="str">
        <f>"603186"</f>
        <v>603186</v>
      </c>
      <c r="C1199" t="s">
        <v>2673</v>
      </c>
      <c r="D1199" t="s">
        <v>425</v>
      </c>
      <c r="F1199">
        <v>1659329355</v>
      </c>
      <c r="G1199">
        <v>1455039409</v>
      </c>
      <c r="H1199">
        <v>742741505</v>
      </c>
      <c r="I1199">
        <v>673928685</v>
      </c>
      <c r="J1199">
        <v>617290767</v>
      </c>
      <c r="K1199">
        <v>543095452</v>
      </c>
      <c r="L1199">
        <v>349289771</v>
      </c>
      <c r="M1199">
        <v>323004961</v>
      </c>
      <c r="N1199">
        <v>319247484</v>
      </c>
      <c r="P1199">
        <v>328</v>
      </c>
      <c r="Q1199" t="s">
        <v>2674</v>
      </c>
    </row>
    <row r="1200" spans="1:17" x14ac:dyDescent="0.3">
      <c r="A1200" t="s">
        <v>17</v>
      </c>
      <c r="B1200" t="str">
        <f>"603187"</f>
        <v>603187</v>
      </c>
      <c r="C1200" t="s">
        <v>2675</v>
      </c>
      <c r="D1200" t="s">
        <v>988</v>
      </c>
      <c r="F1200">
        <v>2366329895</v>
      </c>
      <c r="G1200">
        <v>1684999687</v>
      </c>
      <c r="H1200">
        <v>1463500846</v>
      </c>
      <c r="I1200">
        <v>1293263492</v>
      </c>
      <c r="J1200">
        <v>567263211</v>
      </c>
      <c r="K1200">
        <v>478325694</v>
      </c>
      <c r="L1200">
        <v>382361635</v>
      </c>
      <c r="P1200">
        <v>704</v>
      </c>
      <c r="Q1200" t="s">
        <v>2676</v>
      </c>
    </row>
    <row r="1201" spans="1:17" x14ac:dyDescent="0.3">
      <c r="A1201" t="s">
        <v>17</v>
      </c>
      <c r="B1201" t="str">
        <f>"603188"</f>
        <v>603188</v>
      </c>
      <c r="C1201" t="s">
        <v>2677</v>
      </c>
      <c r="D1201" t="s">
        <v>779</v>
      </c>
      <c r="F1201">
        <v>2203010960</v>
      </c>
      <c r="G1201">
        <v>2345428971</v>
      </c>
      <c r="H1201">
        <v>2956329985</v>
      </c>
      <c r="I1201">
        <v>3003813215</v>
      </c>
      <c r="J1201">
        <v>3676071447</v>
      </c>
      <c r="K1201">
        <v>3461842517</v>
      </c>
      <c r="L1201">
        <v>3094623336</v>
      </c>
      <c r="M1201">
        <v>2712849523</v>
      </c>
      <c r="N1201">
        <v>951444012</v>
      </c>
      <c r="O1201">
        <v>778207774</v>
      </c>
      <c r="P1201">
        <v>206</v>
      </c>
      <c r="Q1201" t="s">
        <v>2678</v>
      </c>
    </row>
    <row r="1202" spans="1:17" x14ac:dyDescent="0.3">
      <c r="A1202" t="s">
        <v>17</v>
      </c>
      <c r="B1202" t="str">
        <f>"603189"</f>
        <v>603189</v>
      </c>
      <c r="C1202" t="s">
        <v>2679</v>
      </c>
      <c r="D1202" t="s">
        <v>945</v>
      </c>
      <c r="F1202">
        <v>1693241187</v>
      </c>
      <c r="G1202">
        <v>889051424</v>
      </c>
      <c r="H1202">
        <v>814568261</v>
      </c>
      <c r="I1202">
        <v>794399611</v>
      </c>
      <c r="J1202">
        <v>804859036</v>
      </c>
      <c r="K1202">
        <v>789700141</v>
      </c>
      <c r="L1202">
        <v>338354281</v>
      </c>
      <c r="M1202">
        <v>314773584</v>
      </c>
      <c r="N1202">
        <v>289021463</v>
      </c>
      <c r="P1202">
        <v>166</v>
      </c>
      <c r="Q1202" t="s">
        <v>2680</v>
      </c>
    </row>
    <row r="1203" spans="1:17" x14ac:dyDescent="0.3">
      <c r="A1203" t="s">
        <v>17</v>
      </c>
      <c r="B1203" t="str">
        <f>"603191"</f>
        <v>603191</v>
      </c>
      <c r="C1203" t="s">
        <v>2681</v>
      </c>
      <c r="F1203">
        <v>1110119182</v>
      </c>
      <c r="G1203">
        <v>929526290</v>
      </c>
      <c r="H1203">
        <v>783643589</v>
      </c>
      <c r="I1203">
        <v>671525200</v>
      </c>
      <c r="P1203">
        <v>5</v>
      </c>
      <c r="Q1203" t="s">
        <v>2682</v>
      </c>
    </row>
    <row r="1204" spans="1:17" x14ac:dyDescent="0.3">
      <c r="A1204" t="s">
        <v>17</v>
      </c>
      <c r="B1204" t="str">
        <f>"603192"</f>
        <v>603192</v>
      </c>
      <c r="C1204" t="s">
        <v>2683</v>
      </c>
      <c r="D1204" t="s">
        <v>528</v>
      </c>
      <c r="F1204">
        <v>1367115627</v>
      </c>
      <c r="G1204">
        <v>1291238912</v>
      </c>
      <c r="H1204">
        <v>1207864539</v>
      </c>
      <c r="I1204">
        <v>1116769908</v>
      </c>
      <c r="J1204">
        <v>524103839</v>
      </c>
      <c r="K1204">
        <v>454194174</v>
      </c>
      <c r="L1204">
        <v>357772832</v>
      </c>
      <c r="P1204">
        <v>82</v>
      </c>
      <c r="Q1204" t="s">
        <v>2684</v>
      </c>
    </row>
    <row r="1205" spans="1:17" x14ac:dyDescent="0.3">
      <c r="A1205" t="s">
        <v>17</v>
      </c>
      <c r="B1205" t="str">
        <f>"603195"</f>
        <v>603195</v>
      </c>
      <c r="C1205" t="s">
        <v>2685</v>
      </c>
      <c r="D1205" t="s">
        <v>2445</v>
      </c>
      <c r="F1205">
        <v>10755751577</v>
      </c>
      <c r="G1205">
        <v>9137392569</v>
      </c>
      <c r="H1205">
        <v>5551303842</v>
      </c>
      <c r="I1205">
        <v>3247574662</v>
      </c>
      <c r="J1205">
        <v>1570718184</v>
      </c>
      <c r="K1205">
        <v>2448352637</v>
      </c>
      <c r="P1205">
        <v>1473</v>
      </c>
      <c r="Q1205" t="s">
        <v>2686</v>
      </c>
    </row>
    <row r="1206" spans="1:17" x14ac:dyDescent="0.3">
      <c r="A1206" t="s">
        <v>17</v>
      </c>
      <c r="B1206" t="str">
        <f>"603196"</f>
        <v>603196</v>
      </c>
      <c r="C1206" t="s">
        <v>2687</v>
      </c>
      <c r="D1206" t="s">
        <v>255</v>
      </c>
      <c r="F1206">
        <v>854678116</v>
      </c>
      <c r="G1206">
        <v>825911929</v>
      </c>
      <c r="H1206">
        <v>922525741</v>
      </c>
      <c r="I1206">
        <v>944715841</v>
      </c>
      <c r="J1206">
        <v>933525279</v>
      </c>
      <c r="K1206">
        <v>483491677</v>
      </c>
      <c r="L1206">
        <v>439801976</v>
      </c>
      <c r="M1206">
        <v>431616847</v>
      </c>
      <c r="P1206">
        <v>70</v>
      </c>
      <c r="Q1206" t="s">
        <v>2688</v>
      </c>
    </row>
    <row r="1207" spans="1:17" x14ac:dyDescent="0.3">
      <c r="A1207" t="s">
        <v>17</v>
      </c>
      <c r="B1207" t="str">
        <f>"603197"</f>
        <v>603197</v>
      </c>
      <c r="C1207" t="s">
        <v>2689</v>
      </c>
      <c r="D1207" t="s">
        <v>985</v>
      </c>
      <c r="F1207">
        <v>2198512939</v>
      </c>
      <c r="G1207">
        <v>1150675984</v>
      </c>
      <c r="H1207">
        <v>1035221314</v>
      </c>
      <c r="I1207">
        <v>965814917</v>
      </c>
      <c r="J1207">
        <v>1304517753</v>
      </c>
      <c r="K1207">
        <v>589036551</v>
      </c>
      <c r="L1207">
        <v>496166175</v>
      </c>
      <c r="M1207">
        <v>432954244</v>
      </c>
      <c r="P1207">
        <v>357</v>
      </c>
      <c r="Q1207" t="s">
        <v>2690</v>
      </c>
    </row>
    <row r="1208" spans="1:17" x14ac:dyDescent="0.3">
      <c r="A1208" t="s">
        <v>17</v>
      </c>
      <c r="B1208" t="str">
        <f>"603198"</f>
        <v>603198</v>
      </c>
      <c r="C1208" t="s">
        <v>2691</v>
      </c>
      <c r="D1208" t="s">
        <v>458</v>
      </c>
      <c r="F1208">
        <v>5964144673</v>
      </c>
      <c r="G1208">
        <v>5142123841</v>
      </c>
      <c r="H1208">
        <v>4747736775</v>
      </c>
      <c r="I1208">
        <v>4337756946</v>
      </c>
      <c r="J1208">
        <v>4119064352</v>
      </c>
      <c r="K1208">
        <v>3932428507</v>
      </c>
      <c r="L1208">
        <v>3653171952</v>
      </c>
      <c r="M1208">
        <v>2556090501</v>
      </c>
      <c r="N1208">
        <v>2220734047</v>
      </c>
      <c r="O1208">
        <v>1978486093</v>
      </c>
      <c r="P1208">
        <v>5968</v>
      </c>
      <c r="Q1208" t="s">
        <v>2692</v>
      </c>
    </row>
    <row r="1209" spans="1:17" x14ac:dyDescent="0.3">
      <c r="A1209" t="s">
        <v>17</v>
      </c>
      <c r="B1209" t="str">
        <f>"603199"</f>
        <v>603199</v>
      </c>
      <c r="C1209" t="s">
        <v>2693</v>
      </c>
      <c r="D1209" t="s">
        <v>119</v>
      </c>
      <c r="F1209">
        <v>1275755066</v>
      </c>
      <c r="G1209">
        <v>1231624160</v>
      </c>
      <c r="H1209">
        <v>1200375260</v>
      </c>
      <c r="I1209">
        <v>1100343801</v>
      </c>
      <c r="J1209">
        <v>1024138112</v>
      </c>
      <c r="K1209">
        <v>956188361</v>
      </c>
      <c r="L1209">
        <v>896118347</v>
      </c>
      <c r="M1209">
        <v>533595436</v>
      </c>
      <c r="N1209">
        <v>477337817</v>
      </c>
      <c r="O1209">
        <v>424494115</v>
      </c>
      <c r="P1209">
        <v>144</v>
      </c>
      <c r="Q1209" t="s">
        <v>2694</v>
      </c>
    </row>
    <row r="1210" spans="1:17" x14ac:dyDescent="0.3">
      <c r="A1210" t="s">
        <v>17</v>
      </c>
      <c r="B1210" t="str">
        <f>"603200"</f>
        <v>603200</v>
      </c>
      <c r="C1210" t="s">
        <v>2695</v>
      </c>
      <c r="D1210" t="s">
        <v>33</v>
      </c>
      <c r="F1210">
        <v>834576534</v>
      </c>
      <c r="G1210">
        <v>804131097</v>
      </c>
      <c r="H1210">
        <v>773478572</v>
      </c>
      <c r="I1210">
        <v>745645037</v>
      </c>
      <c r="J1210">
        <v>711046459</v>
      </c>
      <c r="K1210">
        <v>371481035</v>
      </c>
      <c r="L1210">
        <v>312185246</v>
      </c>
      <c r="M1210">
        <v>269859984</v>
      </c>
      <c r="P1210">
        <v>101</v>
      </c>
      <c r="Q1210" t="s">
        <v>2696</v>
      </c>
    </row>
    <row r="1211" spans="1:17" x14ac:dyDescent="0.3">
      <c r="A1211" t="s">
        <v>17</v>
      </c>
      <c r="B1211" t="str">
        <f>"603203"</f>
        <v>603203</v>
      </c>
      <c r="C1211" t="s">
        <v>2697</v>
      </c>
      <c r="D1211" t="s">
        <v>2432</v>
      </c>
      <c r="F1211">
        <v>1288337336</v>
      </c>
      <c r="G1211">
        <v>1135328991</v>
      </c>
      <c r="H1211">
        <v>991764682</v>
      </c>
      <c r="I1211">
        <v>870650570</v>
      </c>
      <c r="J1211">
        <v>722298010</v>
      </c>
      <c r="K1211">
        <v>629514653</v>
      </c>
      <c r="L1211">
        <v>257394306</v>
      </c>
      <c r="M1211">
        <v>234391726</v>
      </c>
      <c r="N1211">
        <v>190452331</v>
      </c>
      <c r="P1211">
        <v>2649</v>
      </c>
      <c r="Q1211" t="s">
        <v>2698</v>
      </c>
    </row>
    <row r="1212" spans="1:17" x14ac:dyDescent="0.3">
      <c r="A1212" t="s">
        <v>17</v>
      </c>
      <c r="B1212" t="str">
        <f>"603206"</f>
        <v>603206</v>
      </c>
      <c r="C1212" t="s">
        <v>2699</v>
      </c>
      <c r="F1212">
        <v>900785640</v>
      </c>
      <c r="G1212">
        <v>679910156</v>
      </c>
      <c r="H1212">
        <v>501776654</v>
      </c>
      <c r="I1212">
        <v>294365711</v>
      </c>
      <c r="Q1212" t="s">
        <v>2700</v>
      </c>
    </row>
    <row r="1213" spans="1:17" x14ac:dyDescent="0.3">
      <c r="A1213" t="s">
        <v>17</v>
      </c>
      <c r="B1213" t="str">
        <f>"603208"</f>
        <v>603208</v>
      </c>
      <c r="C1213" t="s">
        <v>2701</v>
      </c>
      <c r="D1213" t="s">
        <v>2664</v>
      </c>
      <c r="F1213">
        <v>1807789870</v>
      </c>
      <c r="G1213">
        <v>1648443097</v>
      </c>
      <c r="H1213">
        <v>1312008891</v>
      </c>
      <c r="I1213">
        <v>1097597083</v>
      </c>
      <c r="J1213">
        <v>995001528</v>
      </c>
      <c r="K1213">
        <v>444081825</v>
      </c>
      <c r="L1213">
        <v>354721462</v>
      </c>
      <c r="M1213">
        <v>280993906</v>
      </c>
      <c r="N1213">
        <v>240297616</v>
      </c>
      <c r="P1213">
        <v>493</v>
      </c>
      <c r="Q1213" t="s">
        <v>2702</v>
      </c>
    </row>
    <row r="1214" spans="1:17" x14ac:dyDescent="0.3">
      <c r="A1214" t="s">
        <v>17</v>
      </c>
      <c r="B1214" t="str">
        <f>"603209"</f>
        <v>603209</v>
      </c>
      <c r="C1214" t="s">
        <v>2703</v>
      </c>
      <c r="F1214">
        <v>870580848</v>
      </c>
      <c r="G1214">
        <v>671495529</v>
      </c>
      <c r="H1214">
        <v>241999479</v>
      </c>
      <c r="I1214">
        <v>223948500</v>
      </c>
      <c r="P1214">
        <v>12</v>
      </c>
      <c r="Q1214" t="s">
        <v>2704</v>
      </c>
    </row>
    <row r="1215" spans="1:17" x14ac:dyDescent="0.3">
      <c r="A1215" t="s">
        <v>17</v>
      </c>
      <c r="B1215" t="str">
        <f>"603212"</f>
        <v>603212</v>
      </c>
      <c r="C1215" t="s">
        <v>2705</v>
      </c>
      <c r="D1215" t="s">
        <v>478</v>
      </c>
      <c r="F1215">
        <v>2071129123</v>
      </c>
      <c r="G1215">
        <v>1873336355</v>
      </c>
      <c r="H1215">
        <v>1308164010</v>
      </c>
      <c r="I1215">
        <v>1093360484</v>
      </c>
      <c r="J1215">
        <v>931692897</v>
      </c>
      <c r="P1215">
        <v>129</v>
      </c>
      <c r="Q1215" t="s">
        <v>2706</v>
      </c>
    </row>
    <row r="1216" spans="1:17" x14ac:dyDescent="0.3">
      <c r="A1216" t="s">
        <v>17</v>
      </c>
      <c r="B1216" t="str">
        <f>"603213"</f>
        <v>603213</v>
      </c>
      <c r="C1216" t="s">
        <v>2707</v>
      </c>
      <c r="D1216" t="s">
        <v>175</v>
      </c>
      <c r="F1216">
        <v>1584688688</v>
      </c>
      <c r="G1216">
        <v>790482818</v>
      </c>
      <c r="H1216">
        <v>683709058</v>
      </c>
      <c r="I1216">
        <v>298790399</v>
      </c>
      <c r="J1216">
        <v>247875355</v>
      </c>
      <c r="P1216">
        <v>32</v>
      </c>
      <c r="Q1216" t="s">
        <v>2708</v>
      </c>
    </row>
    <row r="1217" spans="1:17" x14ac:dyDescent="0.3">
      <c r="A1217" t="s">
        <v>17</v>
      </c>
      <c r="B1217" t="str">
        <f>"603214"</f>
        <v>603214</v>
      </c>
      <c r="C1217" t="s">
        <v>2709</v>
      </c>
      <c r="D1217" t="s">
        <v>295</v>
      </c>
      <c r="F1217">
        <v>1020644392</v>
      </c>
      <c r="G1217">
        <v>1019773646</v>
      </c>
      <c r="H1217">
        <v>1013689982</v>
      </c>
      <c r="I1217">
        <v>885461102</v>
      </c>
      <c r="J1217">
        <v>373946223</v>
      </c>
      <c r="K1217">
        <v>301368302</v>
      </c>
      <c r="L1217">
        <v>258878730</v>
      </c>
      <c r="P1217">
        <v>290</v>
      </c>
      <c r="Q1217" t="s">
        <v>2710</v>
      </c>
    </row>
    <row r="1218" spans="1:17" x14ac:dyDescent="0.3">
      <c r="A1218" t="s">
        <v>17</v>
      </c>
      <c r="B1218" t="str">
        <f>"603215"</f>
        <v>603215</v>
      </c>
      <c r="C1218" t="s">
        <v>2711</v>
      </c>
      <c r="F1218">
        <v>350400471</v>
      </c>
      <c r="G1218">
        <v>230533167</v>
      </c>
      <c r="H1218">
        <v>133597834</v>
      </c>
      <c r="I1218">
        <v>130417207</v>
      </c>
      <c r="P1218">
        <v>13</v>
      </c>
      <c r="Q1218" t="s">
        <v>2712</v>
      </c>
    </row>
    <row r="1219" spans="1:17" x14ac:dyDescent="0.3">
      <c r="A1219" t="s">
        <v>17</v>
      </c>
      <c r="B1219" t="str">
        <f>"603216"</f>
        <v>603216</v>
      </c>
      <c r="C1219" t="s">
        <v>2713</v>
      </c>
      <c r="D1219" t="s">
        <v>2664</v>
      </c>
      <c r="F1219">
        <v>1583081169</v>
      </c>
      <c r="G1219">
        <v>599954493</v>
      </c>
      <c r="H1219">
        <v>462188403</v>
      </c>
      <c r="I1219">
        <v>274291680</v>
      </c>
      <c r="J1219">
        <v>172608098</v>
      </c>
      <c r="P1219">
        <v>22</v>
      </c>
      <c r="Q1219" t="s">
        <v>2714</v>
      </c>
    </row>
    <row r="1220" spans="1:17" x14ac:dyDescent="0.3">
      <c r="A1220" t="s">
        <v>17</v>
      </c>
      <c r="B1220" t="str">
        <f>"603217"</f>
        <v>603217</v>
      </c>
      <c r="C1220" t="s">
        <v>2715</v>
      </c>
      <c r="D1220" t="s">
        <v>386</v>
      </c>
      <c r="F1220">
        <v>2573213828</v>
      </c>
      <c r="G1220">
        <v>2258906809</v>
      </c>
      <c r="H1220">
        <v>2155685716</v>
      </c>
      <c r="I1220">
        <v>887170841</v>
      </c>
      <c r="J1220">
        <v>645654188</v>
      </c>
      <c r="K1220">
        <v>589551504</v>
      </c>
      <c r="P1220">
        <v>71</v>
      </c>
      <c r="Q1220" t="s">
        <v>2716</v>
      </c>
    </row>
    <row r="1221" spans="1:17" x14ac:dyDescent="0.3">
      <c r="A1221" t="s">
        <v>17</v>
      </c>
      <c r="B1221" t="str">
        <f>"603218"</f>
        <v>603218</v>
      </c>
      <c r="C1221" t="s">
        <v>2717</v>
      </c>
      <c r="D1221" t="s">
        <v>950</v>
      </c>
      <c r="F1221">
        <v>8686957163</v>
      </c>
      <c r="G1221">
        <v>8298089493</v>
      </c>
      <c r="H1221">
        <v>3410075308</v>
      </c>
      <c r="I1221">
        <v>2969302607</v>
      </c>
      <c r="J1221">
        <v>2766580744</v>
      </c>
      <c r="K1221">
        <v>2600144019</v>
      </c>
      <c r="L1221">
        <v>1359535324</v>
      </c>
      <c r="M1221">
        <v>948229874</v>
      </c>
      <c r="N1221">
        <v>715078266</v>
      </c>
      <c r="P1221">
        <v>566</v>
      </c>
      <c r="Q1221" t="s">
        <v>2718</v>
      </c>
    </row>
    <row r="1222" spans="1:17" x14ac:dyDescent="0.3">
      <c r="A1222" t="s">
        <v>17</v>
      </c>
      <c r="B1222" t="str">
        <f>"603219"</f>
        <v>603219</v>
      </c>
      <c r="C1222" t="s">
        <v>2719</v>
      </c>
      <c r="D1222" t="s">
        <v>2720</v>
      </c>
      <c r="F1222">
        <v>1300860275</v>
      </c>
      <c r="G1222">
        <v>729442920</v>
      </c>
      <c r="H1222">
        <v>595940555</v>
      </c>
      <c r="I1222">
        <v>469889872</v>
      </c>
      <c r="J1222">
        <v>507121363</v>
      </c>
      <c r="P1222">
        <v>23</v>
      </c>
      <c r="Q1222" t="s">
        <v>2721</v>
      </c>
    </row>
    <row r="1223" spans="1:17" x14ac:dyDescent="0.3">
      <c r="A1223" t="s">
        <v>17</v>
      </c>
      <c r="B1223" t="str">
        <f>"603220"</f>
        <v>603220</v>
      </c>
      <c r="C1223" t="s">
        <v>2722</v>
      </c>
      <c r="D1223" t="s">
        <v>654</v>
      </c>
      <c r="F1223">
        <v>1710266414</v>
      </c>
      <c r="G1223">
        <v>1608386178</v>
      </c>
      <c r="H1223">
        <v>1615862533</v>
      </c>
      <c r="I1223">
        <v>1513694567</v>
      </c>
      <c r="J1223">
        <v>756870193</v>
      </c>
      <c r="K1223">
        <v>639108628</v>
      </c>
      <c r="L1223">
        <v>517899386</v>
      </c>
      <c r="P1223">
        <v>146</v>
      </c>
      <c r="Q1223" t="s">
        <v>2723</v>
      </c>
    </row>
    <row r="1224" spans="1:17" x14ac:dyDescent="0.3">
      <c r="A1224" t="s">
        <v>17</v>
      </c>
      <c r="B1224" t="str">
        <f>"603221"</f>
        <v>603221</v>
      </c>
      <c r="C1224" t="s">
        <v>2724</v>
      </c>
      <c r="D1224" t="s">
        <v>178</v>
      </c>
      <c r="F1224">
        <v>1433958454</v>
      </c>
      <c r="G1224">
        <v>1452078649</v>
      </c>
      <c r="H1224">
        <v>709831479</v>
      </c>
      <c r="I1224">
        <v>567801811</v>
      </c>
      <c r="J1224">
        <v>392473097</v>
      </c>
      <c r="P1224">
        <v>79</v>
      </c>
      <c r="Q1224" t="s">
        <v>2725</v>
      </c>
    </row>
    <row r="1225" spans="1:17" x14ac:dyDescent="0.3">
      <c r="A1225" t="s">
        <v>17</v>
      </c>
      <c r="B1225" t="str">
        <f>"603222"</f>
        <v>603222</v>
      </c>
      <c r="C1225" t="s">
        <v>2726</v>
      </c>
      <c r="D1225" t="s">
        <v>1077</v>
      </c>
      <c r="F1225">
        <v>1238435885</v>
      </c>
      <c r="G1225">
        <v>864745058</v>
      </c>
      <c r="H1225">
        <v>872085560</v>
      </c>
      <c r="I1225">
        <v>809721568</v>
      </c>
      <c r="J1225">
        <v>793444750</v>
      </c>
      <c r="K1225">
        <v>751241730</v>
      </c>
      <c r="L1225">
        <v>721027444</v>
      </c>
      <c r="M1225">
        <v>441549306</v>
      </c>
      <c r="N1225">
        <v>488134953</v>
      </c>
      <c r="O1225">
        <v>432529349</v>
      </c>
      <c r="P1225">
        <v>171</v>
      </c>
      <c r="Q1225" t="s">
        <v>2727</v>
      </c>
    </row>
    <row r="1226" spans="1:17" x14ac:dyDescent="0.3">
      <c r="A1226" t="s">
        <v>17</v>
      </c>
      <c r="B1226" t="str">
        <f>"603223"</f>
        <v>603223</v>
      </c>
      <c r="C1226" t="s">
        <v>2728</v>
      </c>
      <c r="D1226" t="s">
        <v>2503</v>
      </c>
      <c r="F1226">
        <v>1208400303</v>
      </c>
      <c r="G1226">
        <v>1152667779</v>
      </c>
      <c r="H1226">
        <v>1029574634</v>
      </c>
      <c r="I1226">
        <v>1039979790</v>
      </c>
      <c r="J1226">
        <v>686859255</v>
      </c>
      <c r="K1226">
        <v>634087815</v>
      </c>
      <c r="L1226">
        <v>584173121</v>
      </c>
      <c r="M1226">
        <v>328747857</v>
      </c>
      <c r="N1226">
        <v>305471349</v>
      </c>
      <c r="O1226">
        <v>250442422</v>
      </c>
      <c r="P1226">
        <v>98</v>
      </c>
      <c r="Q1226" t="s">
        <v>2729</v>
      </c>
    </row>
    <row r="1227" spans="1:17" x14ac:dyDescent="0.3">
      <c r="A1227" t="s">
        <v>17</v>
      </c>
      <c r="B1227" t="str">
        <f>"603225"</f>
        <v>603225</v>
      </c>
      <c r="C1227" t="s">
        <v>2730</v>
      </c>
      <c r="D1227" t="s">
        <v>2731</v>
      </c>
      <c r="F1227">
        <v>16155145156</v>
      </c>
      <c r="G1227">
        <v>11629987462</v>
      </c>
      <c r="H1227">
        <v>11247784337</v>
      </c>
      <c r="I1227">
        <v>7829910214</v>
      </c>
      <c r="J1227">
        <v>6560435344</v>
      </c>
      <c r="K1227">
        <v>3108159812</v>
      </c>
      <c r="L1227">
        <v>2386931696</v>
      </c>
      <c r="M1227">
        <v>2128331413</v>
      </c>
      <c r="P1227">
        <v>388</v>
      </c>
      <c r="Q1227" t="s">
        <v>2732</v>
      </c>
    </row>
    <row r="1228" spans="1:17" x14ac:dyDescent="0.3">
      <c r="A1228" t="s">
        <v>17</v>
      </c>
      <c r="B1228" t="str">
        <f>"603226"</f>
        <v>603226</v>
      </c>
      <c r="C1228" t="s">
        <v>2733</v>
      </c>
      <c r="D1228" t="s">
        <v>178</v>
      </c>
      <c r="F1228">
        <v>1000171143</v>
      </c>
      <c r="G1228">
        <v>999854882</v>
      </c>
      <c r="H1228">
        <v>920551268</v>
      </c>
      <c r="I1228">
        <v>826237849</v>
      </c>
      <c r="J1228">
        <v>729917533</v>
      </c>
      <c r="K1228">
        <v>318698272</v>
      </c>
      <c r="L1228">
        <v>248513933</v>
      </c>
      <c r="M1228">
        <v>191285874</v>
      </c>
      <c r="P1228">
        <v>113</v>
      </c>
      <c r="Q1228" t="s">
        <v>2734</v>
      </c>
    </row>
    <row r="1229" spans="1:17" x14ac:dyDescent="0.3">
      <c r="A1229" t="s">
        <v>17</v>
      </c>
      <c r="B1229" t="str">
        <f>"603227"</f>
        <v>603227</v>
      </c>
      <c r="C1229" t="s">
        <v>2735</v>
      </c>
      <c r="D1229" t="s">
        <v>2736</v>
      </c>
      <c r="F1229">
        <v>1620218813</v>
      </c>
      <c r="G1229">
        <v>1334860732</v>
      </c>
      <c r="H1229">
        <v>1264124646</v>
      </c>
      <c r="I1229">
        <v>1184195184</v>
      </c>
      <c r="J1229">
        <v>1141333476</v>
      </c>
      <c r="K1229">
        <v>1125823052</v>
      </c>
      <c r="L1229">
        <v>1214765135</v>
      </c>
      <c r="M1229">
        <v>818544281</v>
      </c>
      <c r="N1229">
        <v>791656619</v>
      </c>
      <c r="O1229">
        <v>782065208</v>
      </c>
      <c r="P1229">
        <v>80</v>
      </c>
      <c r="Q1229" t="s">
        <v>2737</v>
      </c>
    </row>
    <row r="1230" spans="1:17" x14ac:dyDescent="0.3">
      <c r="A1230" t="s">
        <v>17</v>
      </c>
      <c r="B1230" t="str">
        <f>"603228"</f>
        <v>603228</v>
      </c>
      <c r="C1230" t="s">
        <v>2738</v>
      </c>
      <c r="D1230" t="s">
        <v>425</v>
      </c>
      <c r="F1230">
        <v>6967886393</v>
      </c>
      <c r="G1230">
        <v>6239096835</v>
      </c>
      <c r="H1230">
        <v>5424905177</v>
      </c>
      <c r="I1230">
        <v>3883822029</v>
      </c>
      <c r="J1230">
        <v>3276437989</v>
      </c>
      <c r="K1230">
        <v>2861502895</v>
      </c>
      <c r="L1230">
        <v>1369560693</v>
      </c>
      <c r="M1230">
        <v>947820779</v>
      </c>
      <c r="N1230">
        <v>722411766</v>
      </c>
      <c r="P1230">
        <v>1624</v>
      </c>
      <c r="Q1230" t="s">
        <v>2739</v>
      </c>
    </row>
    <row r="1231" spans="1:17" x14ac:dyDescent="0.3">
      <c r="A1231" t="s">
        <v>17</v>
      </c>
      <c r="B1231" t="str">
        <f>"603229"</f>
        <v>603229</v>
      </c>
      <c r="C1231" t="s">
        <v>2740</v>
      </c>
      <c r="D1231" t="s">
        <v>496</v>
      </c>
      <c r="F1231">
        <v>1254815108</v>
      </c>
      <c r="G1231">
        <v>1126882138</v>
      </c>
      <c r="H1231">
        <v>645185357</v>
      </c>
      <c r="I1231">
        <v>597598765</v>
      </c>
      <c r="J1231">
        <v>564934674</v>
      </c>
      <c r="K1231">
        <v>243302402</v>
      </c>
      <c r="L1231">
        <v>188074308</v>
      </c>
      <c r="M1231">
        <v>78209219</v>
      </c>
      <c r="P1231">
        <v>164</v>
      </c>
      <c r="Q1231" t="s">
        <v>2741</v>
      </c>
    </row>
    <row r="1232" spans="1:17" x14ac:dyDescent="0.3">
      <c r="A1232" t="s">
        <v>17</v>
      </c>
      <c r="B1232" t="str">
        <f>"603230"</f>
        <v>603230</v>
      </c>
      <c r="C1232" t="s">
        <v>2742</v>
      </c>
      <c r="D1232" t="s">
        <v>1536</v>
      </c>
      <c r="F1232">
        <v>2065292540</v>
      </c>
      <c r="G1232">
        <v>923883906</v>
      </c>
      <c r="H1232">
        <v>822619968</v>
      </c>
      <c r="I1232">
        <v>1377781645</v>
      </c>
      <c r="J1232">
        <v>1221232300</v>
      </c>
      <c r="P1232">
        <v>17</v>
      </c>
      <c r="Q1232" t="s">
        <v>2743</v>
      </c>
    </row>
    <row r="1233" spans="1:17" x14ac:dyDescent="0.3">
      <c r="A1233" t="s">
        <v>17</v>
      </c>
      <c r="B1233" t="str">
        <f>"603232"</f>
        <v>603232</v>
      </c>
      <c r="C1233" t="s">
        <v>2744</v>
      </c>
      <c r="D1233" t="s">
        <v>945</v>
      </c>
      <c r="F1233">
        <v>1395157382</v>
      </c>
      <c r="G1233">
        <v>1329185719</v>
      </c>
      <c r="H1233">
        <v>663726601</v>
      </c>
      <c r="I1233">
        <v>621779025</v>
      </c>
      <c r="J1233">
        <v>574379077</v>
      </c>
      <c r="K1233">
        <v>296851867</v>
      </c>
      <c r="L1233">
        <v>245049423</v>
      </c>
      <c r="M1233">
        <v>201720532</v>
      </c>
      <c r="P1233">
        <v>159</v>
      </c>
      <c r="Q1233" t="s">
        <v>2745</v>
      </c>
    </row>
    <row r="1234" spans="1:17" x14ac:dyDescent="0.3">
      <c r="A1234" t="s">
        <v>17</v>
      </c>
      <c r="B1234" t="str">
        <f>"603233"</f>
        <v>603233</v>
      </c>
      <c r="C1234" t="s">
        <v>2746</v>
      </c>
      <c r="D1234" t="s">
        <v>1686</v>
      </c>
      <c r="F1234">
        <v>5288618510</v>
      </c>
      <c r="G1234">
        <v>5194835141</v>
      </c>
      <c r="H1234">
        <v>4194192970</v>
      </c>
      <c r="I1234">
        <v>3038111633</v>
      </c>
      <c r="J1234">
        <v>2752774917</v>
      </c>
      <c r="K1234">
        <v>1317395079</v>
      </c>
      <c r="L1234">
        <v>1021190373</v>
      </c>
      <c r="M1234">
        <v>500144666</v>
      </c>
      <c r="P1234">
        <v>1786</v>
      </c>
      <c r="Q1234" t="s">
        <v>2747</v>
      </c>
    </row>
    <row r="1235" spans="1:17" x14ac:dyDescent="0.3">
      <c r="A1235" t="s">
        <v>17</v>
      </c>
      <c r="B1235" t="str">
        <f>"603236"</f>
        <v>603236</v>
      </c>
      <c r="C1235" t="s">
        <v>2748</v>
      </c>
      <c r="D1235" t="s">
        <v>786</v>
      </c>
      <c r="F1235">
        <v>3208461512</v>
      </c>
      <c r="G1235">
        <v>1868676299</v>
      </c>
      <c r="H1235">
        <v>1714723122</v>
      </c>
      <c r="I1235">
        <v>655299025</v>
      </c>
      <c r="J1235">
        <v>465427566</v>
      </c>
      <c r="K1235">
        <v>115871614</v>
      </c>
      <c r="P1235">
        <v>589</v>
      </c>
      <c r="Q1235" t="s">
        <v>2749</v>
      </c>
    </row>
    <row r="1236" spans="1:17" x14ac:dyDescent="0.3">
      <c r="A1236" t="s">
        <v>17</v>
      </c>
      <c r="B1236" t="str">
        <f>"603238"</f>
        <v>603238</v>
      </c>
      <c r="C1236" t="s">
        <v>2750</v>
      </c>
      <c r="D1236" t="s">
        <v>2751</v>
      </c>
      <c r="F1236">
        <v>1248039337</v>
      </c>
      <c r="G1236">
        <v>1143772037</v>
      </c>
      <c r="H1236">
        <v>890939659</v>
      </c>
      <c r="I1236">
        <v>822481462</v>
      </c>
      <c r="J1236">
        <v>778808770</v>
      </c>
      <c r="K1236">
        <v>385205373</v>
      </c>
      <c r="L1236">
        <v>325786693</v>
      </c>
      <c r="M1236">
        <v>251791148</v>
      </c>
      <c r="N1236">
        <v>191921255</v>
      </c>
      <c r="P1236">
        <v>240</v>
      </c>
      <c r="Q1236" t="s">
        <v>2752</v>
      </c>
    </row>
    <row r="1237" spans="1:17" x14ac:dyDescent="0.3">
      <c r="A1237" t="s">
        <v>17</v>
      </c>
      <c r="B1237" t="str">
        <f>"603239"</f>
        <v>603239</v>
      </c>
      <c r="C1237" t="s">
        <v>2753</v>
      </c>
      <c r="D1237" t="s">
        <v>985</v>
      </c>
      <c r="F1237">
        <v>1015088196</v>
      </c>
      <c r="G1237">
        <v>968008691</v>
      </c>
      <c r="H1237">
        <v>996810532</v>
      </c>
      <c r="I1237">
        <v>980638103</v>
      </c>
      <c r="J1237">
        <v>993583959</v>
      </c>
      <c r="K1237">
        <v>877592373</v>
      </c>
      <c r="L1237">
        <v>319263221</v>
      </c>
      <c r="M1237">
        <v>258606206</v>
      </c>
      <c r="N1237">
        <v>225760414</v>
      </c>
      <c r="P1237">
        <v>166</v>
      </c>
      <c r="Q1237" t="s">
        <v>2754</v>
      </c>
    </row>
    <row r="1238" spans="1:17" x14ac:dyDescent="0.3">
      <c r="A1238" t="s">
        <v>17</v>
      </c>
      <c r="B1238" t="str">
        <f>"603256"</f>
        <v>603256</v>
      </c>
      <c r="C1238" t="s">
        <v>2755</v>
      </c>
      <c r="D1238" t="s">
        <v>411</v>
      </c>
      <c r="F1238">
        <v>1533148425</v>
      </c>
      <c r="G1238">
        <v>1479298384</v>
      </c>
      <c r="H1238">
        <v>1425400841</v>
      </c>
      <c r="I1238">
        <v>1073481100</v>
      </c>
      <c r="J1238">
        <v>992568889</v>
      </c>
      <c r="K1238">
        <v>871768147</v>
      </c>
      <c r="P1238">
        <v>340</v>
      </c>
      <c r="Q1238" t="s">
        <v>2756</v>
      </c>
    </row>
    <row r="1239" spans="1:17" x14ac:dyDescent="0.3">
      <c r="A1239" t="s">
        <v>17</v>
      </c>
      <c r="B1239" t="str">
        <f>"603258"</f>
        <v>603258</v>
      </c>
      <c r="C1239" t="s">
        <v>2757</v>
      </c>
      <c r="D1239" t="s">
        <v>517</v>
      </c>
      <c r="F1239">
        <v>2453323403</v>
      </c>
      <c r="G1239">
        <v>2219880237</v>
      </c>
      <c r="H1239">
        <v>1906174168</v>
      </c>
      <c r="I1239">
        <v>1709626053</v>
      </c>
      <c r="J1239">
        <v>1612519908</v>
      </c>
      <c r="K1239">
        <v>1549671248</v>
      </c>
      <c r="L1239">
        <v>416409942</v>
      </c>
      <c r="M1239">
        <v>364253251</v>
      </c>
      <c r="N1239">
        <v>290998876</v>
      </c>
      <c r="P1239">
        <v>770</v>
      </c>
      <c r="Q1239" t="s">
        <v>2758</v>
      </c>
    </row>
    <row r="1240" spans="1:17" x14ac:dyDescent="0.3">
      <c r="A1240" t="s">
        <v>17</v>
      </c>
      <c r="B1240" t="str">
        <f>"603259"</f>
        <v>603259</v>
      </c>
      <c r="C1240" t="s">
        <v>2759</v>
      </c>
      <c r="D1240" t="s">
        <v>1461</v>
      </c>
      <c r="F1240">
        <v>38491509631</v>
      </c>
      <c r="G1240">
        <v>32493743090</v>
      </c>
      <c r="H1240">
        <v>17312255409</v>
      </c>
      <c r="I1240">
        <v>17688020821</v>
      </c>
      <c r="J1240">
        <v>6342379513</v>
      </c>
      <c r="K1240">
        <v>5569173037</v>
      </c>
      <c r="L1240">
        <v>3367667144</v>
      </c>
      <c r="P1240">
        <v>3986</v>
      </c>
      <c r="Q1240" t="s">
        <v>2760</v>
      </c>
    </row>
    <row r="1241" spans="1:17" x14ac:dyDescent="0.3">
      <c r="A1241" t="s">
        <v>17</v>
      </c>
      <c r="B1241" t="str">
        <f>"603260"</f>
        <v>603260</v>
      </c>
      <c r="C1241" t="s">
        <v>2761</v>
      </c>
      <c r="D1241" t="s">
        <v>2762</v>
      </c>
      <c r="F1241">
        <v>20119272042</v>
      </c>
      <c r="G1241">
        <v>9685841471</v>
      </c>
      <c r="H1241">
        <v>8498105964</v>
      </c>
      <c r="I1241">
        <v>7932007820</v>
      </c>
      <c r="J1241">
        <v>5415523504</v>
      </c>
      <c r="K1241">
        <v>2643586000</v>
      </c>
      <c r="L1241">
        <v>2011182564</v>
      </c>
      <c r="M1241">
        <v>1816587270</v>
      </c>
      <c r="P1241">
        <v>700</v>
      </c>
      <c r="Q1241" t="s">
        <v>2763</v>
      </c>
    </row>
    <row r="1242" spans="1:17" x14ac:dyDescent="0.3">
      <c r="A1242" t="s">
        <v>17</v>
      </c>
      <c r="B1242" t="str">
        <f>"603261"</f>
        <v>603261</v>
      </c>
      <c r="C1242" t="s">
        <v>2764</v>
      </c>
      <c r="F1242">
        <v>524166850</v>
      </c>
      <c r="G1242">
        <v>452028405</v>
      </c>
      <c r="H1242">
        <v>380613386</v>
      </c>
      <c r="I1242">
        <v>318831745</v>
      </c>
      <c r="J1242">
        <v>105992500</v>
      </c>
      <c r="P1242">
        <v>7</v>
      </c>
      <c r="Q1242" t="s">
        <v>2765</v>
      </c>
    </row>
    <row r="1243" spans="1:17" x14ac:dyDescent="0.3">
      <c r="A1243" t="s">
        <v>17</v>
      </c>
      <c r="B1243" t="str">
        <f>"603266"</f>
        <v>603266</v>
      </c>
      <c r="C1243" t="s">
        <v>2766</v>
      </c>
      <c r="D1243" t="s">
        <v>1192</v>
      </c>
      <c r="F1243">
        <v>1208688671</v>
      </c>
      <c r="G1243">
        <v>1025762406</v>
      </c>
      <c r="H1243">
        <v>910724180</v>
      </c>
      <c r="I1243">
        <v>848990477</v>
      </c>
      <c r="J1243">
        <v>806291677</v>
      </c>
      <c r="K1243">
        <v>432217970</v>
      </c>
      <c r="L1243">
        <v>351057431</v>
      </c>
      <c r="M1243">
        <v>283776547</v>
      </c>
      <c r="N1243">
        <v>231314975</v>
      </c>
      <c r="P1243">
        <v>95</v>
      </c>
      <c r="Q1243" t="s">
        <v>2767</v>
      </c>
    </row>
    <row r="1244" spans="1:17" x14ac:dyDescent="0.3">
      <c r="A1244" t="s">
        <v>17</v>
      </c>
      <c r="B1244" t="str">
        <f>"603267"</f>
        <v>603267</v>
      </c>
      <c r="C1244" t="s">
        <v>2768</v>
      </c>
      <c r="D1244" t="s">
        <v>1136</v>
      </c>
      <c r="F1244">
        <v>3309218950</v>
      </c>
      <c r="G1244">
        <v>2587698023</v>
      </c>
      <c r="H1244">
        <v>2079882812</v>
      </c>
      <c r="I1244">
        <v>1110572368</v>
      </c>
      <c r="J1244">
        <v>863297679</v>
      </c>
      <c r="K1244">
        <v>737172855</v>
      </c>
      <c r="P1244">
        <v>469</v>
      </c>
      <c r="Q1244" t="s">
        <v>2769</v>
      </c>
    </row>
    <row r="1245" spans="1:17" x14ac:dyDescent="0.3">
      <c r="A1245" t="s">
        <v>17</v>
      </c>
      <c r="B1245" t="str">
        <f>"603268"</f>
        <v>603268</v>
      </c>
      <c r="C1245" t="s">
        <v>2770</v>
      </c>
      <c r="D1245" t="s">
        <v>2445</v>
      </c>
      <c r="F1245">
        <v>362206175</v>
      </c>
      <c r="G1245">
        <v>670204231</v>
      </c>
      <c r="H1245">
        <v>644788009</v>
      </c>
      <c r="I1245">
        <v>623118042</v>
      </c>
      <c r="J1245">
        <v>604561889</v>
      </c>
      <c r="K1245">
        <v>566059294</v>
      </c>
      <c r="L1245">
        <v>535310114</v>
      </c>
      <c r="M1245">
        <v>289635685</v>
      </c>
      <c r="N1245">
        <v>250194801</v>
      </c>
      <c r="O1245">
        <v>211253104</v>
      </c>
      <c r="P1245">
        <v>70</v>
      </c>
      <c r="Q1245" t="s">
        <v>2771</v>
      </c>
    </row>
    <row r="1246" spans="1:17" x14ac:dyDescent="0.3">
      <c r="A1246" t="s">
        <v>17</v>
      </c>
      <c r="B1246" t="str">
        <f>"603269"</f>
        <v>603269</v>
      </c>
      <c r="C1246" t="s">
        <v>2772</v>
      </c>
      <c r="D1246" t="s">
        <v>560</v>
      </c>
      <c r="F1246">
        <v>883714720</v>
      </c>
      <c r="G1246">
        <v>858575362</v>
      </c>
      <c r="H1246">
        <v>689778431</v>
      </c>
      <c r="I1246">
        <v>649924082</v>
      </c>
      <c r="J1246">
        <v>628021250</v>
      </c>
      <c r="K1246">
        <v>427311038</v>
      </c>
      <c r="L1246">
        <v>396679693</v>
      </c>
      <c r="M1246">
        <v>373754584</v>
      </c>
      <c r="P1246">
        <v>63</v>
      </c>
      <c r="Q1246" t="s">
        <v>2773</v>
      </c>
    </row>
    <row r="1247" spans="1:17" x14ac:dyDescent="0.3">
      <c r="A1247" t="s">
        <v>17</v>
      </c>
      <c r="B1247" t="str">
        <f>"603272"</f>
        <v>603272</v>
      </c>
      <c r="C1247" t="s">
        <v>2774</v>
      </c>
      <c r="F1247">
        <v>334080713</v>
      </c>
      <c r="G1247">
        <v>285796425</v>
      </c>
      <c r="H1247">
        <v>182776200</v>
      </c>
      <c r="I1247">
        <v>150175994</v>
      </c>
      <c r="Q1247" t="s">
        <v>2775</v>
      </c>
    </row>
    <row r="1248" spans="1:17" x14ac:dyDescent="0.3">
      <c r="A1248" t="s">
        <v>17</v>
      </c>
      <c r="B1248" t="str">
        <f>"603277"</f>
        <v>603277</v>
      </c>
      <c r="C1248" t="s">
        <v>2776</v>
      </c>
      <c r="D1248" t="s">
        <v>988</v>
      </c>
      <c r="F1248">
        <v>2285182010</v>
      </c>
      <c r="G1248">
        <v>2264180802</v>
      </c>
      <c r="H1248">
        <v>2034197499</v>
      </c>
      <c r="I1248">
        <v>1757318381</v>
      </c>
      <c r="J1248">
        <v>1561168527</v>
      </c>
      <c r="K1248">
        <v>643267675</v>
      </c>
      <c r="L1248">
        <v>398597284</v>
      </c>
      <c r="M1248">
        <v>327502019</v>
      </c>
      <c r="P1248">
        <v>136</v>
      </c>
      <c r="Q1248" t="s">
        <v>2777</v>
      </c>
    </row>
    <row r="1249" spans="1:17" x14ac:dyDescent="0.3">
      <c r="A1249" t="s">
        <v>17</v>
      </c>
      <c r="B1249" t="str">
        <f>"603278"</f>
        <v>603278</v>
      </c>
      <c r="C1249" t="s">
        <v>2778</v>
      </c>
      <c r="D1249" t="s">
        <v>274</v>
      </c>
      <c r="F1249">
        <v>1746163792</v>
      </c>
      <c r="G1249">
        <v>1663203845</v>
      </c>
      <c r="H1249">
        <v>1606493532</v>
      </c>
      <c r="I1249">
        <v>1526762937</v>
      </c>
      <c r="J1249">
        <v>1363002123</v>
      </c>
      <c r="K1249">
        <v>584761000</v>
      </c>
      <c r="L1249">
        <v>441759148</v>
      </c>
      <c r="M1249">
        <v>369206695</v>
      </c>
      <c r="P1249">
        <v>122</v>
      </c>
      <c r="Q1249" t="s">
        <v>2779</v>
      </c>
    </row>
    <row r="1250" spans="1:17" x14ac:dyDescent="0.3">
      <c r="A1250" t="s">
        <v>17</v>
      </c>
      <c r="B1250" t="str">
        <f>"603279"</f>
        <v>603279</v>
      </c>
      <c r="C1250" t="s">
        <v>2780</v>
      </c>
      <c r="D1250" t="s">
        <v>1070</v>
      </c>
      <c r="F1250">
        <v>3369724644</v>
      </c>
      <c r="G1250">
        <v>2971650742</v>
      </c>
      <c r="H1250">
        <v>2672345812</v>
      </c>
      <c r="I1250">
        <v>2009953108</v>
      </c>
      <c r="J1250">
        <v>1762034156</v>
      </c>
      <c r="K1250">
        <v>1651561675</v>
      </c>
      <c r="P1250">
        <v>231</v>
      </c>
      <c r="Q1250" t="s">
        <v>2781</v>
      </c>
    </row>
    <row r="1251" spans="1:17" x14ac:dyDescent="0.3">
      <c r="A1251" t="s">
        <v>17</v>
      </c>
      <c r="B1251" t="str">
        <f>"603283"</f>
        <v>603283</v>
      </c>
      <c r="C1251" t="s">
        <v>2782</v>
      </c>
      <c r="D1251" t="s">
        <v>2432</v>
      </c>
      <c r="F1251">
        <v>1369084242</v>
      </c>
      <c r="G1251">
        <v>1219004361</v>
      </c>
      <c r="H1251">
        <v>998815085</v>
      </c>
      <c r="I1251">
        <v>743624248</v>
      </c>
      <c r="J1251">
        <v>633512160</v>
      </c>
      <c r="K1251">
        <v>321388187</v>
      </c>
      <c r="L1251">
        <v>252465344</v>
      </c>
      <c r="M1251">
        <v>155418882</v>
      </c>
      <c r="P1251">
        <v>216</v>
      </c>
      <c r="Q1251" t="s">
        <v>2783</v>
      </c>
    </row>
    <row r="1252" spans="1:17" x14ac:dyDescent="0.3">
      <c r="A1252" t="s">
        <v>17</v>
      </c>
      <c r="B1252" t="str">
        <f>"603286"</f>
        <v>603286</v>
      </c>
      <c r="C1252" t="s">
        <v>2784</v>
      </c>
      <c r="D1252" t="s">
        <v>348</v>
      </c>
      <c r="F1252">
        <v>476291122</v>
      </c>
      <c r="G1252">
        <v>468406172</v>
      </c>
      <c r="H1252">
        <v>454896664</v>
      </c>
      <c r="I1252">
        <v>434790597</v>
      </c>
      <c r="J1252">
        <v>423095879</v>
      </c>
      <c r="K1252">
        <v>247823688</v>
      </c>
      <c r="L1252">
        <v>216754225</v>
      </c>
      <c r="M1252">
        <v>237017192</v>
      </c>
      <c r="P1252">
        <v>66</v>
      </c>
      <c r="Q1252" t="s">
        <v>2785</v>
      </c>
    </row>
    <row r="1253" spans="1:17" x14ac:dyDescent="0.3">
      <c r="A1253" t="s">
        <v>17</v>
      </c>
      <c r="B1253" t="str">
        <f>"603288"</f>
        <v>603288</v>
      </c>
      <c r="C1253" t="s">
        <v>2786</v>
      </c>
      <c r="D1253" t="s">
        <v>433</v>
      </c>
      <c r="F1253">
        <v>23401517471</v>
      </c>
      <c r="G1253">
        <v>20068416163</v>
      </c>
      <c r="H1253">
        <v>16581955059</v>
      </c>
      <c r="I1253">
        <v>13875131982</v>
      </c>
      <c r="J1253">
        <v>11753339999</v>
      </c>
      <c r="K1253">
        <v>10013769433</v>
      </c>
      <c r="L1253">
        <v>8751125602</v>
      </c>
      <c r="M1253">
        <v>7487912155</v>
      </c>
      <c r="N1253">
        <v>3914438998</v>
      </c>
      <c r="O1253">
        <v>3658927527</v>
      </c>
      <c r="P1253">
        <v>54149</v>
      </c>
      <c r="Q1253" t="s">
        <v>2787</v>
      </c>
    </row>
    <row r="1254" spans="1:17" x14ac:dyDescent="0.3">
      <c r="A1254" t="s">
        <v>17</v>
      </c>
      <c r="B1254" t="str">
        <f>"603289"</f>
        <v>603289</v>
      </c>
      <c r="C1254" t="s">
        <v>2788</v>
      </c>
      <c r="D1254" t="s">
        <v>741</v>
      </c>
      <c r="F1254">
        <v>1331044028</v>
      </c>
      <c r="G1254">
        <v>1061464111</v>
      </c>
      <c r="H1254">
        <v>1029114233</v>
      </c>
      <c r="I1254">
        <v>962026688</v>
      </c>
      <c r="J1254">
        <v>886802866</v>
      </c>
      <c r="K1254">
        <v>460958539</v>
      </c>
      <c r="L1254">
        <v>394969605</v>
      </c>
      <c r="M1254">
        <v>349131298</v>
      </c>
      <c r="P1254">
        <v>115</v>
      </c>
      <c r="Q1254" t="s">
        <v>2789</v>
      </c>
    </row>
    <row r="1255" spans="1:17" x14ac:dyDescent="0.3">
      <c r="A1255" t="s">
        <v>17</v>
      </c>
      <c r="B1255" t="str">
        <f>"603290"</f>
        <v>603290</v>
      </c>
      <c r="C1255" t="s">
        <v>2790</v>
      </c>
      <c r="D1255" t="s">
        <v>795</v>
      </c>
      <c r="F1255">
        <v>4997248111</v>
      </c>
      <c r="G1255">
        <v>1158962551</v>
      </c>
      <c r="H1255">
        <v>559672002</v>
      </c>
      <c r="I1255">
        <v>434132494</v>
      </c>
      <c r="J1255">
        <v>342996246</v>
      </c>
      <c r="K1255">
        <v>289386345</v>
      </c>
      <c r="P1255">
        <v>635</v>
      </c>
      <c r="Q1255" t="s">
        <v>2791</v>
      </c>
    </row>
    <row r="1256" spans="1:17" x14ac:dyDescent="0.3">
      <c r="A1256" t="s">
        <v>17</v>
      </c>
      <c r="B1256" t="str">
        <f>"603297"</f>
        <v>603297</v>
      </c>
      <c r="C1256" t="s">
        <v>2792</v>
      </c>
      <c r="D1256" t="s">
        <v>164</v>
      </c>
      <c r="F1256">
        <v>1476131672</v>
      </c>
      <c r="G1256">
        <v>1258376572</v>
      </c>
      <c r="H1256">
        <v>1128734909</v>
      </c>
      <c r="I1256">
        <v>1029470491</v>
      </c>
      <c r="J1256">
        <v>440528978</v>
      </c>
      <c r="K1256">
        <v>352056260</v>
      </c>
      <c r="L1256">
        <v>336111236</v>
      </c>
      <c r="P1256">
        <v>238</v>
      </c>
      <c r="Q1256" t="s">
        <v>2793</v>
      </c>
    </row>
    <row r="1257" spans="1:17" x14ac:dyDescent="0.3">
      <c r="A1257" t="s">
        <v>17</v>
      </c>
      <c r="B1257" t="str">
        <f>"603298"</f>
        <v>603298</v>
      </c>
      <c r="C1257" t="s">
        <v>2794</v>
      </c>
      <c r="D1257" t="s">
        <v>83</v>
      </c>
      <c r="F1257">
        <v>5427061930</v>
      </c>
      <c r="G1257">
        <v>4922291370</v>
      </c>
      <c r="H1257">
        <v>4311079260</v>
      </c>
      <c r="I1257">
        <v>3851530110</v>
      </c>
      <c r="J1257">
        <v>3492524845</v>
      </c>
      <c r="K1257">
        <v>3200174237</v>
      </c>
      <c r="L1257">
        <v>1926297609</v>
      </c>
      <c r="M1257">
        <v>1711914343</v>
      </c>
      <c r="N1257">
        <v>1452487139</v>
      </c>
      <c r="P1257">
        <v>451</v>
      </c>
      <c r="Q1257" t="s">
        <v>2795</v>
      </c>
    </row>
    <row r="1258" spans="1:17" x14ac:dyDescent="0.3">
      <c r="A1258" t="s">
        <v>17</v>
      </c>
      <c r="B1258" t="str">
        <f>"603299"</f>
        <v>603299</v>
      </c>
      <c r="C1258" t="s">
        <v>2796</v>
      </c>
      <c r="D1258" t="s">
        <v>736</v>
      </c>
      <c r="F1258">
        <v>4335188819</v>
      </c>
      <c r="G1258">
        <v>4040821211</v>
      </c>
      <c r="H1258">
        <v>3966474837</v>
      </c>
      <c r="I1258">
        <v>2222123722</v>
      </c>
      <c r="J1258">
        <v>2130780533</v>
      </c>
      <c r="K1258">
        <v>1964076007</v>
      </c>
      <c r="L1258">
        <v>1965797616</v>
      </c>
      <c r="M1258">
        <v>1626452325</v>
      </c>
      <c r="N1258">
        <v>1583525291</v>
      </c>
      <c r="O1258">
        <v>1486416055</v>
      </c>
      <c r="P1258">
        <v>139</v>
      </c>
      <c r="Q1258" t="s">
        <v>2797</v>
      </c>
    </row>
    <row r="1259" spans="1:17" x14ac:dyDescent="0.3">
      <c r="A1259" t="s">
        <v>17</v>
      </c>
      <c r="B1259" t="str">
        <f>"603300"</f>
        <v>603300</v>
      </c>
      <c r="C1259" t="s">
        <v>2798</v>
      </c>
      <c r="D1259" t="s">
        <v>336</v>
      </c>
      <c r="F1259">
        <v>3709050711</v>
      </c>
      <c r="G1259">
        <v>3334632713</v>
      </c>
      <c r="H1259">
        <v>1757114015</v>
      </c>
      <c r="I1259">
        <v>1477647260</v>
      </c>
      <c r="J1259">
        <v>1139400272</v>
      </c>
      <c r="K1259">
        <v>1121410625</v>
      </c>
      <c r="L1259">
        <v>1075201576</v>
      </c>
      <c r="M1259">
        <v>623480279</v>
      </c>
      <c r="N1259">
        <v>538086542</v>
      </c>
      <c r="O1259">
        <v>500382188</v>
      </c>
      <c r="P1259">
        <v>123</v>
      </c>
      <c r="Q1259" t="s">
        <v>2799</v>
      </c>
    </row>
    <row r="1260" spans="1:17" x14ac:dyDescent="0.3">
      <c r="A1260" t="s">
        <v>17</v>
      </c>
      <c r="B1260" t="str">
        <f>"603301"</f>
        <v>603301</v>
      </c>
      <c r="C1260" t="s">
        <v>2800</v>
      </c>
      <c r="D1260" t="s">
        <v>1077</v>
      </c>
      <c r="F1260">
        <v>4066740693</v>
      </c>
      <c r="G1260">
        <v>4182785621</v>
      </c>
      <c r="H1260">
        <v>1250269346</v>
      </c>
      <c r="I1260">
        <v>1123721303</v>
      </c>
      <c r="J1260">
        <v>559234368</v>
      </c>
      <c r="K1260">
        <v>437455029</v>
      </c>
      <c r="L1260">
        <v>258652362</v>
      </c>
      <c r="P1260">
        <v>1533</v>
      </c>
      <c r="Q1260" t="s">
        <v>2801</v>
      </c>
    </row>
    <row r="1261" spans="1:17" x14ac:dyDescent="0.3">
      <c r="A1261" t="s">
        <v>17</v>
      </c>
      <c r="B1261" t="str">
        <f>"603302"</f>
        <v>603302</v>
      </c>
      <c r="C1261" t="s">
        <v>2802</v>
      </c>
      <c r="K1261">
        <v>721882445</v>
      </c>
      <c r="L1261">
        <v>578168236</v>
      </c>
      <c r="M1261">
        <v>526916231</v>
      </c>
      <c r="P1261">
        <v>19</v>
      </c>
      <c r="Q1261" t="s">
        <v>2803</v>
      </c>
    </row>
    <row r="1262" spans="1:17" x14ac:dyDescent="0.3">
      <c r="A1262" t="s">
        <v>17</v>
      </c>
      <c r="B1262" t="str">
        <f>"603303"</f>
        <v>603303</v>
      </c>
      <c r="C1262" t="s">
        <v>2804</v>
      </c>
      <c r="D1262" t="s">
        <v>598</v>
      </c>
      <c r="F1262">
        <v>3095762550</v>
      </c>
      <c r="G1262">
        <v>2889434097</v>
      </c>
      <c r="H1262">
        <v>2655541066</v>
      </c>
      <c r="I1262">
        <v>2570450767</v>
      </c>
      <c r="J1262">
        <v>2372622249</v>
      </c>
      <c r="K1262">
        <v>1194652839</v>
      </c>
      <c r="L1262">
        <v>956951061</v>
      </c>
      <c r="M1262">
        <v>683027946</v>
      </c>
      <c r="P1262">
        <v>180</v>
      </c>
      <c r="Q1262" t="s">
        <v>2805</v>
      </c>
    </row>
    <row r="1263" spans="1:17" x14ac:dyDescent="0.3">
      <c r="A1263" t="s">
        <v>17</v>
      </c>
      <c r="B1263" t="str">
        <f>"603305"</f>
        <v>603305</v>
      </c>
      <c r="C1263" t="s">
        <v>2806</v>
      </c>
      <c r="D1263" t="s">
        <v>348</v>
      </c>
      <c r="F1263">
        <v>3584701580</v>
      </c>
      <c r="G1263">
        <v>3322820921</v>
      </c>
      <c r="H1263">
        <v>1514523753</v>
      </c>
      <c r="I1263">
        <v>1406956038</v>
      </c>
      <c r="J1263">
        <v>1148657061</v>
      </c>
      <c r="K1263">
        <v>516312617</v>
      </c>
      <c r="L1263">
        <v>317424920</v>
      </c>
      <c r="M1263">
        <v>202260857</v>
      </c>
      <c r="P1263">
        <v>506</v>
      </c>
      <c r="Q1263" t="s">
        <v>2807</v>
      </c>
    </row>
    <row r="1264" spans="1:17" x14ac:dyDescent="0.3">
      <c r="A1264" t="s">
        <v>17</v>
      </c>
      <c r="B1264" t="str">
        <f>"603306"</f>
        <v>603306</v>
      </c>
      <c r="C1264" t="s">
        <v>2808</v>
      </c>
      <c r="D1264" t="s">
        <v>191</v>
      </c>
      <c r="F1264">
        <v>2661529484</v>
      </c>
      <c r="G1264">
        <v>2457205676</v>
      </c>
      <c r="H1264">
        <v>2404311752</v>
      </c>
      <c r="I1264">
        <v>2319216970</v>
      </c>
      <c r="J1264">
        <v>2144885588</v>
      </c>
      <c r="K1264">
        <v>1299868256</v>
      </c>
      <c r="L1264">
        <v>1078220044</v>
      </c>
      <c r="M1264">
        <v>922518785</v>
      </c>
      <c r="N1264">
        <v>403393080</v>
      </c>
      <c r="O1264">
        <v>314393195</v>
      </c>
      <c r="P1264">
        <v>631</v>
      </c>
      <c r="Q1264" t="s">
        <v>2809</v>
      </c>
    </row>
    <row r="1265" spans="1:17" x14ac:dyDescent="0.3">
      <c r="A1265" t="s">
        <v>17</v>
      </c>
      <c r="B1265" t="str">
        <f>"603308"</f>
        <v>603308</v>
      </c>
      <c r="C1265" t="s">
        <v>2810</v>
      </c>
      <c r="D1265" t="s">
        <v>274</v>
      </c>
      <c r="F1265">
        <v>3935737669</v>
      </c>
      <c r="G1265">
        <v>3780564470</v>
      </c>
      <c r="H1265">
        <v>3596227676</v>
      </c>
      <c r="I1265">
        <v>2881264053</v>
      </c>
      <c r="J1265">
        <v>2820922399</v>
      </c>
      <c r="K1265">
        <v>2764605068</v>
      </c>
      <c r="L1265">
        <v>1878144613</v>
      </c>
      <c r="M1265">
        <v>1818001538</v>
      </c>
      <c r="N1265">
        <v>1141187602</v>
      </c>
      <c r="O1265">
        <v>978899730</v>
      </c>
      <c r="P1265">
        <v>233</v>
      </c>
      <c r="Q1265" t="s">
        <v>2811</v>
      </c>
    </row>
    <row r="1266" spans="1:17" x14ac:dyDescent="0.3">
      <c r="A1266" t="s">
        <v>17</v>
      </c>
      <c r="B1266" t="str">
        <f>"603309"</f>
        <v>603309</v>
      </c>
      <c r="C1266" t="s">
        <v>2812</v>
      </c>
      <c r="D1266" t="s">
        <v>1077</v>
      </c>
      <c r="F1266">
        <v>1578481435</v>
      </c>
      <c r="G1266">
        <v>1134165414</v>
      </c>
      <c r="H1266">
        <v>1027608461</v>
      </c>
      <c r="I1266">
        <v>927410276</v>
      </c>
      <c r="J1266">
        <v>892007267</v>
      </c>
      <c r="K1266">
        <v>857450175</v>
      </c>
      <c r="L1266">
        <v>778200192</v>
      </c>
      <c r="M1266">
        <v>369735245</v>
      </c>
      <c r="N1266">
        <v>301915265</v>
      </c>
      <c r="O1266">
        <v>248829538</v>
      </c>
      <c r="P1266">
        <v>147</v>
      </c>
      <c r="Q1266" t="s">
        <v>2813</v>
      </c>
    </row>
    <row r="1267" spans="1:17" x14ac:dyDescent="0.3">
      <c r="A1267" t="s">
        <v>17</v>
      </c>
      <c r="B1267" t="str">
        <f>"603311"</f>
        <v>603311</v>
      </c>
      <c r="C1267" t="s">
        <v>2814</v>
      </c>
      <c r="D1267" t="s">
        <v>1253</v>
      </c>
      <c r="F1267">
        <v>854934253</v>
      </c>
      <c r="G1267">
        <v>862531182</v>
      </c>
      <c r="H1267">
        <v>820720210</v>
      </c>
      <c r="I1267">
        <v>753462057</v>
      </c>
      <c r="J1267">
        <v>717821421</v>
      </c>
      <c r="K1267">
        <v>659443599</v>
      </c>
      <c r="L1267">
        <v>591301252</v>
      </c>
      <c r="M1267">
        <v>288013477</v>
      </c>
      <c r="N1267">
        <v>250098553</v>
      </c>
      <c r="O1267">
        <v>231468017</v>
      </c>
      <c r="P1267">
        <v>96</v>
      </c>
      <c r="Q1267" t="s">
        <v>2815</v>
      </c>
    </row>
    <row r="1268" spans="1:17" x14ac:dyDescent="0.3">
      <c r="A1268" t="s">
        <v>17</v>
      </c>
      <c r="B1268" t="str">
        <f>"603313"</f>
        <v>603313</v>
      </c>
      <c r="C1268" t="s">
        <v>2816</v>
      </c>
      <c r="D1268" t="s">
        <v>757</v>
      </c>
      <c r="F1268">
        <v>2906893845</v>
      </c>
      <c r="G1268">
        <v>3551951030</v>
      </c>
      <c r="H1268">
        <v>2270576496</v>
      </c>
      <c r="I1268">
        <v>1714762194</v>
      </c>
      <c r="J1268">
        <v>1531230834</v>
      </c>
      <c r="K1268">
        <v>1664162554</v>
      </c>
      <c r="L1268">
        <v>644177828</v>
      </c>
      <c r="M1268">
        <v>504652834</v>
      </c>
      <c r="N1268">
        <v>376136377</v>
      </c>
      <c r="P1268">
        <v>580</v>
      </c>
      <c r="Q1268" t="s">
        <v>2817</v>
      </c>
    </row>
    <row r="1269" spans="1:17" x14ac:dyDescent="0.3">
      <c r="A1269" t="s">
        <v>17</v>
      </c>
      <c r="B1269" t="str">
        <f>"603315"</f>
        <v>603315</v>
      </c>
      <c r="C1269" t="s">
        <v>2818</v>
      </c>
      <c r="D1269" t="s">
        <v>274</v>
      </c>
      <c r="F1269">
        <v>1396771378</v>
      </c>
      <c r="G1269">
        <v>1367820836</v>
      </c>
      <c r="H1269">
        <v>1319260923</v>
      </c>
      <c r="I1269">
        <v>987546810</v>
      </c>
      <c r="J1269">
        <v>981467911</v>
      </c>
      <c r="K1269">
        <v>652931960</v>
      </c>
      <c r="L1269">
        <v>638524241</v>
      </c>
      <c r="M1269">
        <v>343439944</v>
      </c>
      <c r="N1269">
        <v>347175001</v>
      </c>
      <c r="O1269">
        <v>324069381</v>
      </c>
      <c r="P1269">
        <v>57</v>
      </c>
      <c r="Q1269" t="s">
        <v>2819</v>
      </c>
    </row>
    <row r="1270" spans="1:17" x14ac:dyDescent="0.3">
      <c r="A1270" t="s">
        <v>17</v>
      </c>
      <c r="B1270" t="str">
        <f>"603316"</f>
        <v>603316</v>
      </c>
      <c r="C1270" t="s">
        <v>2820</v>
      </c>
      <c r="D1270" t="s">
        <v>2417</v>
      </c>
      <c r="F1270">
        <v>913424012</v>
      </c>
      <c r="G1270">
        <v>910552532</v>
      </c>
      <c r="H1270">
        <v>862589628</v>
      </c>
      <c r="I1270">
        <v>842440011</v>
      </c>
      <c r="J1270">
        <v>799955906</v>
      </c>
      <c r="K1270">
        <v>424772276</v>
      </c>
      <c r="L1270">
        <v>364089448</v>
      </c>
      <c r="M1270">
        <v>332621445</v>
      </c>
      <c r="P1270">
        <v>59</v>
      </c>
      <c r="Q1270" t="s">
        <v>2821</v>
      </c>
    </row>
    <row r="1271" spans="1:17" x14ac:dyDescent="0.3">
      <c r="A1271" t="s">
        <v>17</v>
      </c>
      <c r="B1271" t="str">
        <f>"603317"</f>
        <v>603317</v>
      </c>
      <c r="C1271" t="s">
        <v>2822</v>
      </c>
      <c r="D1271" t="s">
        <v>433</v>
      </c>
      <c r="F1271">
        <v>3804291457</v>
      </c>
      <c r="G1271">
        <v>3729658163</v>
      </c>
      <c r="H1271">
        <v>1841916395</v>
      </c>
      <c r="I1271">
        <v>1138264323</v>
      </c>
      <c r="J1271">
        <v>931150919</v>
      </c>
      <c r="K1271">
        <v>945560809</v>
      </c>
      <c r="P1271">
        <v>1436</v>
      </c>
      <c r="Q1271" t="s">
        <v>2823</v>
      </c>
    </row>
    <row r="1272" spans="1:17" x14ac:dyDescent="0.3">
      <c r="A1272" t="s">
        <v>17</v>
      </c>
      <c r="B1272" t="str">
        <f>"603318"</f>
        <v>603318</v>
      </c>
      <c r="C1272" t="s">
        <v>2824</v>
      </c>
      <c r="D1272" t="s">
        <v>749</v>
      </c>
      <c r="F1272">
        <v>1032968902</v>
      </c>
      <c r="G1272">
        <v>996636916</v>
      </c>
      <c r="H1272">
        <v>904579832</v>
      </c>
      <c r="I1272">
        <v>1022428885</v>
      </c>
      <c r="J1272">
        <v>1021657269</v>
      </c>
      <c r="K1272">
        <v>463355647</v>
      </c>
      <c r="L1272">
        <v>461918580</v>
      </c>
      <c r="M1272">
        <v>287095904</v>
      </c>
      <c r="N1272">
        <v>257425633</v>
      </c>
      <c r="O1272">
        <v>206969360</v>
      </c>
      <c r="P1272">
        <v>63</v>
      </c>
      <c r="Q1272" t="s">
        <v>2825</v>
      </c>
    </row>
    <row r="1273" spans="1:17" x14ac:dyDescent="0.3">
      <c r="A1273" t="s">
        <v>17</v>
      </c>
      <c r="B1273" t="str">
        <f>"603319"</f>
        <v>603319</v>
      </c>
      <c r="C1273" t="s">
        <v>2826</v>
      </c>
      <c r="D1273" t="s">
        <v>348</v>
      </c>
      <c r="F1273">
        <v>1445958898</v>
      </c>
      <c r="G1273">
        <v>1301823038</v>
      </c>
      <c r="H1273">
        <v>802283526</v>
      </c>
      <c r="I1273">
        <v>749938176</v>
      </c>
      <c r="J1273">
        <v>696377817</v>
      </c>
      <c r="K1273">
        <v>597993855</v>
      </c>
      <c r="L1273">
        <v>361688569</v>
      </c>
      <c r="M1273">
        <v>332477422</v>
      </c>
      <c r="N1273">
        <v>296577430</v>
      </c>
      <c r="P1273">
        <v>171</v>
      </c>
      <c r="Q1273" t="s">
        <v>2827</v>
      </c>
    </row>
    <row r="1274" spans="1:17" x14ac:dyDescent="0.3">
      <c r="A1274" t="s">
        <v>17</v>
      </c>
      <c r="B1274" t="str">
        <f>"603320"</f>
        <v>603320</v>
      </c>
      <c r="C1274" t="s">
        <v>2828</v>
      </c>
      <c r="D1274" t="s">
        <v>1171</v>
      </c>
      <c r="F1274">
        <v>741879248</v>
      </c>
      <c r="G1274">
        <v>676220906</v>
      </c>
      <c r="H1274">
        <v>646746310</v>
      </c>
      <c r="I1274">
        <v>620062733</v>
      </c>
      <c r="J1274">
        <v>592829904</v>
      </c>
      <c r="K1274">
        <v>328408054</v>
      </c>
      <c r="L1274">
        <v>282518841</v>
      </c>
      <c r="M1274">
        <v>256215920</v>
      </c>
      <c r="P1274">
        <v>94</v>
      </c>
      <c r="Q1274" t="s">
        <v>2829</v>
      </c>
    </row>
    <row r="1275" spans="1:17" x14ac:dyDescent="0.3">
      <c r="A1275" t="s">
        <v>17</v>
      </c>
      <c r="B1275" t="str">
        <f>"603321"</f>
        <v>603321</v>
      </c>
      <c r="C1275" t="s">
        <v>2830</v>
      </c>
      <c r="D1275" t="s">
        <v>1691</v>
      </c>
      <c r="F1275">
        <v>1116970151</v>
      </c>
      <c r="G1275">
        <v>1099032697</v>
      </c>
      <c r="H1275">
        <v>1057664933</v>
      </c>
      <c r="I1275">
        <v>1025855253</v>
      </c>
      <c r="J1275">
        <v>1004156990</v>
      </c>
      <c r="K1275">
        <v>502405152</v>
      </c>
      <c r="L1275">
        <v>418224384</v>
      </c>
      <c r="M1275">
        <v>333536660</v>
      </c>
      <c r="P1275">
        <v>59</v>
      </c>
      <c r="Q1275" t="s">
        <v>2831</v>
      </c>
    </row>
    <row r="1276" spans="1:17" x14ac:dyDescent="0.3">
      <c r="A1276" t="s">
        <v>17</v>
      </c>
      <c r="B1276" t="str">
        <f>"603322"</f>
        <v>603322</v>
      </c>
      <c r="C1276" t="s">
        <v>2832</v>
      </c>
      <c r="D1276" t="s">
        <v>654</v>
      </c>
      <c r="F1276">
        <v>195568944</v>
      </c>
      <c r="G1276">
        <v>420366511</v>
      </c>
      <c r="H1276">
        <v>381297537</v>
      </c>
      <c r="I1276">
        <v>488672137</v>
      </c>
      <c r="J1276">
        <v>490553136</v>
      </c>
      <c r="K1276">
        <v>478773829</v>
      </c>
      <c r="L1276">
        <v>239261998</v>
      </c>
      <c r="M1276">
        <v>200421226</v>
      </c>
      <c r="N1276">
        <v>174884479</v>
      </c>
      <c r="P1276">
        <v>184</v>
      </c>
      <c r="Q1276" t="s">
        <v>2833</v>
      </c>
    </row>
    <row r="1277" spans="1:17" x14ac:dyDescent="0.3">
      <c r="A1277" t="s">
        <v>17</v>
      </c>
      <c r="B1277" t="str">
        <f>"603323"</f>
        <v>603323</v>
      </c>
      <c r="C1277" t="s">
        <v>2834</v>
      </c>
      <c r="D1277" t="s">
        <v>1831</v>
      </c>
      <c r="F1277">
        <v>12995205000</v>
      </c>
      <c r="G1277">
        <v>11868210000</v>
      </c>
      <c r="H1277">
        <v>11360227000</v>
      </c>
      <c r="I1277">
        <v>9115644000</v>
      </c>
      <c r="J1277">
        <v>8366341000</v>
      </c>
      <c r="K1277">
        <v>7776203000</v>
      </c>
      <c r="L1277">
        <v>6561922000</v>
      </c>
      <c r="M1277">
        <v>6010676000</v>
      </c>
      <c r="N1277">
        <v>5435257000</v>
      </c>
      <c r="O1277">
        <v>4740476000</v>
      </c>
      <c r="P1277">
        <v>498</v>
      </c>
      <c r="Q1277" t="s">
        <v>2835</v>
      </c>
    </row>
    <row r="1278" spans="1:17" x14ac:dyDescent="0.3">
      <c r="A1278" t="s">
        <v>17</v>
      </c>
      <c r="B1278" t="str">
        <f>"603324"</f>
        <v>603324</v>
      </c>
      <c r="C1278" t="s">
        <v>2836</v>
      </c>
      <c r="D1278" t="s">
        <v>1070</v>
      </c>
      <c r="F1278">
        <v>1384149285</v>
      </c>
      <c r="G1278">
        <v>703005537</v>
      </c>
      <c r="H1278">
        <v>581357206</v>
      </c>
      <c r="I1278">
        <v>468193039</v>
      </c>
      <c r="J1278">
        <v>106105728</v>
      </c>
      <c r="P1278">
        <v>29</v>
      </c>
      <c r="Q1278" t="s">
        <v>2837</v>
      </c>
    </row>
    <row r="1279" spans="1:17" x14ac:dyDescent="0.3">
      <c r="A1279" t="s">
        <v>17</v>
      </c>
      <c r="B1279" t="str">
        <f>"603326"</f>
        <v>603326</v>
      </c>
      <c r="C1279" t="s">
        <v>2838</v>
      </c>
      <c r="D1279" t="s">
        <v>2664</v>
      </c>
      <c r="F1279">
        <v>873873455</v>
      </c>
      <c r="G1279">
        <v>1119890920</v>
      </c>
      <c r="H1279">
        <v>951629111</v>
      </c>
      <c r="I1279">
        <v>827924811</v>
      </c>
      <c r="J1279">
        <v>743736173</v>
      </c>
      <c r="K1279">
        <v>304006198</v>
      </c>
      <c r="L1279">
        <v>242643475</v>
      </c>
      <c r="M1279">
        <v>141190144</v>
      </c>
      <c r="P1279">
        <v>247</v>
      </c>
      <c r="Q1279" t="s">
        <v>2839</v>
      </c>
    </row>
    <row r="1280" spans="1:17" x14ac:dyDescent="0.3">
      <c r="A1280" t="s">
        <v>17</v>
      </c>
      <c r="B1280" t="str">
        <f>"603327"</f>
        <v>603327</v>
      </c>
      <c r="C1280" t="s">
        <v>2840</v>
      </c>
      <c r="D1280" t="s">
        <v>313</v>
      </c>
      <c r="F1280">
        <v>1647439960</v>
      </c>
      <c r="G1280">
        <v>1494209700</v>
      </c>
      <c r="H1280">
        <v>1272196046</v>
      </c>
      <c r="I1280">
        <v>684237300</v>
      </c>
      <c r="J1280">
        <v>550061465</v>
      </c>
      <c r="K1280">
        <v>417093255</v>
      </c>
      <c r="P1280">
        <v>347</v>
      </c>
      <c r="Q1280" t="s">
        <v>2841</v>
      </c>
    </row>
    <row r="1281" spans="1:17" x14ac:dyDescent="0.3">
      <c r="A1281" t="s">
        <v>17</v>
      </c>
      <c r="B1281" t="str">
        <f>"603328"</f>
        <v>603328</v>
      </c>
      <c r="C1281" t="s">
        <v>2842</v>
      </c>
      <c r="D1281" t="s">
        <v>425</v>
      </c>
      <c r="F1281">
        <v>3368901341</v>
      </c>
      <c r="G1281">
        <v>3319676214</v>
      </c>
      <c r="H1281">
        <v>3566414429</v>
      </c>
      <c r="I1281">
        <v>4468311468</v>
      </c>
      <c r="J1281">
        <v>4633975840</v>
      </c>
      <c r="K1281">
        <v>4746862802</v>
      </c>
      <c r="L1281">
        <v>4354381764</v>
      </c>
      <c r="M1281">
        <v>3969186467</v>
      </c>
      <c r="N1281">
        <v>2326726400</v>
      </c>
      <c r="O1281">
        <v>2004786923</v>
      </c>
      <c r="P1281">
        <v>590</v>
      </c>
      <c r="Q1281" t="s">
        <v>2843</v>
      </c>
    </row>
    <row r="1282" spans="1:17" x14ac:dyDescent="0.3">
      <c r="A1282" t="s">
        <v>17</v>
      </c>
      <c r="B1282" t="str">
        <f>"603329"</f>
        <v>603329</v>
      </c>
      <c r="C1282" t="s">
        <v>2844</v>
      </c>
      <c r="D1282" t="s">
        <v>128</v>
      </c>
      <c r="F1282">
        <v>1030832187</v>
      </c>
      <c r="G1282">
        <v>664283408</v>
      </c>
      <c r="H1282">
        <v>599565631</v>
      </c>
      <c r="I1282">
        <v>732681136</v>
      </c>
      <c r="J1282">
        <v>726625920</v>
      </c>
      <c r="K1282">
        <v>379074645</v>
      </c>
      <c r="L1282">
        <v>349148104</v>
      </c>
      <c r="M1282">
        <v>314178057</v>
      </c>
      <c r="P1282">
        <v>62</v>
      </c>
      <c r="Q1282" t="s">
        <v>2845</v>
      </c>
    </row>
    <row r="1283" spans="1:17" x14ac:dyDescent="0.3">
      <c r="A1283" t="s">
        <v>17</v>
      </c>
      <c r="B1283" t="str">
        <f>"603330"</f>
        <v>603330</v>
      </c>
      <c r="C1283" t="s">
        <v>2846</v>
      </c>
      <c r="D1283" t="s">
        <v>1192</v>
      </c>
      <c r="F1283">
        <v>1074156705</v>
      </c>
      <c r="G1283">
        <v>653904087</v>
      </c>
      <c r="H1283">
        <v>609291141</v>
      </c>
      <c r="I1283">
        <v>625617833</v>
      </c>
      <c r="J1283">
        <v>605898161</v>
      </c>
      <c r="K1283">
        <v>362575897</v>
      </c>
      <c r="L1283">
        <v>308944769</v>
      </c>
      <c r="M1283">
        <v>258649512</v>
      </c>
      <c r="N1283">
        <v>220016883</v>
      </c>
      <c r="P1283">
        <v>136</v>
      </c>
      <c r="Q1283" t="s">
        <v>2847</v>
      </c>
    </row>
    <row r="1284" spans="1:17" x14ac:dyDescent="0.3">
      <c r="A1284" t="s">
        <v>17</v>
      </c>
      <c r="B1284" t="str">
        <f>"603331"</f>
        <v>603331</v>
      </c>
      <c r="C1284" t="s">
        <v>2848</v>
      </c>
      <c r="D1284" t="s">
        <v>560</v>
      </c>
      <c r="F1284">
        <v>835430842</v>
      </c>
      <c r="G1284">
        <v>813661589</v>
      </c>
      <c r="H1284">
        <v>762178398</v>
      </c>
      <c r="I1284">
        <v>718347958</v>
      </c>
      <c r="J1284">
        <v>678033455</v>
      </c>
      <c r="K1284">
        <v>355408974</v>
      </c>
      <c r="L1284">
        <v>299844281</v>
      </c>
      <c r="M1284">
        <v>263565855</v>
      </c>
      <c r="P1284">
        <v>83</v>
      </c>
      <c r="Q1284" t="s">
        <v>2849</v>
      </c>
    </row>
    <row r="1285" spans="1:17" x14ac:dyDescent="0.3">
      <c r="A1285" t="s">
        <v>17</v>
      </c>
      <c r="B1285" t="str">
        <f>"603332"</f>
        <v>603332</v>
      </c>
      <c r="C1285" t="s">
        <v>2850</v>
      </c>
      <c r="D1285" t="s">
        <v>2731</v>
      </c>
      <c r="F1285">
        <v>1355487130</v>
      </c>
      <c r="G1285">
        <v>1336386841</v>
      </c>
      <c r="H1285">
        <v>1371944359</v>
      </c>
      <c r="I1285">
        <v>787618698</v>
      </c>
      <c r="J1285">
        <v>633705669</v>
      </c>
      <c r="K1285">
        <v>525533590</v>
      </c>
      <c r="L1285">
        <v>561466313</v>
      </c>
      <c r="P1285">
        <v>59</v>
      </c>
      <c r="Q1285" t="s">
        <v>2851</v>
      </c>
    </row>
    <row r="1286" spans="1:17" x14ac:dyDescent="0.3">
      <c r="A1286" t="s">
        <v>17</v>
      </c>
      <c r="B1286" t="str">
        <f>"603333"</f>
        <v>603333</v>
      </c>
      <c r="C1286" t="s">
        <v>2852</v>
      </c>
      <c r="D1286" t="s">
        <v>1164</v>
      </c>
      <c r="F1286">
        <v>2078883694</v>
      </c>
      <c r="G1286">
        <v>1534708373</v>
      </c>
      <c r="H1286">
        <v>1531756231</v>
      </c>
      <c r="I1286">
        <v>1415458539</v>
      </c>
      <c r="J1286">
        <v>1419807751</v>
      </c>
      <c r="K1286">
        <v>1402909303</v>
      </c>
      <c r="L1286">
        <v>1480501995</v>
      </c>
      <c r="M1286">
        <v>1477199226</v>
      </c>
      <c r="N1286">
        <v>1548443347</v>
      </c>
      <c r="O1286">
        <v>1566936000</v>
      </c>
      <c r="P1286">
        <v>134</v>
      </c>
      <c r="Q1286" t="s">
        <v>2853</v>
      </c>
    </row>
    <row r="1287" spans="1:17" x14ac:dyDescent="0.3">
      <c r="A1287" t="s">
        <v>17</v>
      </c>
      <c r="B1287" t="str">
        <f>"603335"</f>
        <v>603335</v>
      </c>
      <c r="C1287" t="s">
        <v>2854</v>
      </c>
      <c r="D1287" t="s">
        <v>422</v>
      </c>
      <c r="F1287">
        <v>607561444</v>
      </c>
      <c r="G1287">
        <v>600793314</v>
      </c>
      <c r="H1287">
        <v>564293165</v>
      </c>
      <c r="I1287">
        <v>558823744</v>
      </c>
      <c r="J1287">
        <v>554024754</v>
      </c>
      <c r="K1287">
        <v>346025466</v>
      </c>
      <c r="L1287">
        <v>291043026</v>
      </c>
      <c r="M1287">
        <v>249085954</v>
      </c>
      <c r="P1287">
        <v>66</v>
      </c>
      <c r="Q1287" t="s">
        <v>2855</v>
      </c>
    </row>
    <row r="1288" spans="1:17" x14ac:dyDescent="0.3">
      <c r="A1288" t="s">
        <v>17</v>
      </c>
      <c r="B1288" t="str">
        <f>"603336"</f>
        <v>603336</v>
      </c>
      <c r="C1288" t="s">
        <v>2856</v>
      </c>
      <c r="D1288" t="s">
        <v>258</v>
      </c>
      <c r="F1288">
        <v>1050941362</v>
      </c>
      <c r="G1288">
        <v>1029925007</v>
      </c>
      <c r="H1288">
        <v>873441764</v>
      </c>
      <c r="I1288">
        <v>815265341</v>
      </c>
      <c r="J1288">
        <v>778016155</v>
      </c>
      <c r="K1288">
        <v>741121346</v>
      </c>
      <c r="L1288">
        <v>407884062</v>
      </c>
      <c r="M1288">
        <v>345387149</v>
      </c>
      <c r="N1288">
        <v>299126794</v>
      </c>
      <c r="P1288">
        <v>179</v>
      </c>
      <c r="Q1288" t="s">
        <v>2857</v>
      </c>
    </row>
    <row r="1289" spans="1:17" x14ac:dyDescent="0.3">
      <c r="A1289" t="s">
        <v>17</v>
      </c>
      <c r="B1289" t="str">
        <f>"603337"</f>
        <v>603337</v>
      </c>
      <c r="C1289" t="s">
        <v>2858</v>
      </c>
      <c r="D1289" t="s">
        <v>534</v>
      </c>
      <c r="F1289">
        <v>3264386817</v>
      </c>
      <c r="G1289">
        <v>2924637656</v>
      </c>
      <c r="H1289">
        <v>2657074562</v>
      </c>
      <c r="I1289">
        <v>2490164213</v>
      </c>
      <c r="J1289">
        <v>2131051689</v>
      </c>
      <c r="K1289">
        <v>1008191841</v>
      </c>
      <c r="L1289">
        <v>834289690</v>
      </c>
      <c r="M1289">
        <v>687915675</v>
      </c>
      <c r="N1289">
        <v>513817982</v>
      </c>
      <c r="P1289">
        <v>370</v>
      </c>
      <c r="Q1289" t="s">
        <v>2859</v>
      </c>
    </row>
    <row r="1290" spans="1:17" x14ac:dyDescent="0.3">
      <c r="A1290" t="s">
        <v>17</v>
      </c>
      <c r="B1290" t="str">
        <f>"603338"</f>
        <v>603338</v>
      </c>
      <c r="C1290" t="s">
        <v>2860</v>
      </c>
      <c r="D1290" t="s">
        <v>83</v>
      </c>
      <c r="F1290">
        <v>5978168759</v>
      </c>
      <c r="G1290">
        <v>3744157600</v>
      </c>
      <c r="H1290">
        <v>3207493644</v>
      </c>
      <c r="I1290">
        <v>2601382187</v>
      </c>
      <c r="J1290">
        <v>2202505763</v>
      </c>
      <c r="K1290">
        <v>1085805361</v>
      </c>
      <c r="L1290">
        <v>916639350</v>
      </c>
      <c r="M1290">
        <v>364279024</v>
      </c>
      <c r="N1290">
        <v>278429602</v>
      </c>
      <c r="O1290">
        <v>198608031</v>
      </c>
      <c r="P1290">
        <v>12811</v>
      </c>
      <c r="Q1290" t="s">
        <v>2861</v>
      </c>
    </row>
    <row r="1291" spans="1:17" x14ac:dyDescent="0.3">
      <c r="A1291" t="s">
        <v>17</v>
      </c>
      <c r="B1291" t="str">
        <f>"603339"</f>
        <v>603339</v>
      </c>
      <c r="C1291" t="s">
        <v>2862</v>
      </c>
      <c r="D1291" t="s">
        <v>988</v>
      </c>
      <c r="F1291">
        <v>1948375495</v>
      </c>
      <c r="G1291">
        <v>1810283529</v>
      </c>
      <c r="H1291">
        <v>1745401890</v>
      </c>
      <c r="I1291">
        <v>1645226020</v>
      </c>
      <c r="J1291">
        <v>1467847515</v>
      </c>
      <c r="K1291">
        <v>1310436518</v>
      </c>
      <c r="L1291">
        <v>715832837</v>
      </c>
      <c r="M1291">
        <v>621514728</v>
      </c>
      <c r="N1291">
        <v>491752991</v>
      </c>
      <c r="P1291">
        <v>163</v>
      </c>
      <c r="Q1291" t="s">
        <v>2863</v>
      </c>
    </row>
    <row r="1292" spans="1:17" x14ac:dyDescent="0.3">
      <c r="A1292" t="s">
        <v>17</v>
      </c>
      <c r="B1292" t="str">
        <f>"603345"</f>
        <v>603345</v>
      </c>
      <c r="C1292" t="s">
        <v>2864</v>
      </c>
      <c r="D1292" t="s">
        <v>2865</v>
      </c>
      <c r="F1292">
        <v>5073420600</v>
      </c>
      <c r="G1292">
        <v>3519308658</v>
      </c>
      <c r="H1292">
        <v>2743656303</v>
      </c>
      <c r="I1292">
        <v>1902801263</v>
      </c>
      <c r="J1292">
        <v>1693468271</v>
      </c>
      <c r="K1292">
        <v>1004551585</v>
      </c>
      <c r="L1292">
        <v>827144489</v>
      </c>
      <c r="M1292">
        <v>698800964</v>
      </c>
      <c r="N1292">
        <v>568509772</v>
      </c>
      <c r="P1292">
        <v>1174</v>
      </c>
      <c r="Q1292" t="s">
        <v>2866</v>
      </c>
    </row>
    <row r="1293" spans="1:17" x14ac:dyDescent="0.3">
      <c r="A1293" t="s">
        <v>17</v>
      </c>
      <c r="B1293" t="str">
        <f>"603348"</f>
        <v>603348</v>
      </c>
      <c r="C1293" t="s">
        <v>2867</v>
      </c>
      <c r="D1293" t="s">
        <v>985</v>
      </c>
      <c r="F1293">
        <v>2681728270</v>
      </c>
      <c r="G1293">
        <v>2530554118</v>
      </c>
      <c r="H1293">
        <v>2065647332</v>
      </c>
      <c r="I1293">
        <v>2040126100</v>
      </c>
      <c r="J1293">
        <v>1125854540</v>
      </c>
      <c r="K1293">
        <v>1003706081</v>
      </c>
      <c r="L1293">
        <v>873611321</v>
      </c>
      <c r="P1293">
        <v>193</v>
      </c>
      <c r="Q1293" t="s">
        <v>2868</v>
      </c>
    </row>
    <row r="1294" spans="1:17" x14ac:dyDescent="0.3">
      <c r="A1294" t="s">
        <v>17</v>
      </c>
      <c r="B1294" t="str">
        <f>"603351"</f>
        <v>603351</v>
      </c>
      <c r="C1294" t="s">
        <v>2869</v>
      </c>
      <c r="D1294" t="s">
        <v>496</v>
      </c>
      <c r="F1294">
        <v>1382705624</v>
      </c>
      <c r="G1294">
        <v>1299661889</v>
      </c>
      <c r="H1294">
        <v>1241215206</v>
      </c>
      <c r="I1294">
        <v>614609989</v>
      </c>
      <c r="J1294">
        <v>532795637</v>
      </c>
      <c r="K1294">
        <v>443614655</v>
      </c>
      <c r="L1294">
        <v>294154089</v>
      </c>
      <c r="P1294">
        <v>87</v>
      </c>
      <c r="Q1294" t="s">
        <v>2870</v>
      </c>
    </row>
    <row r="1295" spans="1:17" x14ac:dyDescent="0.3">
      <c r="A1295" t="s">
        <v>17</v>
      </c>
      <c r="B1295" t="str">
        <f>"603353"</f>
        <v>603353</v>
      </c>
      <c r="C1295" t="s">
        <v>2871</v>
      </c>
      <c r="D1295" t="s">
        <v>584</v>
      </c>
      <c r="F1295">
        <v>1664921523</v>
      </c>
      <c r="G1295">
        <v>1640152896</v>
      </c>
      <c r="H1295">
        <v>682267429</v>
      </c>
      <c r="I1295">
        <v>520387289</v>
      </c>
      <c r="J1295">
        <v>444357722</v>
      </c>
      <c r="P1295">
        <v>103</v>
      </c>
      <c r="Q1295" t="s">
        <v>2872</v>
      </c>
    </row>
    <row r="1296" spans="1:17" x14ac:dyDescent="0.3">
      <c r="A1296" t="s">
        <v>17</v>
      </c>
      <c r="B1296" t="str">
        <f>"603355"</f>
        <v>603355</v>
      </c>
      <c r="C1296" t="s">
        <v>2873</v>
      </c>
      <c r="D1296" t="s">
        <v>2720</v>
      </c>
      <c r="F1296">
        <v>3242531021</v>
      </c>
      <c r="G1296">
        <v>3447001953</v>
      </c>
      <c r="H1296">
        <v>3198977008</v>
      </c>
      <c r="I1296">
        <v>2781768832</v>
      </c>
      <c r="J1296">
        <v>3239113238</v>
      </c>
      <c r="K1296">
        <v>2976080087</v>
      </c>
      <c r="L1296">
        <v>2553008487</v>
      </c>
      <c r="M1296">
        <v>1509384665</v>
      </c>
      <c r="N1296">
        <v>1165356954</v>
      </c>
      <c r="O1296">
        <v>1082138638</v>
      </c>
      <c r="P1296">
        <v>557</v>
      </c>
      <c r="Q1296" t="s">
        <v>2874</v>
      </c>
    </row>
    <row r="1297" spans="1:17" x14ac:dyDescent="0.3">
      <c r="A1297" t="s">
        <v>17</v>
      </c>
      <c r="B1297" t="str">
        <f>"603356"</f>
        <v>603356</v>
      </c>
      <c r="C1297" t="s">
        <v>2875</v>
      </c>
      <c r="D1297" t="s">
        <v>1691</v>
      </c>
      <c r="F1297">
        <v>779617208</v>
      </c>
      <c r="G1297">
        <v>781234299</v>
      </c>
      <c r="H1297">
        <v>732884954</v>
      </c>
      <c r="I1297">
        <v>687856785</v>
      </c>
      <c r="J1297">
        <v>332959690</v>
      </c>
      <c r="K1297">
        <v>285881308</v>
      </c>
      <c r="L1297">
        <v>237431512</v>
      </c>
      <c r="M1297">
        <v>199820616</v>
      </c>
      <c r="P1297">
        <v>65</v>
      </c>
      <c r="Q1297" t="s">
        <v>2876</v>
      </c>
    </row>
    <row r="1298" spans="1:17" x14ac:dyDescent="0.3">
      <c r="A1298" t="s">
        <v>17</v>
      </c>
      <c r="B1298" t="str">
        <f>"603357"</f>
        <v>603357</v>
      </c>
      <c r="C1298" t="s">
        <v>2877</v>
      </c>
      <c r="D1298" t="s">
        <v>1272</v>
      </c>
      <c r="F1298">
        <v>2884209156</v>
      </c>
      <c r="G1298">
        <v>2609529656</v>
      </c>
      <c r="H1298">
        <v>2346290578</v>
      </c>
      <c r="I1298">
        <v>2152426649</v>
      </c>
      <c r="J1298">
        <v>1803293710</v>
      </c>
      <c r="K1298">
        <v>790580414</v>
      </c>
      <c r="L1298">
        <v>624033759</v>
      </c>
      <c r="M1298">
        <v>544586647</v>
      </c>
      <c r="P1298">
        <v>361</v>
      </c>
      <c r="Q1298" t="s">
        <v>2878</v>
      </c>
    </row>
    <row r="1299" spans="1:17" x14ac:dyDescent="0.3">
      <c r="A1299" t="s">
        <v>17</v>
      </c>
      <c r="B1299" t="str">
        <f>"603358"</f>
        <v>603358</v>
      </c>
      <c r="C1299" t="s">
        <v>2879</v>
      </c>
      <c r="D1299" t="s">
        <v>985</v>
      </c>
      <c r="F1299">
        <v>3010884903</v>
      </c>
      <c r="G1299">
        <v>2787302575</v>
      </c>
      <c r="H1299">
        <v>2652242513</v>
      </c>
      <c r="I1299">
        <v>2590466865</v>
      </c>
      <c r="J1299">
        <v>2532306810</v>
      </c>
      <c r="K1299">
        <v>1259936432</v>
      </c>
      <c r="L1299">
        <v>1029054912</v>
      </c>
      <c r="M1299">
        <v>831770508</v>
      </c>
      <c r="N1299">
        <v>668130343</v>
      </c>
      <c r="P1299">
        <v>131</v>
      </c>
      <c r="Q1299" t="s">
        <v>2880</v>
      </c>
    </row>
    <row r="1300" spans="1:17" x14ac:dyDescent="0.3">
      <c r="A1300" t="s">
        <v>17</v>
      </c>
      <c r="B1300" t="str">
        <f>"603359"</f>
        <v>603359</v>
      </c>
      <c r="C1300" t="s">
        <v>2881</v>
      </c>
      <c r="D1300" t="s">
        <v>2417</v>
      </c>
      <c r="F1300">
        <v>3612641296</v>
      </c>
      <c r="G1300">
        <v>3209265358</v>
      </c>
      <c r="H1300">
        <v>2926293294</v>
      </c>
      <c r="I1300">
        <v>2612582607</v>
      </c>
      <c r="J1300">
        <v>2400576047</v>
      </c>
      <c r="K1300">
        <v>1220749884</v>
      </c>
      <c r="L1300">
        <v>1035516499</v>
      </c>
      <c r="M1300">
        <v>737976437</v>
      </c>
      <c r="P1300">
        <v>187</v>
      </c>
      <c r="Q1300" t="s">
        <v>2882</v>
      </c>
    </row>
    <row r="1301" spans="1:17" x14ac:dyDescent="0.3">
      <c r="A1301" t="s">
        <v>17</v>
      </c>
      <c r="B1301" t="str">
        <f>"603360"</f>
        <v>603360</v>
      </c>
      <c r="C1301" t="s">
        <v>2883</v>
      </c>
      <c r="D1301" t="s">
        <v>853</v>
      </c>
      <c r="F1301">
        <v>1049655126</v>
      </c>
      <c r="G1301">
        <v>988283192</v>
      </c>
      <c r="H1301">
        <v>1033468499</v>
      </c>
      <c r="I1301">
        <v>799343118</v>
      </c>
      <c r="J1301">
        <v>687543010</v>
      </c>
      <c r="K1301">
        <v>458889229</v>
      </c>
      <c r="L1301">
        <v>360595037</v>
      </c>
      <c r="M1301">
        <v>303158269</v>
      </c>
      <c r="N1301">
        <v>277144634</v>
      </c>
      <c r="P1301">
        <v>402</v>
      </c>
      <c r="Q1301" t="s">
        <v>2884</v>
      </c>
    </row>
    <row r="1302" spans="1:17" x14ac:dyDescent="0.3">
      <c r="A1302" t="s">
        <v>17</v>
      </c>
      <c r="B1302" t="str">
        <f>"603363"</f>
        <v>603363</v>
      </c>
      <c r="C1302" t="s">
        <v>2885</v>
      </c>
      <c r="D1302" t="s">
        <v>2886</v>
      </c>
      <c r="F1302">
        <v>1154372188</v>
      </c>
      <c r="G1302">
        <v>2742094542</v>
      </c>
      <c r="H1302">
        <v>828044224</v>
      </c>
      <c r="I1302">
        <v>813772393</v>
      </c>
      <c r="J1302">
        <v>808469001</v>
      </c>
      <c r="K1302">
        <v>473118288</v>
      </c>
      <c r="L1302">
        <v>381092658</v>
      </c>
      <c r="M1302">
        <v>170663865</v>
      </c>
      <c r="P1302">
        <v>310</v>
      </c>
      <c r="Q1302" t="s">
        <v>2887</v>
      </c>
    </row>
    <row r="1303" spans="1:17" x14ac:dyDescent="0.3">
      <c r="A1303" t="s">
        <v>17</v>
      </c>
      <c r="B1303" t="str">
        <f>"603365"</f>
        <v>603365</v>
      </c>
      <c r="C1303" t="s">
        <v>2888</v>
      </c>
      <c r="D1303" t="s">
        <v>2889</v>
      </c>
      <c r="F1303">
        <v>2636968898</v>
      </c>
      <c r="G1303">
        <v>2357173973</v>
      </c>
      <c r="H1303">
        <v>2285041179</v>
      </c>
      <c r="I1303">
        <v>2187369303</v>
      </c>
      <c r="J1303">
        <v>2035632275</v>
      </c>
      <c r="K1303">
        <v>890340927</v>
      </c>
      <c r="L1303">
        <v>752639648</v>
      </c>
      <c r="M1303">
        <v>605102145</v>
      </c>
      <c r="P1303">
        <v>243</v>
      </c>
      <c r="Q1303" t="s">
        <v>2890</v>
      </c>
    </row>
    <row r="1304" spans="1:17" x14ac:dyDescent="0.3">
      <c r="A1304" t="s">
        <v>17</v>
      </c>
      <c r="B1304" t="str">
        <f>"603366"</f>
        <v>603366</v>
      </c>
      <c r="C1304" t="s">
        <v>2891</v>
      </c>
      <c r="D1304" t="s">
        <v>2892</v>
      </c>
      <c r="F1304">
        <v>3596917716</v>
      </c>
      <c r="G1304">
        <v>3344304714</v>
      </c>
      <c r="H1304">
        <v>3189807952</v>
      </c>
      <c r="I1304">
        <v>3059296585</v>
      </c>
      <c r="J1304">
        <v>3691940593</v>
      </c>
      <c r="K1304">
        <v>3781355158</v>
      </c>
      <c r="L1304">
        <v>3685876916</v>
      </c>
      <c r="M1304">
        <v>3523145151</v>
      </c>
      <c r="N1304">
        <v>3520666387</v>
      </c>
      <c r="O1304">
        <v>3496754603</v>
      </c>
      <c r="P1304">
        <v>121</v>
      </c>
      <c r="Q1304" t="s">
        <v>2893</v>
      </c>
    </row>
    <row r="1305" spans="1:17" x14ac:dyDescent="0.3">
      <c r="A1305" t="s">
        <v>17</v>
      </c>
      <c r="B1305" t="str">
        <f>"603367"</f>
        <v>603367</v>
      </c>
      <c r="C1305" t="s">
        <v>2894</v>
      </c>
      <c r="D1305" t="s">
        <v>143</v>
      </c>
      <c r="F1305">
        <v>5054821025</v>
      </c>
      <c r="G1305">
        <v>4800949980</v>
      </c>
      <c r="H1305">
        <v>4572559418</v>
      </c>
      <c r="I1305">
        <v>4153992498</v>
      </c>
      <c r="J1305">
        <v>3722798543</v>
      </c>
      <c r="K1305">
        <v>2295469348</v>
      </c>
      <c r="L1305">
        <v>2097703515</v>
      </c>
      <c r="M1305">
        <v>1898904591</v>
      </c>
      <c r="P1305">
        <v>245</v>
      </c>
      <c r="Q1305" t="s">
        <v>2895</v>
      </c>
    </row>
    <row r="1306" spans="1:17" x14ac:dyDescent="0.3">
      <c r="A1306" t="s">
        <v>17</v>
      </c>
      <c r="B1306" t="str">
        <f>"603368"</f>
        <v>603368</v>
      </c>
      <c r="C1306" t="s">
        <v>2896</v>
      </c>
      <c r="D1306" t="s">
        <v>125</v>
      </c>
      <c r="F1306">
        <v>5307219130</v>
      </c>
      <c r="G1306">
        <v>4945726851</v>
      </c>
      <c r="H1306">
        <v>4372782381</v>
      </c>
      <c r="I1306">
        <v>3846463110</v>
      </c>
      <c r="J1306">
        <v>3491757997</v>
      </c>
      <c r="K1306">
        <v>3190021631</v>
      </c>
      <c r="L1306">
        <v>1329148981</v>
      </c>
      <c r="M1306">
        <v>1155645635</v>
      </c>
      <c r="N1306">
        <v>501004576</v>
      </c>
      <c r="O1306">
        <v>378587201</v>
      </c>
      <c r="P1306">
        <v>532</v>
      </c>
      <c r="Q1306" t="s">
        <v>2897</v>
      </c>
    </row>
    <row r="1307" spans="1:17" x14ac:dyDescent="0.3">
      <c r="A1307" t="s">
        <v>17</v>
      </c>
      <c r="B1307" t="str">
        <f>"603369"</f>
        <v>603369</v>
      </c>
      <c r="C1307" t="s">
        <v>2898</v>
      </c>
      <c r="D1307" t="s">
        <v>458</v>
      </c>
      <c r="F1307">
        <v>9297080023</v>
      </c>
      <c r="G1307">
        <v>8267340400</v>
      </c>
      <c r="H1307">
        <v>7206267607</v>
      </c>
      <c r="I1307">
        <v>6094667341</v>
      </c>
      <c r="J1307">
        <v>5262345915</v>
      </c>
      <c r="K1307">
        <v>4614472898</v>
      </c>
      <c r="L1307">
        <v>4033686409</v>
      </c>
      <c r="M1307">
        <v>3544338905</v>
      </c>
      <c r="N1307">
        <v>2287974950</v>
      </c>
      <c r="O1307">
        <v>1813677506</v>
      </c>
      <c r="P1307">
        <v>35436</v>
      </c>
      <c r="Q1307" t="s">
        <v>2899</v>
      </c>
    </row>
    <row r="1308" spans="1:17" x14ac:dyDescent="0.3">
      <c r="A1308" t="s">
        <v>17</v>
      </c>
      <c r="B1308" t="str">
        <f>"603377"</f>
        <v>603377</v>
      </c>
      <c r="C1308" t="s">
        <v>2900</v>
      </c>
      <c r="D1308" t="s">
        <v>1336</v>
      </c>
      <c r="F1308">
        <v>2148817894</v>
      </c>
      <c r="G1308">
        <v>2274120876</v>
      </c>
      <c r="H1308">
        <v>1764125349</v>
      </c>
      <c r="I1308">
        <v>1747811311</v>
      </c>
      <c r="J1308">
        <v>1739157461</v>
      </c>
      <c r="K1308">
        <v>1630211648</v>
      </c>
      <c r="L1308">
        <v>753395674</v>
      </c>
      <c r="M1308">
        <v>627815663</v>
      </c>
      <c r="N1308">
        <v>508596570</v>
      </c>
      <c r="O1308">
        <v>357932984</v>
      </c>
      <c r="P1308">
        <v>171</v>
      </c>
      <c r="Q1308" t="s">
        <v>2901</v>
      </c>
    </row>
    <row r="1309" spans="1:17" x14ac:dyDescent="0.3">
      <c r="A1309" t="s">
        <v>17</v>
      </c>
      <c r="B1309" t="str">
        <f>"603378"</f>
        <v>603378</v>
      </c>
      <c r="C1309" t="s">
        <v>2902</v>
      </c>
      <c r="D1309" t="s">
        <v>2903</v>
      </c>
      <c r="F1309">
        <v>1620050864</v>
      </c>
      <c r="G1309">
        <v>2047331949</v>
      </c>
      <c r="H1309">
        <v>1366006963</v>
      </c>
      <c r="I1309">
        <v>1312161693</v>
      </c>
      <c r="J1309">
        <v>1288493555</v>
      </c>
      <c r="K1309">
        <v>593758720</v>
      </c>
      <c r="L1309">
        <v>471357891</v>
      </c>
      <c r="M1309">
        <v>354823805</v>
      </c>
      <c r="P1309">
        <v>203</v>
      </c>
      <c r="Q1309" t="s">
        <v>2904</v>
      </c>
    </row>
    <row r="1310" spans="1:17" x14ac:dyDescent="0.3">
      <c r="A1310" t="s">
        <v>17</v>
      </c>
      <c r="B1310" t="str">
        <f>"603379"</f>
        <v>603379</v>
      </c>
      <c r="C1310" t="s">
        <v>2905</v>
      </c>
      <c r="D1310" t="s">
        <v>375</v>
      </c>
      <c r="F1310">
        <v>5288370821</v>
      </c>
      <c r="G1310">
        <v>4982218203</v>
      </c>
      <c r="H1310">
        <v>4952554435</v>
      </c>
      <c r="I1310">
        <v>2488104930</v>
      </c>
      <c r="J1310">
        <v>1745710821</v>
      </c>
      <c r="K1310">
        <v>841694251</v>
      </c>
      <c r="P1310">
        <v>140</v>
      </c>
      <c r="Q1310" t="s">
        <v>2906</v>
      </c>
    </row>
    <row r="1311" spans="1:17" x14ac:dyDescent="0.3">
      <c r="A1311" t="s">
        <v>17</v>
      </c>
      <c r="B1311" t="str">
        <f>"603380"</f>
        <v>603380</v>
      </c>
      <c r="C1311" t="s">
        <v>2907</v>
      </c>
      <c r="D1311" t="s">
        <v>313</v>
      </c>
      <c r="F1311">
        <v>1122833985</v>
      </c>
      <c r="G1311">
        <v>979130073</v>
      </c>
      <c r="H1311">
        <v>855809765</v>
      </c>
      <c r="I1311">
        <v>763847621</v>
      </c>
      <c r="J1311">
        <v>694278521</v>
      </c>
      <c r="K1311">
        <v>222950177</v>
      </c>
      <c r="L1311">
        <v>165953830</v>
      </c>
      <c r="M1311">
        <v>131499021</v>
      </c>
      <c r="P1311">
        <v>209</v>
      </c>
      <c r="Q1311" t="s">
        <v>2908</v>
      </c>
    </row>
    <row r="1312" spans="1:17" x14ac:dyDescent="0.3">
      <c r="A1312" t="s">
        <v>17</v>
      </c>
      <c r="B1312" t="str">
        <f>"603383"</f>
        <v>603383</v>
      </c>
      <c r="C1312" t="s">
        <v>2909</v>
      </c>
      <c r="D1312" t="s">
        <v>945</v>
      </c>
      <c r="F1312">
        <v>1251113242</v>
      </c>
      <c r="G1312">
        <v>1177465354</v>
      </c>
      <c r="H1312">
        <v>1126864530</v>
      </c>
      <c r="I1312">
        <v>1037172799</v>
      </c>
      <c r="J1312">
        <v>937731287</v>
      </c>
      <c r="K1312">
        <v>471932079</v>
      </c>
      <c r="L1312">
        <v>401450493</v>
      </c>
      <c r="M1312">
        <v>198249639</v>
      </c>
      <c r="P1312">
        <v>190</v>
      </c>
      <c r="Q1312" t="s">
        <v>2910</v>
      </c>
    </row>
    <row r="1313" spans="1:17" x14ac:dyDescent="0.3">
      <c r="A1313" t="s">
        <v>17</v>
      </c>
      <c r="B1313" t="str">
        <f>"603385"</f>
        <v>603385</v>
      </c>
      <c r="C1313" t="s">
        <v>2911</v>
      </c>
      <c r="D1313" t="s">
        <v>2912</v>
      </c>
      <c r="F1313">
        <v>3851827806</v>
      </c>
      <c r="G1313">
        <v>3689510901</v>
      </c>
      <c r="H1313">
        <v>3385380564</v>
      </c>
      <c r="I1313">
        <v>3148711294</v>
      </c>
      <c r="J1313">
        <v>2995136416</v>
      </c>
      <c r="K1313">
        <v>1935064516</v>
      </c>
      <c r="L1313">
        <v>1868770508</v>
      </c>
      <c r="M1313">
        <v>1864882946</v>
      </c>
      <c r="P1313">
        <v>192</v>
      </c>
      <c r="Q1313" t="s">
        <v>2913</v>
      </c>
    </row>
    <row r="1314" spans="1:17" x14ac:dyDescent="0.3">
      <c r="A1314" t="s">
        <v>17</v>
      </c>
      <c r="B1314" t="str">
        <f>"603386"</f>
        <v>603386</v>
      </c>
      <c r="C1314" t="s">
        <v>2914</v>
      </c>
      <c r="D1314" t="s">
        <v>425</v>
      </c>
      <c r="F1314">
        <v>1456624661</v>
      </c>
      <c r="G1314">
        <v>1119771930</v>
      </c>
      <c r="H1314">
        <v>1011823908</v>
      </c>
      <c r="I1314">
        <v>654991545</v>
      </c>
      <c r="J1314">
        <v>615847390</v>
      </c>
      <c r="K1314">
        <v>267922331</v>
      </c>
      <c r="L1314">
        <v>207137584</v>
      </c>
      <c r="M1314">
        <v>171896897</v>
      </c>
      <c r="P1314">
        <v>180</v>
      </c>
      <c r="Q1314" t="s">
        <v>2915</v>
      </c>
    </row>
    <row r="1315" spans="1:17" x14ac:dyDescent="0.3">
      <c r="A1315" t="s">
        <v>17</v>
      </c>
      <c r="B1315" t="str">
        <f>"603387"</f>
        <v>603387</v>
      </c>
      <c r="C1315" t="s">
        <v>2916</v>
      </c>
      <c r="D1315" t="s">
        <v>1305</v>
      </c>
      <c r="F1315">
        <v>2106400196</v>
      </c>
      <c r="G1315">
        <v>1837985536</v>
      </c>
      <c r="H1315">
        <v>1624972044</v>
      </c>
      <c r="I1315">
        <v>1345363852</v>
      </c>
      <c r="J1315">
        <v>1143472885</v>
      </c>
      <c r="K1315">
        <v>340091301</v>
      </c>
      <c r="L1315">
        <v>266496806</v>
      </c>
      <c r="M1315">
        <v>162034661</v>
      </c>
      <c r="P1315">
        <v>1500</v>
      </c>
      <c r="Q1315" t="s">
        <v>2917</v>
      </c>
    </row>
    <row r="1316" spans="1:17" x14ac:dyDescent="0.3">
      <c r="A1316" t="s">
        <v>17</v>
      </c>
      <c r="B1316" t="str">
        <f>"603388"</f>
        <v>603388</v>
      </c>
      <c r="C1316" t="s">
        <v>2918</v>
      </c>
      <c r="D1316" t="s">
        <v>2417</v>
      </c>
      <c r="F1316">
        <v>1125754839</v>
      </c>
      <c r="G1316">
        <v>1086158824</v>
      </c>
      <c r="H1316">
        <v>1037225458</v>
      </c>
      <c r="I1316">
        <v>904599825</v>
      </c>
      <c r="J1316">
        <v>774180975</v>
      </c>
      <c r="K1316">
        <v>411275185</v>
      </c>
      <c r="L1316">
        <v>358237615</v>
      </c>
      <c r="M1316">
        <v>309380143</v>
      </c>
      <c r="P1316">
        <v>63</v>
      </c>
      <c r="Q1316" t="s">
        <v>2919</v>
      </c>
    </row>
    <row r="1317" spans="1:17" x14ac:dyDescent="0.3">
      <c r="A1317" t="s">
        <v>17</v>
      </c>
      <c r="B1317" t="str">
        <f>"603389"</f>
        <v>603389</v>
      </c>
      <c r="C1317" t="s">
        <v>2920</v>
      </c>
      <c r="D1317" t="s">
        <v>757</v>
      </c>
      <c r="F1317">
        <v>599391181</v>
      </c>
      <c r="G1317">
        <v>671724890</v>
      </c>
      <c r="H1317">
        <v>655012430</v>
      </c>
      <c r="I1317">
        <v>779529415</v>
      </c>
      <c r="J1317">
        <v>884249986</v>
      </c>
      <c r="K1317">
        <v>847282087</v>
      </c>
      <c r="L1317">
        <v>405380368</v>
      </c>
      <c r="M1317">
        <v>356190237</v>
      </c>
      <c r="N1317">
        <v>318452629</v>
      </c>
      <c r="P1317">
        <v>80</v>
      </c>
      <c r="Q1317" t="s">
        <v>2921</v>
      </c>
    </row>
    <row r="1318" spans="1:17" x14ac:dyDescent="0.3">
      <c r="A1318" t="s">
        <v>17</v>
      </c>
      <c r="B1318" t="str">
        <f>"603390"</f>
        <v>603390</v>
      </c>
      <c r="C1318" t="s">
        <v>2922</v>
      </c>
      <c r="D1318" t="s">
        <v>1415</v>
      </c>
      <c r="F1318">
        <v>1668368053</v>
      </c>
      <c r="G1318">
        <v>1724138171</v>
      </c>
      <c r="H1318">
        <v>1723985402</v>
      </c>
      <c r="I1318">
        <v>762426551</v>
      </c>
      <c r="J1318">
        <v>617448872</v>
      </c>
      <c r="K1318">
        <v>274218020</v>
      </c>
      <c r="P1318">
        <v>89</v>
      </c>
      <c r="Q1318" t="s">
        <v>2923</v>
      </c>
    </row>
    <row r="1319" spans="1:17" x14ac:dyDescent="0.3">
      <c r="A1319" t="s">
        <v>17</v>
      </c>
      <c r="B1319" t="str">
        <f>"603392"</f>
        <v>603392</v>
      </c>
      <c r="C1319" t="s">
        <v>2924</v>
      </c>
      <c r="D1319" t="s">
        <v>1305</v>
      </c>
      <c r="F1319">
        <v>4466287176</v>
      </c>
      <c r="G1319">
        <v>2553665041</v>
      </c>
      <c r="H1319">
        <v>1558819598</v>
      </c>
      <c r="I1319">
        <v>1349955282</v>
      </c>
      <c r="J1319">
        <v>878327524</v>
      </c>
      <c r="P1319">
        <v>552</v>
      </c>
      <c r="Q1319" t="s">
        <v>2925</v>
      </c>
    </row>
    <row r="1320" spans="1:17" x14ac:dyDescent="0.3">
      <c r="A1320" t="s">
        <v>17</v>
      </c>
      <c r="B1320" t="str">
        <f>"603393"</f>
        <v>603393</v>
      </c>
      <c r="C1320" t="s">
        <v>2926</v>
      </c>
      <c r="D1320" t="s">
        <v>749</v>
      </c>
      <c r="F1320">
        <v>4536651164</v>
      </c>
      <c r="G1320">
        <v>2778420233</v>
      </c>
      <c r="H1320">
        <v>2530052837</v>
      </c>
      <c r="I1320">
        <v>2263947853</v>
      </c>
      <c r="J1320">
        <v>1941689535</v>
      </c>
      <c r="K1320">
        <v>1788199546</v>
      </c>
      <c r="L1320">
        <v>678847299</v>
      </c>
      <c r="M1320">
        <v>566465944</v>
      </c>
      <c r="N1320">
        <v>441936109</v>
      </c>
      <c r="P1320">
        <v>498</v>
      </c>
      <c r="Q1320" t="s">
        <v>2927</v>
      </c>
    </row>
    <row r="1321" spans="1:17" x14ac:dyDescent="0.3">
      <c r="A1321" t="s">
        <v>17</v>
      </c>
      <c r="B1321" t="str">
        <f>"603396"</f>
        <v>603396</v>
      </c>
      <c r="C1321" t="s">
        <v>2928</v>
      </c>
      <c r="D1321" t="s">
        <v>2671</v>
      </c>
      <c r="F1321">
        <v>1399517454</v>
      </c>
      <c r="G1321">
        <v>993112056</v>
      </c>
      <c r="H1321">
        <v>926501011</v>
      </c>
      <c r="I1321">
        <v>889507108</v>
      </c>
      <c r="J1321">
        <v>825863056</v>
      </c>
      <c r="K1321">
        <v>418690965</v>
      </c>
      <c r="L1321">
        <v>351709715</v>
      </c>
      <c r="M1321">
        <v>282004239</v>
      </c>
      <c r="P1321">
        <v>217</v>
      </c>
      <c r="Q1321" t="s">
        <v>2929</v>
      </c>
    </row>
    <row r="1322" spans="1:17" x14ac:dyDescent="0.3">
      <c r="A1322" t="s">
        <v>17</v>
      </c>
      <c r="B1322" t="str">
        <f>"603398"</f>
        <v>603398</v>
      </c>
      <c r="C1322" t="s">
        <v>2930</v>
      </c>
      <c r="D1322" t="s">
        <v>2931</v>
      </c>
      <c r="F1322">
        <v>945164254</v>
      </c>
      <c r="G1322">
        <v>780133928</v>
      </c>
      <c r="H1322">
        <v>740213816</v>
      </c>
      <c r="I1322">
        <v>675868436</v>
      </c>
      <c r="J1322">
        <v>624740365</v>
      </c>
      <c r="K1322">
        <v>581446941</v>
      </c>
      <c r="L1322">
        <v>539888720</v>
      </c>
      <c r="M1322">
        <v>193009234</v>
      </c>
      <c r="N1322">
        <v>177414304</v>
      </c>
      <c r="O1322">
        <v>151765311</v>
      </c>
      <c r="P1322">
        <v>89</v>
      </c>
      <c r="Q1322" t="s">
        <v>2932</v>
      </c>
    </row>
    <row r="1323" spans="1:17" x14ac:dyDescent="0.3">
      <c r="A1323" t="s">
        <v>17</v>
      </c>
      <c r="B1323" t="str">
        <f>"603399"</f>
        <v>603399</v>
      </c>
      <c r="C1323" t="s">
        <v>2933</v>
      </c>
      <c r="D1323" t="s">
        <v>2363</v>
      </c>
      <c r="F1323">
        <v>1901934861</v>
      </c>
      <c r="G1323">
        <v>1904539570</v>
      </c>
      <c r="H1323">
        <v>2156610642</v>
      </c>
      <c r="I1323">
        <v>2376410047</v>
      </c>
      <c r="J1323">
        <v>2101843286</v>
      </c>
      <c r="K1323">
        <v>1876218836</v>
      </c>
      <c r="L1323">
        <v>1839429418</v>
      </c>
      <c r="M1323">
        <v>1108500651</v>
      </c>
      <c r="N1323">
        <v>1052752103</v>
      </c>
      <c r="O1323">
        <v>1003884278</v>
      </c>
      <c r="P1323">
        <v>72</v>
      </c>
      <c r="Q1323" t="s">
        <v>2934</v>
      </c>
    </row>
    <row r="1324" spans="1:17" x14ac:dyDescent="0.3">
      <c r="A1324" t="s">
        <v>17</v>
      </c>
      <c r="B1324" t="str">
        <f>"603408"</f>
        <v>603408</v>
      </c>
      <c r="C1324" t="s">
        <v>2935</v>
      </c>
      <c r="D1324" t="s">
        <v>2912</v>
      </c>
      <c r="F1324">
        <v>2599227524</v>
      </c>
      <c r="G1324">
        <v>2377164954</v>
      </c>
      <c r="H1324">
        <v>1494187401</v>
      </c>
      <c r="I1324">
        <v>1240069488</v>
      </c>
      <c r="J1324">
        <v>964392986</v>
      </c>
      <c r="P1324">
        <v>98</v>
      </c>
      <c r="Q1324" t="s">
        <v>2936</v>
      </c>
    </row>
    <row r="1325" spans="1:17" x14ac:dyDescent="0.3">
      <c r="A1325" t="s">
        <v>17</v>
      </c>
      <c r="B1325" t="str">
        <f>"603416"</f>
        <v>603416</v>
      </c>
      <c r="C1325" t="s">
        <v>2937</v>
      </c>
      <c r="D1325" t="s">
        <v>2938</v>
      </c>
      <c r="F1325">
        <v>1775967424</v>
      </c>
      <c r="G1325">
        <v>1511899969</v>
      </c>
      <c r="H1325">
        <v>1202243935</v>
      </c>
      <c r="I1325">
        <v>1059816975</v>
      </c>
      <c r="J1325">
        <v>931130552</v>
      </c>
      <c r="K1325">
        <v>825319547</v>
      </c>
      <c r="L1325">
        <v>328750023</v>
      </c>
      <c r="M1325">
        <v>264526146</v>
      </c>
      <c r="N1325">
        <v>197405267</v>
      </c>
      <c r="P1325">
        <v>325</v>
      </c>
      <c r="Q1325" t="s">
        <v>2939</v>
      </c>
    </row>
    <row r="1326" spans="1:17" x14ac:dyDescent="0.3">
      <c r="A1326" t="s">
        <v>17</v>
      </c>
      <c r="B1326" t="str">
        <f>"603421"</f>
        <v>603421</v>
      </c>
      <c r="C1326" t="s">
        <v>2940</v>
      </c>
      <c r="D1326" t="s">
        <v>1019</v>
      </c>
      <c r="F1326">
        <v>3252731697</v>
      </c>
      <c r="G1326">
        <v>3156828745</v>
      </c>
      <c r="H1326">
        <v>3016799633</v>
      </c>
      <c r="I1326">
        <v>2511583224</v>
      </c>
      <c r="J1326">
        <v>2115095798</v>
      </c>
      <c r="K1326">
        <v>1937045248</v>
      </c>
      <c r="L1326">
        <v>1069037092</v>
      </c>
      <c r="M1326">
        <v>848583758</v>
      </c>
      <c r="N1326">
        <v>523169190</v>
      </c>
      <c r="P1326">
        <v>138</v>
      </c>
      <c r="Q1326" t="s">
        <v>2941</v>
      </c>
    </row>
    <row r="1327" spans="1:17" x14ac:dyDescent="0.3">
      <c r="A1327" t="s">
        <v>17</v>
      </c>
      <c r="B1327" t="str">
        <f>"603429"</f>
        <v>603429</v>
      </c>
      <c r="C1327" t="s">
        <v>2942</v>
      </c>
      <c r="D1327" t="s">
        <v>2165</v>
      </c>
      <c r="F1327">
        <v>1297928804</v>
      </c>
      <c r="G1327">
        <v>1205881011</v>
      </c>
      <c r="H1327">
        <v>1173835129</v>
      </c>
      <c r="I1327">
        <v>620081240</v>
      </c>
      <c r="J1327">
        <v>531871602</v>
      </c>
      <c r="K1327">
        <v>203300100</v>
      </c>
      <c r="L1327">
        <v>149983800</v>
      </c>
      <c r="M1327">
        <v>132946238</v>
      </c>
      <c r="N1327">
        <v>93739928</v>
      </c>
      <c r="P1327">
        <v>368</v>
      </c>
      <c r="Q1327" t="s">
        <v>2943</v>
      </c>
    </row>
    <row r="1328" spans="1:17" x14ac:dyDescent="0.3">
      <c r="A1328" t="s">
        <v>17</v>
      </c>
      <c r="B1328" t="str">
        <f>"603439"</f>
        <v>603439</v>
      </c>
      <c r="C1328" t="s">
        <v>2944</v>
      </c>
      <c r="D1328" t="s">
        <v>188</v>
      </c>
      <c r="F1328">
        <v>1031458114</v>
      </c>
      <c r="G1328">
        <v>981892812</v>
      </c>
      <c r="H1328">
        <v>651098964</v>
      </c>
      <c r="I1328">
        <v>518017417</v>
      </c>
      <c r="J1328">
        <v>473355294</v>
      </c>
      <c r="P1328">
        <v>293</v>
      </c>
      <c r="Q1328" t="s">
        <v>2945</v>
      </c>
    </row>
    <row r="1329" spans="1:17" x14ac:dyDescent="0.3">
      <c r="A1329" t="s">
        <v>17</v>
      </c>
      <c r="B1329" t="str">
        <f>"603444"</f>
        <v>603444</v>
      </c>
      <c r="C1329" t="s">
        <v>2946</v>
      </c>
      <c r="D1329" t="s">
        <v>517</v>
      </c>
      <c r="F1329">
        <v>4580137504</v>
      </c>
      <c r="G1329">
        <v>3802961389</v>
      </c>
      <c r="H1329">
        <v>3070989468</v>
      </c>
      <c r="I1329">
        <v>2906972949</v>
      </c>
      <c r="J1329">
        <v>2302029943</v>
      </c>
      <c r="K1329">
        <v>1926468936</v>
      </c>
      <c r="L1329">
        <v>482727358</v>
      </c>
      <c r="M1329">
        <v>337442869</v>
      </c>
      <c r="N1329">
        <v>203996817</v>
      </c>
      <c r="P1329">
        <v>4237</v>
      </c>
      <c r="Q1329" t="s">
        <v>2947</v>
      </c>
    </row>
    <row r="1330" spans="1:17" x14ac:dyDescent="0.3">
      <c r="A1330" t="s">
        <v>17</v>
      </c>
      <c r="B1330" t="str">
        <f>"603456"</f>
        <v>603456</v>
      </c>
      <c r="C1330" t="s">
        <v>2948</v>
      </c>
      <c r="D1330" t="s">
        <v>1461</v>
      </c>
      <c r="F1330">
        <v>4577129753</v>
      </c>
      <c r="G1330">
        <v>3083208396</v>
      </c>
      <c r="H1330">
        <v>2854625533</v>
      </c>
      <c r="I1330">
        <v>2773577859</v>
      </c>
      <c r="J1330">
        <v>2675103831</v>
      </c>
      <c r="K1330">
        <v>2560106224</v>
      </c>
      <c r="L1330">
        <v>2515759566</v>
      </c>
      <c r="M1330">
        <v>1580839904</v>
      </c>
      <c r="N1330">
        <v>732595005</v>
      </c>
      <c r="O1330">
        <v>592591016</v>
      </c>
      <c r="P1330">
        <v>453</v>
      </c>
      <c r="Q1330" t="s">
        <v>2949</v>
      </c>
    </row>
    <row r="1331" spans="1:17" x14ac:dyDescent="0.3">
      <c r="A1331" t="s">
        <v>17</v>
      </c>
      <c r="B1331" t="str">
        <f>"603458"</f>
        <v>603458</v>
      </c>
      <c r="C1331" t="s">
        <v>2950</v>
      </c>
      <c r="D1331" t="s">
        <v>1272</v>
      </c>
      <c r="F1331">
        <v>3303691838</v>
      </c>
      <c r="G1331">
        <v>3036179578</v>
      </c>
      <c r="H1331">
        <v>2627456224</v>
      </c>
      <c r="I1331">
        <v>2228797965</v>
      </c>
      <c r="J1331">
        <v>1958302529</v>
      </c>
      <c r="K1331">
        <v>811469010</v>
      </c>
      <c r="L1331">
        <v>686970219</v>
      </c>
      <c r="M1331">
        <v>602345479</v>
      </c>
      <c r="P1331">
        <v>474</v>
      </c>
      <c r="Q1331" t="s">
        <v>2951</v>
      </c>
    </row>
    <row r="1332" spans="1:17" x14ac:dyDescent="0.3">
      <c r="A1332" t="s">
        <v>17</v>
      </c>
      <c r="B1332" t="str">
        <f>"603466"</f>
        <v>603466</v>
      </c>
      <c r="C1332" t="s">
        <v>2952</v>
      </c>
      <c r="D1332" t="s">
        <v>2953</v>
      </c>
      <c r="F1332">
        <v>2294491204</v>
      </c>
      <c r="G1332">
        <v>1972578151</v>
      </c>
      <c r="H1332">
        <v>1669620867</v>
      </c>
      <c r="I1332">
        <v>1402803586</v>
      </c>
      <c r="J1332">
        <v>1290256235</v>
      </c>
      <c r="K1332">
        <v>573824460</v>
      </c>
      <c r="L1332">
        <v>461241683</v>
      </c>
      <c r="M1332">
        <v>284065964</v>
      </c>
      <c r="P1332">
        <v>406</v>
      </c>
      <c r="Q1332" t="s">
        <v>2954</v>
      </c>
    </row>
    <row r="1333" spans="1:17" x14ac:dyDescent="0.3">
      <c r="A1333" t="s">
        <v>17</v>
      </c>
      <c r="B1333" t="str">
        <f>"603477"</f>
        <v>603477</v>
      </c>
      <c r="C1333" t="s">
        <v>2955</v>
      </c>
      <c r="D1333" t="s">
        <v>2956</v>
      </c>
      <c r="F1333">
        <v>3288925918</v>
      </c>
      <c r="G1333">
        <v>2659804487</v>
      </c>
      <c r="H1333">
        <v>852252293</v>
      </c>
      <c r="I1333">
        <v>831347200</v>
      </c>
      <c r="J1333">
        <v>798721784</v>
      </c>
      <c r="K1333">
        <v>431277261</v>
      </c>
      <c r="L1333">
        <v>370033394</v>
      </c>
      <c r="M1333">
        <v>183942397</v>
      </c>
      <c r="P1333">
        <v>134</v>
      </c>
      <c r="Q1333" t="s">
        <v>2957</v>
      </c>
    </row>
    <row r="1334" spans="1:17" x14ac:dyDescent="0.3">
      <c r="A1334" t="s">
        <v>17</v>
      </c>
      <c r="B1334" t="str">
        <f>"603486"</f>
        <v>603486</v>
      </c>
      <c r="C1334" t="s">
        <v>2958</v>
      </c>
      <c r="D1334" t="s">
        <v>2720</v>
      </c>
      <c r="F1334">
        <v>4976330043</v>
      </c>
      <c r="G1334">
        <v>3101097517</v>
      </c>
      <c r="H1334">
        <v>2476292185</v>
      </c>
      <c r="I1334">
        <v>2488386522</v>
      </c>
      <c r="J1334">
        <v>1255899355</v>
      </c>
      <c r="K1334">
        <v>879412620</v>
      </c>
      <c r="L1334">
        <v>572324264</v>
      </c>
      <c r="P1334">
        <v>833</v>
      </c>
      <c r="Q1334" t="s">
        <v>2959</v>
      </c>
    </row>
    <row r="1335" spans="1:17" x14ac:dyDescent="0.3">
      <c r="A1335" t="s">
        <v>17</v>
      </c>
      <c r="B1335" t="str">
        <f>"603488"</f>
        <v>603488</v>
      </c>
      <c r="C1335" t="s">
        <v>2960</v>
      </c>
      <c r="D1335" t="s">
        <v>1691</v>
      </c>
      <c r="F1335">
        <v>980037115</v>
      </c>
      <c r="G1335">
        <v>933495795</v>
      </c>
      <c r="H1335">
        <v>887110314</v>
      </c>
      <c r="I1335">
        <v>835542970</v>
      </c>
      <c r="J1335">
        <v>799327022</v>
      </c>
      <c r="K1335">
        <v>403611545</v>
      </c>
      <c r="L1335">
        <v>368527310</v>
      </c>
      <c r="M1335">
        <v>325098295</v>
      </c>
      <c r="P1335">
        <v>64</v>
      </c>
      <c r="Q1335" t="s">
        <v>2961</v>
      </c>
    </row>
    <row r="1336" spans="1:17" x14ac:dyDescent="0.3">
      <c r="A1336" t="s">
        <v>17</v>
      </c>
      <c r="B1336" t="str">
        <f>"603489"</f>
        <v>603489</v>
      </c>
      <c r="C1336" t="s">
        <v>2962</v>
      </c>
      <c r="D1336" t="s">
        <v>1171</v>
      </c>
      <c r="F1336">
        <v>2675109586</v>
      </c>
      <c r="G1336">
        <v>2302888130</v>
      </c>
      <c r="H1336">
        <v>1982718959</v>
      </c>
      <c r="I1336">
        <v>461315073</v>
      </c>
      <c r="J1336">
        <v>268955160</v>
      </c>
      <c r="K1336">
        <v>173719208</v>
      </c>
      <c r="P1336">
        <v>490</v>
      </c>
      <c r="Q1336" t="s">
        <v>2963</v>
      </c>
    </row>
    <row r="1337" spans="1:17" x14ac:dyDescent="0.3">
      <c r="A1337" t="s">
        <v>17</v>
      </c>
      <c r="B1337" t="str">
        <f>"603496"</f>
        <v>603496</v>
      </c>
      <c r="C1337" t="s">
        <v>2964</v>
      </c>
      <c r="D1337" t="s">
        <v>236</v>
      </c>
      <c r="F1337">
        <v>1174204312</v>
      </c>
      <c r="G1337">
        <v>815167931</v>
      </c>
      <c r="H1337">
        <v>801350236</v>
      </c>
      <c r="I1337">
        <v>751345033</v>
      </c>
      <c r="J1337">
        <v>655295077</v>
      </c>
      <c r="K1337">
        <v>272158693</v>
      </c>
      <c r="L1337">
        <v>218137214</v>
      </c>
      <c r="M1337">
        <v>173809088</v>
      </c>
      <c r="P1337">
        <v>194</v>
      </c>
      <c r="Q1337" t="s">
        <v>2965</v>
      </c>
    </row>
    <row r="1338" spans="1:17" x14ac:dyDescent="0.3">
      <c r="A1338" t="s">
        <v>17</v>
      </c>
      <c r="B1338" t="str">
        <f>"603499"</f>
        <v>603499</v>
      </c>
      <c r="C1338" t="s">
        <v>2966</v>
      </c>
      <c r="D1338" t="s">
        <v>2165</v>
      </c>
      <c r="F1338">
        <v>557893248</v>
      </c>
      <c r="G1338">
        <v>572221599</v>
      </c>
      <c r="H1338">
        <v>537346164</v>
      </c>
      <c r="I1338">
        <v>537666072</v>
      </c>
      <c r="J1338">
        <v>506427889</v>
      </c>
      <c r="K1338">
        <v>258194046</v>
      </c>
      <c r="L1338">
        <v>212922602</v>
      </c>
      <c r="M1338">
        <v>199233751</v>
      </c>
      <c r="P1338">
        <v>83</v>
      </c>
      <c r="Q1338" t="s">
        <v>2967</v>
      </c>
    </row>
    <row r="1339" spans="1:17" x14ac:dyDescent="0.3">
      <c r="A1339" t="s">
        <v>17</v>
      </c>
      <c r="B1339" t="str">
        <f>"603500"</f>
        <v>603500</v>
      </c>
      <c r="C1339" t="s">
        <v>2968</v>
      </c>
      <c r="D1339" t="s">
        <v>1012</v>
      </c>
      <c r="F1339">
        <v>875883461</v>
      </c>
      <c r="G1339">
        <v>849337037</v>
      </c>
      <c r="H1339">
        <v>895825356</v>
      </c>
      <c r="I1339">
        <v>842601085</v>
      </c>
      <c r="J1339">
        <v>785426422</v>
      </c>
      <c r="K1339">
        <v>361087072</v>
      </c>
      <c r="L1339">
        <v>291963917</v>
      </c>
      <c r="M1339">
        <v>207140778</v>
      </c>
      <c r="P1339">
        <v>91</v>
      </c>
      <c r="Q1339" t="s">
        <v>2969</v>
      </c>
    </row>
    <row r="1340" spans="1:17" x14ac:dyDescent="0.3">
      <c r="A1340" t="s">
        <v>17</v>
      </c>
      <c r="B1340" t="str">
        <f>"603501"</f>
        <v>603501</v>
      </c>
      <c r="C1340" t="s">
        <v>2970</v>
      </c>
      <c r="D1340" t="s">
        <v>461</v>
      </c>
      <c r="F1340">
        <v>15965197161</v>
      </c>
      <c r="G1340">
        <v>11238642949</v>
      </c>
      <c r="H1340">
        <v>7926394295</v>
      </c>
      <c r="I1340">
        <v>1635555967</v>
      </c>
      <c r="J1340">
        <v>1179764416</v>
      </c>
      <c r="K1340">
        <v>808758019</v>
      </c>
      <c r="L1340">
        <v>642296249</v>
      </c>
      <c r="M1340">
        <v>519649444</v>
      </c>
      <c r="P1340">
        <v>2200</v>
      </c>
      <c r="Q1340" t="s">
        <v>2971</v>
      </c>
    </row>
    <row r="1341" spans="1:17" x14ac:dyDescent="0.3">
      <c r="A1341" t="s">
        <v>17</v>
      </c>
      <c r="B1341" t="str">
        <f>"603505"</f>
        <v>603505</v>
      </c>
      <c r="C1341" t="s">
        <v>2972</v>
      </c>
      <c r="D1341" t="s">
        <v>375</v>
      </c>
      <c r="F1341">
        <v>1286919095</v>
      </c>
      <c r="G1341">
        <v>1081499148</v>
      </c>
      <c r="H1341">
        <v>1000361045</v>
      </c>
      <c r="I1341">
        <v>841043189</v>
      </c>
      <c r="J1341">
        <v>726589529</v>
      </c>
      <c r="K1341">
        <v>468362454</v>
      </c>
      <c r="L1341">
        <v>417606838</v>
      </c>
      <c r="M1341">
        <v>383099622</v>
      </c>
      <c r="P1341">
        <v>325</v>
      </c>
      <c r="Q1341" t="s">
        <v>2973</v>
      </c>
    </row>
    <row r="1342" spans="1:17" x14ac:dyDescent="0.3">
      <c r="A1342" t="s">
        <v>17</v>
      </c>
      <c r="B1342" t="str">
        <f>"603506"</f>
        <v>603506</v>
      </c>
      <c r="C1342" t="s">
        <v>2974</v>
      </c>
      <c r="D1342" t="s">
        <v>2975</v>
      </c>
      <c r="F1342">
        <v>947068872</v>
      </c>
      <c r="G1342">
        <v>825681846</v>
      </c>
      <c r="H1342">
        <v>721876845</v>
      </c>
      <c r="I1342">
        <v>638859312</v>
      </c>
      <c r="J1342">
        <v>283374124</v>
      </c>
      <c r="K1342">
        <v>236541709</v>
      </c>
      <c r="L1342">
        <v>69576930</v>
      </c>
      <c r="M1342">
        <v>107510953</v>
      </c>
      <c r="P1342">
        <v>355</v>
      </c>
      <c r="Q1342" t="s">
        <v>2976</v>
      </c>
    </row>
    <row r="1343" spans="1:17" x14ac:dyDescent="0.3">
      <c r="A1343" t="s">
        <v>17</v>
      </c>
      <c r="B1343" t="str">
        <f>"603507"</f>
        <v>603507</v>
      </c>
      <c r="C1343" t="s">
        <v>2977</v>
      </c>
      <c r="D1343" t="s">
        <v>950</v>
      </c>
      <c r="F1343">
        <v>1616342682</v>
      </c>
      <c r="G1343">
        <v>1431227550</v>
      </c>
      <c r="H1343">
        <v>1402421629</v>
      </c>
      <c r="I1343">
        <v>1402800243</v>
      </c>
      <c r="J1343">
        <v>1374160692</v>
      </c>
      <c r="K1343">
        <v>523434801</v>
      </c>
      <c r="L1343">
        <v>378793743</v>
      </c>
      <c r="M1343">
        <v>141724855</v>
      </c>
      <c r="P1343">
        <v>135</v>
      </c>
      <c r="Q1343" t="s">
        <v>2978</v>
      </c>
    </row>
    <row r="1344" spans="1:17" x14ac:dyDescent="0.3">
      <c r="A1344" t="s">
        <v>17</v>
      </c>
      <c r="B1344" t="str">
        <f>"603508"</f>
        <v>603508</v>
      </c>
      <c r="C1344" t="s">
        <v>2979</v>
      </c>
      <c r="D1344" t="s">
        <v>2980</v>
      </c>
      <c r="F1344">
        <v>4209562885</v>
      </c>
      <c r="G1344">
        <v>3849462233</v>
      </c>
      <c r="H1344">
        <v>4370371095</v>
      </c>
      <c r="I1344">
        <v>2667742142</v>
      </c>
      <c r="J1344">
        <v>2544768375</v>
      </c>
      <c r="K1344">
        <v>2448100672</v>
      </c>
      <c r="L1344">
        <v>2288242493</v>
      </c>
      <c r="M1344">
        <v>769397795</v>
      </c>
      <c r="N1344">
        <v>530942215</v>
      </c>
      <c r="O1344">
        <v>378028309</v>
      </c>
      <c r="P1344">
        <v>219</v>
      </c>
      <c r="Q1344" t="s">
        <v>2981</v>
      </c>
    </row>
    <row r="1345" spans="1:17" x14ac:dyDescent="0.3">
      <c r="A1345" t="s">
        <v>17</v>
      </c>
      <c r="B1345" t="str">
        <f>"603511"</f>
        <v>603511</v>
      </c>
      <c r="C1345" t="s">
        <v>2982</v>
      </c>
      <c r="D1345" t="s">
        <v>330</v>
      </c>
      <c r="F1345">
        <v>4371151662</v>
      </c>
      <c r="G1345">
        <v>3447083249</v>
      </c>
      <c r="H1345">
        <v>3024496810</v>
      </c>
      <c r="I1345">
        <v>2869164803</v>
      </c>
      <c r="J1345">
        <v>2583644109</v>
      </c>
      <c r="P1345">
        <v>47</v>
      </c>
      <c r="Q1345" t="s">
        <v>2983</v>
      </c>
    </row>
    <row r="1346" spans="1:17" x14ac:dyDescent="0.3">
      <c r="A1346" t="s">
        <v>17</v>
      </c>
      <c r="B1346" t="str">
        <f>"603515"</f>
        <v>603515</v>
      </c>
      <c r="C1346" t="s">
        <v>2984</v>
      </c>
      <c r="D1346" t="s">
        <v>598</v>
      </c>
      <c r="F1346">
        <v>5786894015</v>
      </c>
      <c r="G1346">
        <v>5249115406</v>
      </c>
      <c r="H1346">
        <v>5015532810</v>
      </c>
      <c r="I1346">
        <v>4337272763</v>
      </c>
      <c r="J1346">
        <v>3634387746</v>
      </c>
      <c r="K1346">
        <v>3131561977</v>
      </c>
      <c r="L1346">
        <v>1816421050</v>
      </c>
      <c r="M1346">
        <v>1592118836</v>
      </c>
      <c r="N1346">
        <v>1508005780</v>
      </c>
      <c r="P1346">
        <v>2557</v>
      </c>
      <c r="Q1346" t="s">
        <v>2985</v>
      </c>
    </row>
    <row r="1347" spans="1:17" x14ac:dyDescent="0.3">
      <c r="A1347" t="s">
        <v>17</v>
      </c>
      <c r="B1347" t="str">
        <f>"603516"</f>
        <v>603516</v>
      </c>
      <c r="C1347" t="s">
        <v>2986</v>
      </c>
      <c r="D1347" t="s">
        <v>236</v>
      </c>
      <c r="F1347">
        <v>990666030</v>
      </c>
      <c r="G1347">
        <v>950538480</v>
      </c>
      <c r="H1347">
        <v>832623674</v>
      </c>
      <c r="I1347">
        <v>756289125</v>
      </c>
      <c r="J1347">
        <v>291625919</v>
      </c>
      <c r="K1347">
        <v>241416441</v>
      </c>
      <c r="L1347">
        <v>145573199</v>
      </c>
      <c r="M1347">
        <v>99884079</v>
      </c>
      <c r="P1347">
        <v>202</v>
      </c>
      <c r="Q1347" t="s">
        <v>2987</v>
      </c>
    </row>
    <row r="1348" spans="1:17" x14ac:dyDescent="0.3">
      <c r="A1348" t="s">
        <v>17</v>
      </c>
      <c r="B1348" t="str">
        <f>"603517"</f>
        <v>603517</v>
      </c>
      <c r="C1348" t="s">
        <v>2988</v>
      </c>
      <c r="D1348" t="s">
        <v>2989</v>
      </c>
      <c r="F1348">
        <v>5702348655</v>
      </c>
      <c r="G1348">
        <v>4964019651</v>
      </c>
      <c r="H1348">
        <v>4567200068</v>
      </c>
      <c r="I1348">
        <v>3024532481</v>
      </c>
      <c r="J1348">
        <v>2571727071</v>
      </c>
      <c r="K1348">
        <v>1465309249</v>
      </c>
      <c r="L1348">
        <v>1182205603</v>
      </c>
      <c r="M1348">
        <v>960589293</v>
      </c>
      <c r="N1348">
        <v>787251047</v>
      </c>
      <c r="P1348">
        <v>2367</v>
      </c>
      <c r="Q1348" t="s">
        <v>2990</v>
      </c>
    </row>
    <row r="1349" spans="1:17" x14ac:dyDescent="0.3">
      <c r="A1349" t="s">
        <v>17</v>
      </c>
      <c r="B1349" t="str">
        <f>"603518"</f>
        <v>603518</v>
      </c>
      <c r="C1349" t="s">
        <v>2991</v>
      </c>
      <c r="D1349" t="s">
        <v>255</v>
      </c>
      <c r="F1349">
        <v>2518408167</v>
      </c>
      <c r="G1349">
        <v>1842487068</v>
      </c>
      <c r="H1349">
        <v>2485131755</v>
      </c>
      <c r="I1349">
        <v>2416294666</v>
      </c>
      <c r="J1349">
        <v>1640838864</v>
      </c>
      <c r="K1349">
        <v>1459727292</v>
      </c>
      <c r="L1349">
        <v>1376361273</v>
      </c>
      <c r="M1349">
        <v>1286471194</v>
      </c>
      <c r="N1349">
        <v>511186456</v>
      </c>
      <c r="O1349">
        <v>395603875</v>
      </c>
      <c r="P1349">
        <v>204</v>
      </c>
      <c r="Q1349" t="s">
        <v>2992</v>
      </c>
    </row>
    <row r="1350" spans="1:17" x14ac:dyDescent="0.3">
      <c r="A1350" t="s">
        <v>17</v>
      </c>
      <c r="B1350" t="str">
        <f>"603519"</f>
        <v>603519</v>
      </c>
      <c r="C1350" t="s">
        <v>2993</v>
      </c>
      <c r="D1350" t="s">
        <v>1253</v>
      </c>
      <c r="F1350">
        <v>826273159</v>
      </c>
      <c r="G1350">
        <v>760810101</v>
      </c>
      <c r="H1350">
        <v>731747570</v>
      </c>
      <c r="I1350">
        <v>713349454</v>
      </c>
      <c r="J1350">
        <v>723248781</v>
      </c>
      <c r="K1350">
        <v>687764456</v>
      </c>
      <c r="L1350">
        <v>655222343</v>
      </c>
      <c r="M1350">
        <v>381375634</v>
      </c>
      <c r="N1350">
        <v>326546416</v>
      </c>
      <c r="O1350">
        <v>277282576</v>
      </c>
      <c r="P1350">
        <v>148</v>
      </c>
      <c r="Q1350" t="s">
        <v>2994</v>
      </c>
    </row>
    <row r="1351" spans="1:17" x14ac:dyDescent="0.3">
      <c r="A1351" t="s">
        <v>17</v>
      </c>
      <c r="B1351" t="str">
        <f>"603520"</f>
        <v>603520</v>
      </c>
      <c r="C1351" t="s">
        <v>2995</v>
      </c>
      <c r="D1351" t="s">
        <v>496</v>
      </c>
      <c r="F1351">
        <v>2174978009</v>
      </c>
      <c r="G1351">
        <v>1823503185</v>
      </c>
      <c r="H1351">
        <v>995797454</v>
      </c>
      <c r="I1351">
        <v>891039579</v>
      </c>
      <c r="J1351">
        <v>857183067</v>
      </c>
      <c r="K1351">
        <v>810066093</v>
      </c>
      <c r="L1351">
        <v>440533553</v>
      </c>
      <c r="M1351">
        <v>421089435</v>
      </c>
      <c r="N1351">
        <v>380385227</v>
      </c>
      <c r="O1351">
        <v>330227483</v>
      </c>
      <c r="P1351">
        <v>382</v>
      </c>
      <c r="Q1351" t="s">
        <v>2996</v>
      </c>
    </row>
    <row r="1352" spans="1:17" x14ac:dyDescent="0.3">
      <c r="A1352" t="s">
        <v>17</v>
      </c>
      <c r="B1352" t="str">
        <f>"603527"</f>
        <v>603527</v>
      </c>
      <c r="C1352" t="s">
        <v>2997</v>
      </c>
      <c r="D1352" t="s">
        <v>263</v>
      </c>
      <c r="F1352">
        <v>1054940297</v>
      </c>
      <c r="G1352">
        <v>948371136</v>
      </c>
      <c r="H1352">
        <v>925229119</v>
      </c>
      <c r="I1352">
        <v>868640706</v>
      </c>
      <c r="J1352">
        <v>806679672</v>
      </c>
      <c r="K1352">
        <v>377435085</v>
      </c>
      <c r="L1352">
        <v>320924952</v>
      </c>
      <c r="M1352">
        <v>236258776</v>
      </c>
      <c r="P1352">
        <v>53</v>
      </c>
      <c r="Q1352" t="s">
        <v>2998</v>
      </c>
    </row>
    <row r="1353" spans="1:17" x14ac:dyDescent="0.3">
      <c r="A1353" t="s">
        <v>17</v>
      </c>
      <c r="B1353" t="str">
        <f>"603528"</f>
        <v>603528</v>
      </c>
      <c r="C1353" t="s">
        <v>2999</v>
      </c>
      <c r="D1353" t="s">
        <v>945</v>
      </c>
      <c r="F1353">
        <v>1452884646</v>
      </c>
      <c r="G1353">
        <v>1639192596</v>
      </c>
      <c r="H1353">
        <v>1599560009</v>
      </c>
      <c r="I1353">
        <v>1472515707</v>
      </c>
      <c r="J1353">
        <v>1362754590</v>
      </c>
      <c r="K1353">
        <v>1364163956</v>
      </c>
      <c r="L1353">
        <v>635574718</v>
      </c>
      <c r="M1353">
        <v>424215641</v>
      </c>
      <c r="N1353">
        <v>291337136</v>
      </c>
      <c r="P1353">
        <v>195</v>
      </c>
      <c r="Q1353" t="s">
        <v>3000</v>
      </c>
    </row>
    <row r="1354" spans="1:17" x14ac:dyDescent="0.3">
      <c r="A1354" t="s">
        <v>17</v>
      </c>
      <c r="B1354" t="str">
        <f>"603529"</f>
        <v>603529</v>
      </c>
      <c r="C1354" t="s">
        <v>3001</v>
      </c>
      <c r="D1354" t="s">
        <v>233</v>
      </c>
      <c r="F1354">
        <v>4974827391</v>
      </c>
      <c r="G1354">
        <v>2629761352</v>
      </c>
      <c r="H1354">
        <v>2033834832</v>
      </c>
      <c r="I1354">
        <v>1511401984</v>
      </c>
      <c r="J1354">
        <v>1048782835</v>
      </c>
      <c r="K1354">
        <v>1012672284</v>
      </c>
      <c r="P1354">
        <v>73</v>
      </c>
      <c r="Q1354" t="s">
        <v>3002</v>
      </c>
    </row>
    <row r="1355" spans="1:17" x14ac:dyDescent="0.3">
      <c r="A1355" t="s">
        <v>17</v>
      </c>
      <c r="B1355" t="str">
        <f>"603530"</f>
        <v>603530</v>
      </c>
      <c r="C1355" t="s">
        <v>3003</v>
      </c>
      <c r="D1355" t="s">
        <v>1164</v>
      </c>
      <c r="F1355">
        <v>1584860979</v>
      </c>
      <c r="G1355">
        <v>1118012565</v>
      </c>
      <c r="H1355">
        <v>1075322764</v>
      </c>
      <c r="I1355">
        <v>741748730</v>
      </c>
      <c r="J1355">
        <v>620194654</v>
      </c>
      <c r="K1355">
        <v>505858251</v>
      </c>
      <c r="P1355">
        <v>88</v>
      </c>
      <c r="Q1355" t="s">
        <v>3004</v>
      </c>
    </row>
    <row r="1356" spans="1:17" x14ac:dyDescent="0.3">
      <c r="A1356" t="s">
        <v>17</v>
      </c>
      <c r="B1356" t="str">
        <f>"603533"</f>
        <v>603533</v>
      </c>
      <c r="C1356" t="s">
        <v>3005</v>
      </c>
      <c r="D1356" t="s">
        <v>3006</v>
      </c>
      <c r="F1356">
        <v>2536519773</v>
      </c>
      <c r="G1356">
        <v>1438673333</v>
      </c>
      <c r="H1356">
        <v>1240683659</v>
      </c>
      <c r="I1356">
        <v>1113099889</v>
      </c>
      <c r="J1356">
        <v>987614495</v>
      </c>
      <c r="K1356">
        <v>730476563</v>
      </c>
      <c r="L1356">
        <v>653452665</v>
      </c>
      <c r="M1356">
        <v>136727179</v>
      </c>
      <c r="P1356">
        <v>872</v>
      </c>
      <c r="Q1356" t="s">
        <v>3007</v>
      </c>
    </row>
    <row r="1357" spans="1:17" x14ac:dyDescent="0.3">
      <c r="A1357" t="s">
        <v>17</v>
      </c>
      <c r="B1357" t="str">
        <f>"603535"</f>
        <v>603535</v>
      </c>
      <c r="C1357" t="s">
        <v>3008</v>
      </c>
      <c r="D1357" t="s">
        <v>287</v>
      </c>
      <c r="F1357">
        <v>2035760943</v>
      </c>
      <c r="G1357">
        <v>1741763875</v>
      </c>
      <c r="H1357">
        <v>1596229197</v>
      </c>
      <c r="I1357">
        <v>1486365098</v>
      </c>
      <c r="J1357">
        <v>1378781793</v>
      </c>
      <c r="K1357">
        <v>732800912</v>
      </c>
      <c r="L1357">
        <v>625642102</v>
      </c>
      <c r="M1357">
        <v>548462800</v>
      </c>
      <c r="P1357">
        <v>85</v>
      </c>
      <c r="Q1357" t="s">
        <v>3009</v>
      </c>
    </row>
    <row r="1358" spans="1:17" x14ac:dyDescent="0.3">
      <c r="A1358" t="s">
        <v>17</v>
      </c>
      <c r="B1358" t="str">
        <f>"603536"</f>
        <v>603536</v>
      </c>
      <c r="C1358" t="s">
        <v>3010</v>
      </c>
      <c r="D1358" t="s">
        <v>2865</v>
      </c>
      <c r="F1358">
        <v>590705141</v>
      </c>
      <c r="G1358">
        <v>670338314</v>
      </c>
      <c r="H1358">
        <v>644531488</v>
      </c>
      <c r="I1358">
        <v>659554706</v>
      </c>
      <c r="J1358">
        <v>644093894</v>
      </c>
      <c r="K1358">
        <v>408396180</v>
      </c>
      <c r="L1358">
        <v>375006703</v>
      </c>
      <c r="M1358">
        <v>344124841</v>
      </c>
      <c r="P1358">
        <v>125</v>
      </c>
      <c r="Q1358" t="s">
        <v>3011</v>
      </c>
    </row>
    <row r="1359" spans="1:17" x14ac:dyDescent="0.3">
      <c r="A1359" t="s">
        <v>17</v>
      </c>
      <c r="B1359" t="str">
        <f>"603538"</f>
        <v>603538</v>
      </c>
      <c r="C1359" t="s">
        <v>3012</v>
      </c>
      <c r="D1359" t="s">
        <v>496</v>
      </c>
      <c r="F1359">
        <v>1677770896</v>
      </c>
      <c r="G1359">
        <v>1551721201</v>
      </c>
      <c r="H1359">
        <v>1364142101</v>
      </c>
      <c r="I1359">
        <v>1197153949</v>
      </c>
      <c r="J1359">
        <v>1116293157</v>
      </c>
      <c r="K1359">
        <v>690077175</v>
      </c>
      <c r="L1359">
        <v>611155380</v>
      </c>
      <c r="M1359">
        <v>535042573</v>
      </c>
      <c r="P1359">
        <v>265</v>
      </c>
      <c r="Q1359" t="s">
        <v>3013</v>
      </c>
    </row>
    <row r="1360" spans="1:17" x14ac:dyDescent="0.3">
      <c r="A1360" t="s">
        <v>17</v>
      </c>
      <c r="B1360" t="str">
        <f>"603551"</f>
        <v>603551</v>
      </c>
      <c r="C1360" t="s">
        <v>3014</v>
      </c>
      <c r="D1360" t="s">
        <v>2892</v>
      </c>
      <c r="F1360">
        <v>1611153970</v>
      </c>
      <c r="G1360">
        <v>1777043326</v>
      </c>
      <c r="H1360">
        <v>1188259886</v>
      </c>
      <c r="I1360">
        <v>988783043</v>
      </c>
      <c r="J1360">
        <v>776485690</v>
      </c>
      <c r="K1360">
        <v>765991980</v>
      </c>
      <c r="P1360">
        <v>116</v>
      </c>
      <c r="Q1360" t="s">
        <v>3015</v>
      </c>
    </row>
    <row r="1361" spans="1:17" x14ac:dyDescent="0.3">
      <c r="A1361" t="s">
        <v>17</v>
      </c>
      <c r="B1361" t="str">
        <f>"603555"</f>
        <v>603555</v>
      </c>
      <c r="C1361" t="s">
        <v>3016</v>
      </c>
      <c r="D1361" t="s">
        <v>3017</v>
      </c>
      <c r="F1361">
        <v>1825391906</v>
      </c>
      <c r="G1361">
        <v>10294207</v>
      </c>
      <c r="H1361">
        <v>411524757</v>
      </c>
      <c r="I1361">
        <v>1529693374</v>
      </c>
      <c r="J1361">
        <v>2327188211</v>
      </c>
      <c r="K1361">
        <v>2787896663</v>
      </c>
      <c r="L1361">
        <v>2384452128</v>
      </c>
      <c r="M1361">
        <v>2235723441</v>
      </c>
      <c r="N1361">
        <v>1317882994</v>
      </c>
      <c r="O1361">
        <v>1288143080</v>
      </c>
      <c r="P1361">
        <v>81</v>
      </c>
      <c r="Q1361" t="s">
        <v>3018</v>
      </c>
    </row>
    <row r="1362" spans="1:17" x14ac:dyDescent="0.3">
      <c r="A1362" t="s">
        <v>17</v>
      </c>
      <c r="B1362" t="str">
        <f>"603556"</f>
        <v>603556</v>
      </c>
      <c r="C1362" t="s">
        <v>3019</v>
      </c>
      <c r="D1362" t="s">
        <v>2180</v>
      </c>
      <c r="F1362">
        <v>5451774818</v>
      </c>
      <c r="G1362">
        <v>5385146908</v>
      </c>
      <c r="H1362">
        <v>5224992899</v>
      </c>
      <c r="I1362">
        <v>4891422058</v>
      </c>
      <c r="J1362">
        <v>4675233504</v>
      </c>
      <c r="K1362">
        <v>4182811154</v>
      </c>
      <c r="L1362">
        <v>1600864498</v>
      </c>
      <c r="M1362">
        <v>1333133105</v>
      </c>
      <c r="N1362">
        <v>1041977981</v>
      </c>
      <c r="P1362">
        <v>218</v>
      </c>
      <c r="Q1362" t="s">
        <v>3020</v>
      </c>
    </row>
    <row r="1363" spans="1:17" x14ac:dyDescent="0.3">
      <c r="A1363" t="s">
        <v>17</v>
      </c>
      <c r="B1363" t="str">
        <f>"603557"</f>
        <v>603557</v>
      </c>
      <c r="C1363" t="s">
        <v>3021</v>
      </c>
      <c r="D1363" t="s">
        <v>330</v>
      </c>
      <c r="F1363">
        <v>1254832966</v>
      </c>
      <c r="G1363">
        <v>1558412345</v>
      </c>
      <c r="H1363">
        <v>1674663056</v>
      </c>
      <c r="I1363">
        <v>1550928986</v>
      </c>
      <c r="J1363">
        <v>1397741269</v>
      </c>
      <c r="K1363">
        <v>967520711</v>
      </c>
      <c r="L1363">
        <v>791855326</v>
      </c>
      <c r="M1363">
        <v>509727557</v>
      </c>
      <c r="P1363">
        <v>118</v>
      </c>
      <c r="Q1363" t="s">
        <v>3022</v>
      </c>
    </row>
    <row r="1364" spans="1:17" x14ac:dyDescent="0.3">
      <c r="A1364" t="s">
        <v>17</v>
      </c>
      <c r="B1364" t="str">
        <f>"603558"</f>
        <v>603558</v>
      </c>
      <c r="C1364" t="s">
        <v>3023</v>
      </c>
      <c r="D1364" t="s">
        <v>1009</v>
      </c>
      <c r="F1364">
        <v>2314743679</v>
      </c>
      <c r="G1364">
        <v>2385142728</v>
      </c>
      <c r="H1364">
        <v>3048721188</v>
      </c>
      <c r="I1364">
        <v>2882330664</v>
      </c>
      <c r="J1364">
        <v>2774251033</v>
      </c>
      <c r="K1364">
        <v>1840226053</v>
      </c>
      <c r="L1364">
        <v>774559066</v>
      </c>
      <c r="M1364">
        <v>363831467</v>
      </c>
      <c r="N1364">
        <v>287744024</v>
      </c>
      <c r="O1364">
        <v>243419009</v>
      </c>
      <c r="P1364">
        <v>136</v>
      </c>
      <c r="Q1364" t="s">
        <v>3024</v>
      </c>
    </row>
    <row r="1365" spans="1:17" x14ac:dyDescent="0.3">
      <c r="A1365" t="s">
        <v>17</v>
      </c>
      <c r="B1365" t="str">
        <f>"603559"</f>
        <v>603559</v>
      </c>
      <c r="C1365" t="s">
        <v>3025</v>
      </c>
      <c r="D1365" t="s">
        <v>654</v>
      </c>
      <c r="F1365">
        <v>520859200</v>
      </c>
      <c r="G1365">
        <v>876549385</v>
      </c>
      <c r="H1365">
        <v>879398963</v>
      </c>
      <c r="I1365">
        <v>865879398</v>
      </c>
      <c r="J1365">
        <v>536932348</v>
      </c>
      <c r="K1365">
        <v>515574406</v>
      </c>
      <c r="L1365">
        <v>297061795</v>
      </c>
      <c r="M1365">
        <v>270130388</v>
      </c>
      <c r="N1365">
        <v>243614780</v>
      </c>
      <c r="P1365">
        <v>159</v>
      </c>
      <c r="Q1365" t="s">
        <v>3026</v>
      </c>
    </row>
    <row r="1366" spans="1:17" x14ac:dyDescent="0.3">
      <c r="A1366" t="s">
        <v>17</v>
      </c>
      <c r="B1366" t="str">
        <f>"603565"</f>
        <v>603565</v>
      </c>
      <c r="C1366" t="s">
        <v>3027</v>
      </c>
      <c r="D1366" t="s">
        <v>69</v>
      </c>
      <c r="F1366">
        <v>9703577729</v>
      </c>
      <c r="G1366">
        <v>5171184166</v>
      </c>
      <c r="H1366">
        <v>2955953930</v>
      </c>
      <c r="I1366">
        <v>2198400083</v>
      </c>
      <c r="J1366">
        <v>1725005544</v>
      </c>
      <c r="K1366">
        <v>844174175</v>
      </c>
      <c r="P1366">
        <v>225</v>
      </c>
      <c r="Q1366" t="s">
        <v>3028</v>
      </c>
    </row>
    <row r="1367" spans="1:17" x14ac:dyDescent="0.3">
      <c r="A1367" t="s">
        <v>17</v>
      </c>
      <c r="B1367" t="str">
        <f>"603566"</f>
        <v>603566</v>
      </c>
      <c r="C1367" t="s">
        <v>3029</v>
      </c>
      <c r="D1367" t="s">
        <v>453</v>
      </c>
      <c r="F1367">
        <v>1800452117</v>
      </c>
      <c r="G1367">
        <v>1709645282</v>
      </c>
      <c r="H1367">
        <v>1658042541</v>
      </c>
      <c r="I1367">
        <v>1635570002</v>
      </c>
      <c r="J1367">
        <v>1568839815</v>
      </c>
      <c r="K1367">
        <v>1480919703</v>
      </c>
      <c r="L1367">
        <v>1337213359</v>
      </c>
      <c r="M1367">
        <v>683586540</v>
      </c>
      <c r="N1367">
        <v>603329619</v>
      </c>
      <c r="O1367">
        <v>440467537</v>
      </c>
      <c r="P1367">
        <v>233</v>
      </c>
      <c r="Q1367" t="s">
        <v>3030</v>
      </c>
    </row>
    <row r="1368" spans="1:17" x14ac:dyDescent="0.3">
      <c r="A1368" t="s">
        <v>17</v>
      </c>
      <c r="B1368" t="str">
        <f>"603567"</f>
        <v>603567</v>
      </c>
      <c r="C1368" t="s">
        <v>3031</v>
      </c>
      <c r="D1368" t="s">
        <v>188</v>
      </c>
      <c r="F1368">
        <v>7042918943</v>
      </c>
      <c r="G1368">
        <v>5494448425</v>
      </c>
      <c r="H1368">
        <v>5242261568</v>
      </c>
      <c r="I1368">
        <v>4972593311</v>
      </c>
      <c r="J1368">
        <v>4669436335</v>
      </c>
      <c r="K1368">
        <v>4301238378</v>
      </c>
      <c r="L1368">
        <v>4002989168</v>
      </c>
      <c r="M1368">
        <v>2188498343</v>
      </c>
      <c r="N1368">
        <v>1749638363</v>
      </c>
      <c r="O1368">
        <v>1312734247</v>
      </c>
      <c r="P1368">
        <v>134</v>
      </c>
      <c r="Q1368" t="s">
        <v>3032</v>
      </c>
    </row>
    <row r="1369" spans="1:17" x14ac:dyDescent="0.3">
      <c r="A1369" t="s">
        <v>17</v>
      </c>
      <c r="B1369" t="str">
        <f>"603568"</f>
        <v>603568</v>
      </c>
      <c r="C1369" t="s">
        <v>3033</v>
      </c>
      <c r="D1369" t="s">
        <v>499</v>
      </c>
      <c r="F1369">
        <v>7648167867</v>
      </c>
      <c r="G1369">
        <v>5379318556</v>
      </c>
      <c r="H1369">
        <v>4171720614</v>
      </c>
      <c r="I1369">
        <v>2914193606</v>
      </c>
      <c r="J1369">
        <v>2305685559</v>
      </c>
      <c r="K1369">
        <v>1917956278</v>
      </c>
      <c r="L1369">
        <v>1680158402</v>
      </c>
      <c r="M1369">
        <v>978132652</v>
      </c>
      <c r="N1369">
        <v>786120596</v>
      </c>
      <c r="O1369">
        <v>666153435</v>
      </c>
      <c r="P1369">
        <v>16270</v>
      </c>
      <c r="Q1369" t="s">
        <v>3034</v>
      </c>
    </row>
    <row r="1370" spans="1:17" x14ac:dyDescent="0.3">
      <c r="A1370" t="s">
        <v>17</v>
      </c>
      <c r="B1370" t="str">
        <f>"603569"</f>
        <v>603569</v>
      </c>
      <c r="C1370" t="s">
        <v>3035</v>
      </c>
      <c r="D1370" t="s">
        <v>2503</v>
      </c>
      <c r="F1370">
        <v>2154530491</v>
      </c>
      <c r="G1370">
        <v>2151480838</v>
      </c>
      <c r="H1370">
        <v>2439705236</v>
      </c>
      <c r="I1370">
        <v>2420762338</v>
      </c>
      <c r="J1370">
        <v>2146796710</v>
      </c>
      <c r="K1370">
        <v>1843534830</v>
      </c>
      <c r="L1370">
        <v>894972597</v>
      </c>
      <c r="M1370">
        <v>764628915</v>
      </c>
      <c r="N1370">
        <v>664648823</v>
      </c>
      <c r="P1370">
        <v>198</v>
      </c>
      <c r="Q1370" t="s">
        <v>3036</v>
      </c>
    </row>
    <row r="1371" spans="1:17" x14ac:dyDescent="0.3">
      <c r="A1371" t="s">
        <v>17</v>
      </c>
      <c r="B1371" t="str">
        <f>"603577"</f>
        <v>603577</v>
      </c>
      <c r="C1371" t="s">
        <v>3037</v>
      </c>
      <c r="D1371" t="s">
        <v>1164</v>
      </c>
      <c r="F1371">
        <v>1755784929</v>
      </c>
      <c r="G1371">
        <v>1348602088</v>
      </c>
      <c r="H1371">
        <v>1241703310</v>
      </c>
      <c r="I1371">
        <v>884642715</v>
      </c>
      <c r="J1371">
        <v>867235838</v>
      </c>
      <c r="K1371">
        <v>838788524</v>
      </c>
      <c r="L1371">
        <v>474838165</v>
      </c>
      <c r="M1371">
        <v>418059896</v>
      </c>
      <c r="N1371">
        <v>326772258</v>
      </c>
      <c r="P1371">
        <v>90</v>
      </c>
      <c r="Q1371" t="s">
        <v>3038</v>
      </c>
    </row>
    <row r="1372" spans="1:17" x14ac:dyDescent="0.3">
      <c r="A1372" t="s">
        <v>17</v>
      </c>
      <c r="B1372" t="str">
        <f>"603578"</f>
        <v>603578</v>
      </c>
      <c r="C1372" t="s">
        <v>3039</v>
      </c>
      <c r="D1372" t="s">
        <v>1253</v>
      </c>
      <c r="F1372">
        <v>934794487</v>
      </c>
      <c r="G1372">
        <v>720157152</v>
      </c>
      <c r="H1372">
        <v>599987890</v>
      </c>
      <c r="I1372">
        <v>539707231</v>
      </c>
      <c r="J1372">
        <v>496248665</v>
      </c>
      <c r="K1372">
        <v>220976112</v>
      </c>
      <c r="L1372">
        <v>226070767</v>
      </c>
      <c r="M1372">
        <v>211446128</v>
      </c>
      <c r="P1372">
        <v>131</v>
      </c>
      <c r="Q1372" t="s">
        <v>3040</v>
      </c>
    </row>
    <row r="1373" spans="1:17" x14ac:dyDescent="0.3">
      <c r="A1373" t="s">
        <v>17</v>
      </c>
      <c r="B1373" t="str">
        <f>"603579"</f>
        <v>603579</v>
      </c>
      <c r="C1373" t="s">
        <v>3041</v>
      </c>
      <c r="D1373" t="s">
        <v>3042</v>
      </c>
      <c r="F1373">
        <v>1733487406</v>
      </c>
      <c r="G1373">
        <v>1616526099</v>
      </c>
      <c r="H1373">
        <v>1628991717</v>
      </c>
      <c r="I1373">
        <v>1489679529</v>
      </c>
      <c r="J1373">
        <v>1366865440</v>
      </c>
      <c r="K1373">
        <v>451228111</v>
      </c>
      <c r="L1373">
        <v>309567375</v>
      </c>
      <c r="M1373">
        <v>193115002</v>
      </c>
      <c r="N1373">
        <v>127471593</v>
      </c>
      <c r="P1373">
        <v>597</v>
      </c>
      <c r="Q1373" t="s">
        <v>3043</v>
      </c>
    </row>
    <row r="1374" spans="1:17" x14ac:dyDescent="0.3">
      <c r="A1374" t="s">
        <v>17</v>
      </c>
      <c r="B1374" t="str">
        <f>"603580"</f>
        <v>603580</v>
      </c>
      <c r="C1374" t="s">
        <v>3044</v>
      </c>
      <c r="D1374" t="s">
        <v>1192</v>
      </c>
      <c r="F1374">
        <v>461544815</v>
      </c>
      <c r="G1374">
        <v>438922205</v>
      </c>
      <c r="H1374">
        <v>418897023</v>
      </c>
      <c r="I1374">
        <v>394560745</v>
      </c>
      <c r="J1374">
        <v>375495162</v>
      </c>
      <c r="K1374">
        <v>215187738</v>
      </c>
      <c r="L1374">
        <v>183914427</v>
      </c>
      <c r="M1374">
        <v>153778451</v>
      </c>
      <c r="P1374">
        <v>57</v>
      </c>
      <c r="Q1374" t="s">
        <v>3045</v>
      </c>
    </row>
    <row r="1375" spans="1:17" x14ac:dyDescent="0.3">
      <c r="A1375" t="s">
        <v>17</v>
      </c>
      <c r="B1375" t="str">
        <f>"603583"</f>
        <v>603583</v>
      </c>
      <c r="C1375" t="s">
        <v>3046</v>
      </c>
      <c r="D1375" t="s">
        <v>2432</v>
      </c>
      <c r="F1375">
        <v>3715682844</v>
      </c>
      <c r="G1375">
        <v>3575074775</v>
      </c>
      <c r="H1375">
        <v>1767512166</v>
      </c>
      <c r="I1375">
        <v>1583498367</v>
      </c>
      <c r="J1375">
        <v>515385461</v>
      </c>
      <c r="K1375">
        <v>400794088</v>
      </c>
      <c r="L1375">
        <v>235749511</v>
      </c>
      <c r="P1375">
        <v>704</v>
      </c>
      <c r="Q1375" t="s">
        <v>3047</v>
      </c>
    </row>
    <row r="1376" spans="1:17" x14ac:dyDescent="0.3">
      <c r="A1376" t="s">
        <v>17</v>
      </c>
      <c r="B1376" t="str">
        <f>"603585"</f>
        <v>603585</v>
      </c>
      <c r="C1376" t="s">
        <v>3048</v>
      </c>
      <c r="D1376" t="s">
        <v>853</v>
      </c>
      <c r="F1376">
        <v>2204468090</v>
      </c>
      <c r="G1376">
        <v>2028406563</v>
      </c>
      <c r="H1376">
        <v>1960142189</v>
      </c>
      <c r="I1376">
        <v>1760319680</v>
      </c>
      <c r="J1376">
        <v>1516604034</v>
      </c>
      <c r="K1376">
        <v>1344638039</v>
      </c>
      <c r="L1376">
        <v>532387026</v>
      </c>
      <c r="M1376">
        <v>409590543</v>
      </c>
      <c r="N1376">
        <v>334327057</v>
      </c>
      <c r="P1376">
        <v>546</v>
      </c>
      <c r="Q1376" t="s">
        <v>3049</v>
      </c>
    </row>
    <row r="1377" spans="1:17" x14ac:dyDescent="0.3">
      <c r="A1377" t="s">
        <v>17</v>
      </c>
      <c r="B1377" t="str">
        <f>"603586"</f>
        <v>603586</v>
      </c>
      <c r="C1377" t="s">
        <v>3050</v>
      </c>
      <c r="D1377" t="s">
        <v>348</v>
      </c>
      <c r="F1377">
        <v>2002989544</v>
      </c>
      <c r="G1377">
        <v>2168616456</v>
      </c>
      <c r="H1377">
        <v>2185869575</v>
      </c>
      <c r="I1377">
        <v>2141599840</v>
      </c>
      <c r="J1377">
        <v>2114885181</v>
      </c>
      <c r="K1377">
        <v>989701486</v>
      </c>
      <c r="L1377">
        <v>829582399</v>
      </c>
      <c r="M1377">
        <v>699538633</v>
      </c>
      <c r="P1377">
        <v>109</v>
      </c>
      <c r="Q1377" t="s">
        <v>3051</v>
      </c>
    </row>
    <row r="1378" spans="1:17" x14ac:dyDescent="0.3">
      <c r="A1378" t="s">
        <v>17</v>
      </c>
      <c r="B1378" t="str">
        <f>"603587"</f>
        <v>603587</v>
      </c>
      <c r="C1378" t="s">
        <v>3052</v>
      </c>
      <c r="D1378" t="s">
        <v>255</v>
      </c>
      <c r="F1378">
        <v>3756626740</v>
      </c>
      <c r="G1378">
        <v>3439121491</v>
      </c>
      <c r="H1378">
        <v>3309213504</v>
      </c>
      <c r="I1378">
        <v>3086416565</v>
      </c>
      <c r="J1378">
        <v>1331543630</v>
      </c>
      <c r="K1378">
        <v>851352465</v>
      </c>
      <c r="L1378">
        <v>789472419</v>
      </c>
      <c r="M1378">
        <v>611354085</v>
      </c>
      <c r="P1378">
        <v>1011</v>
      </c>
      <c r="Q1378" t="s">
        <v>3053</v>
      </c>
    </row>
    <row r="1379" spans="1:17" x14ac:dyDescent="0.3">
      <c r="A1379" t="s">
        <v>17</v>
      </c>
      <c r="B1379" t="str">
        <f>"603588"</f>
        <v>603588</v>
      </c>
      <c r="C1379" t="s">
        <v>3054</v>
      </c>
      <c r="D1379" t="s">
        <v>499</v>
      </c>
      <c r="F1379">
        <v>5493419354</v>
      </c>
      <c r="G1379">
        <v>4730324558</v>
      </c>
      <c r="H1379">
        <v>2976730790</v>
      </c>
      <c r="I1379">
        <v>2507324745</v>
      </c>
      <c r="J1379">
        <v>2187386796</v>
      </c>
      <c r="K1379">
        <v>1970458331</v>
      </c>
      <c r="L1379">
        <v>1815254523</v>
      </c>
      <c r="M1379">
        <v>1725028319</v>
      </c>
      <c r="N1379">
        <v>910686873</v>
      </c>
      <c r="O1379">
        <v>770108917</v>
      </c>
      <c r="P1379">
        <v>580</v>
      </c>
      <c r="Q1379" t="s">
        <v>3055</v>
      </c>
    </row>
    <row r="1380" spans="1:17" x14ac:dyDescent="0.3">
      <c r="A1380" t="s">
        <v>17</v>
      </c>
      <c r="B1380" t="str">
        <f>"603589"</f>
        <v>603589</v>
      </c>
      <c r="C1380" t="s">
        <v>3056</v>
      </c>
      <c r="D1380" t="s">
        <v>458</v>
      </c>
      <c r="F1380">
        <v>8249413499</v>
      </c>
      <c r="G1380">
        <v>7238564208</v>
      </c>
      <c r="H1380">
        <v>7011753880</v>
      </c>
      <c r="I1380">
        <v>6167397768</v>
      </c>
      <c r="J1380">
        <v>5084734233</v>
      </c>
      <c r="K1380">
        <v>4241071270</v>
      </c>
      <c r="L1380">
        <v>3667607090</v>
      </c>
      <c r="M1380">
        <v>2278838799</v>
      </c>
      <c r="N1380">
        <v>1964699185</v>
      </c>
      <c r="O1380">
        <v>1647532158</v>
      </c>
      <c r="P1380">
        <v>6961</v>
      </c>
      <c r="Q1380" t="s">
        <v>3057</v>
      </c>
    </row>
    <row r="1381" spans="1:17" x14ac:dyDescent="0.3">
      <c r="A1381" t="s">
        <v>17</v>
      </c>
      <c r="B1381" t="str">
        <f>"603590"</f>
        <v>603590</v>
      </c>
      <c r="C1381" t="s">
        <v>3058</v>
      </c>
      <c r="D1381" t="s">
        <v>1379</v>
      </c>
      <c r="F1381">
        <v>2888764881</v>
      </c>
      <c r="G1381">
        <v>3078339990</v>
      </c>
      <c r="H1381">
        <v>2727998110</v>
      </c>
      <c r="I1381">
        <v>2480714429</v>
      </c>
      <c r="J1381">
        <v>1355311905</v>
      </c>
      <c r="K1381">
        <v>874923027</v>
      </c>
      <c r="L1381">
        <v>683269750</v>
      </c>
      <c r="P1381">
        <v>158</v>
      </c>
      <c r="Q1381" t="s">
        <v>3059</v>
      </c>
    </row>
    <row r="1382" spans="1:17" x14ac:dyDescent="0.3">
      <c r="A1382" t="s">
        <v>17</v>
      </c>
      <c r="B1382" t="str">
        <f>"603595"</f>
        <v>603595</v>
      </c>
      <c r="C1382" t="s">
        <v>3060</v>
      </c>
      <c r="D1382" t="s">
        <v>313</v>
      </c>
      <c r="F1382">
        <v>1599042228</v>
      </c>
      <c r="G1382">
        <v>1108876415</v>
      </c>
      <c r="H1382">
        <v>1060875523</v>
      </c>
      <c r="I1382">
        <v>880004709</v>
      </c>
      <c r="J1382">
        <v>729307737</v>
      </c>
      <c r="K1382">
        <v>251803864</v>
      </c>
      <c r="L1382">
        <v>188363734</v>
      </c>
      <c r="M1382">
        <v>101774401</v>
      </c>
      <c r="P1382">
        <v>184</v>
      </c>
      <c r="Q1382" t="s">
        <v>3061</v>
      </c>
    </row>
    <row r="1383" spans="1:17" x14ac:dyDescent="0.3">
      <c r="A1383" t="s">
        <v>17</v>
      </c>
      <c r="B1383" t="str">
        <f>"603596"</f>
        <v>603596</v>
      </c>
      <c r="C1383" t="s">
        <v>3062</v>
      </c>
      <c r="D1383" t="s">
        <v>348</v>
      </c>
      <c r="F1383">
        <v>3337866459</v>
      </c>
      <c r="G1383">
        <v>2693881376</v>
      </c>
      <c r="H1383">
        <v>2244730268</v>
      </c>
      <c r="I1383">
        <v>1906693243</v>
      </c>
      <c r="J1383">
        <v>1099290801</v>
      </c>
      <c r="K1383">
        <v>816116751</v>
      </c>
      <c r="L1383">
        <v>470913128</v>
      </c>
      <c r="P1383">
        <v>369</v>
      </c>
      <c r="Q1383" t="s">
        <v>3063</v>
      </c>
    </row>
    <row r="1384" spans="1:17" x14ac:dyDescent="0.3">
      <c r="A1384" t="s">
        <v>17</v>
      </c>
      <c r="B1384" t="str">
        <f>"603598"</f>
        <v>603598</v>
      </c>
      <c r="C1384" t="s">
        <v>3064</v>
      </c>
      <c r="D1384" t="s">
        <v>207</v>
      </c>
      <c r="F1384">
        <v>247089526</v>
      </c>
      <c r="G1384">
        <v>450916352</v>
      </c>
      <c r="H1384">
        <v>348777717</v>
      </c>
      <c r="I1384">
        <v>564577057</v>
      </c>
      <c r="J1384">
        <v>662909987</v>
      </c>
      <c r="K1384">
        <v>591903372</v>
      </c>
      <c r="L1384">
        <v>557625205</v>
      </c>
      <c r="M1384">
        <v>317712544</v>
      </c>
      <c r="N1384">
        <v>267494414</v>
      </c>
      <c r="O1384">
        <v>204003604</v>
      </c>
      <c r="P1384">
        <v>113</v>
      </c>
      <c r="Q1384" t="s">
        <v>3065</v>
      </c>
    </row>
    <row r="1385" spans="1:17" x14ac:dyDescent="0.3">
      <c r="A1385" t="s">
        <v>17</v>
      </c>
      <c r="B1385" t="str">
        <f>"603599"</f>
        <v>603599</v>
      </c>
      <c r="C1385" t="s">
        <v>3066</v>
      </c>
      <c r="D1385" t="s">
        <v>853</v>
      </c>
      <c r="F1385">
        <v>6959116281</v>
      </c>
      <c r="G1385">
        <v>5642182782</v>
      </c>
      <c r="H1385">
        <v>5085392262</v>
      </c>
      <c r="I1385">
        <v>4638633948</v>
      </c>
      <c r="J1385">
        <v>4128344138</v>
      </c>
      <c r="K1385">
        <v>2404760083</v>
      </c>
      <c r="L1385">
        <v>2228946648</v>
      </c>
      <c r="M1385">
        <v>1390188469</v>
      </c>
      <c r="N1385">
        <v>1232586425</v>
      </c>
      <c r="O1385">
        <v>1074599468</v>
      </c>
      <c r="P1385">
        <v>304</v>
      </c>
      <c r="Q1385" t="s">
        <v>3067</v>
      </c>
    </row>
    <row r="1386" spans="1:17" x14ac:dyDescent="0.3">
      <c r="A1386" t="s">
        <v>17</v>
      </c>
      <c r="B1386" t="str">
        <f>"603600"</f>
        <v>603600</v>
      </c>
      <c r="C1386" t="s">
        <v>3068</v>
      </c>
      <c r="D1386" t="s">
        <v>757</v>
      </c>
      <c r="F1386">
        <v>1446513815</v>
      </c>
      <c r="G1386">
        <v>1390321347</v>
      </c>
      <c r="H1386">
        <v>1235749558</v>
      </c>
      <c r="I1386">
        <v>1173435769</v>
      </c>
      <c r="J1386">
        <v>666787425</v>
      </c>
      <c r="K1386">
        <v>622609826</v>
      </c>
      <c r="L1386">
        <v>552385760</v>
      </c>
      <c r="M1386">
        <v>259326313</v>
      </c>
      <c r="N1386">
        <v>233480852</v>
      </c>
      <c r="O1386">
        <v>194284454</v>
      </c>
      <c r="P1386">
        <v>290</v>
      </c>
      <c r="Q1386" t="s">
        <v>3069</v>
      </c>
    </row>
    <row r="1387" spans="1:17" x14ac:dyDescent="0.3">
      <c r="A1387" t="s">
        <v>17</v>
      </c>
      <c r="B1387" t="str">
        <f>"603601"</f>
        <v>603601</v>
      </c>
      <c r="C1387" t="s">
        <v>3070</v>
      </c>
      <c r="D1387" t="s">
        <v>411</v>
      </c>
      <c r="F1387">
        <v>1982837293</v>
      </c>
      <c r="G1387">
        <v>1821254075</v>
      </c>
      <c r="H1387">
        <v>1402989988</v>
      </c>
      <c r="I1387">
        <v>1305345986</v>
      </c>
      <c r="J1387">
        <v>1198101016</v>
      </c>
      <c r="K1387">
        <v>1088389400</v>
      </c>
      <c r="L1387">
        <v>338719834</v>
      </c>
      <c r="M1387">
        <v>197121267</v>
      </c>
      <c r="N1387">
        <v>165651313</v>
      </c>
      <c r="O1387">
        <v>141980527</v>
      </c>
      <c r="P1387">
        <v>500</v>
      </c>
      <c r="Q1387" t="s">
        <v>3071</v>
      </c>
    </row>
    <row r="1388" spans="1:17" x14ac:dyDescent="0.3">
      <c r="A1388" t="s">
        <v>17</v>
      </c>
      <c r="B1388" t="str">
        <f>"603602"</f>
        <v>603602</v>
      </c>
      <c r="C1388" t="s">
        <v>3072</v>
      </c>
      <c r="D1388" t="s">
        <v>654</v>
      </c>
      <c r="F1388">
        <v>724023701</v>
      </c>
      <c r="G1388">
        <v>713150475</v>
      </c>
      <c r="H1388">
        <v>703049550</v>
      </c>
      <c r="I1388">
        <v>675413538</v>
      </c>
      <c r="J1388">
        <v>642891001</v>
      </c>
      <c r="K1388">
        <v>317579011</v>
      </c>
      <c r="L1388">
        <v>271372125</v>
      </c>
      <c r="M1388">
        <v>272823249</v>
      </c>
      <c r="P1388">
        <v>193</v>
      </c>
      <c r="Q1388" t="s">
        <v>3073</v>
      </c>
    </row>
    <row r="1389" spans="1:17" x14ac:dyDescent="0.3">
      <c r="A1389" t="s">
        <v>17</v>
      </c>
      <c r="B1389" t="str">
        <f>"603603"</f>
        <v>603603</v>
      </c>
      <c r="C1389" t="s">
        <v>3074</v>
      </c>
      <c r="D1389" t="s">
        <v>33</v>
      </c>
      <c r="F1389">
        <v>-887883665</v>
      </c>
      <c r="G1389">
        <v>527986298</v>
      </c>
      <c r="H1389">
        <v>972514453</v>
      </c>
      <c r="I1389">
        <v>1657708942</v>
      </c>
      <c r="J1389">
        <v>1311306735</v>
      </c>
      <c r="K1389">
        <v>898155399</v>
      </c>
      <c r="L1389">
        <v>752358791</v>
      </c>
      <c r="M1389">
        <v>626333273</v>
      </c>
      <c r="N1389">
        <v>330874216</v>
      </c>
      <c r="P1389">
        <v>118</v>
      </c>
      <c r="Q1389" t="s">
        <v>3075</v>
      </c>
    </row>
    <row r="1390" spans="1:17" x14ac:dyDescent="0.3">
      <c r="A1390" t="s">
        <v>17</v>
      </c>
      <c r="B1390" t="str">
        <f>"603605"</f>
        <v>603605</v>
      </c>
      <c r="C1390" t="s">
        <v>3076</v>
      </c>
      <c r="D1390" t="s">
        <v>709</v>
      </c>
      <c r="F1390">
        <v>2826019214</v>
      </c>
      <c r="G1390">
        <v>2391535436</v>
      </c>
      <c r="H1390">
        <v>2029687884</v>
      </c>
      <c r="I1390">
        <v>1694310464</v>
      </c>
      <c r="J1390">
        <v>1458687547</v>
      </c>
      <c r="K1390">
        <v>560622215</v>
      </c>
      <c r="L1390">
        <v>406884857</v>
      </c>
      <c r="M1390">
        <v>261843519</v>
      </c>
      <c r="P1390">
        <v>1725</v>
      </c>
      <c r="Q1390" t="s">
        <v>3077</v>
      </c>
    </row>
    <row r="1391" spans="1:17" x14ac:dyDescent="0.3">
      <c r="A1391" t="s">
        <v>17</v>
      </c>
      <c r="B1391" t="str">
        <f>"603606"</f>
        <v>603606</v>
      </c>
      <c r="C1391" t="s">
        <v>3078</v>
      </c>
      <c r="D1391" t="s">
        <v>1164</v>
      </c>
      <c r="F1391">
        <v>4881595008</v>
      </c>
      <c r="G1391">
        <v>3022933248</v>
      </c>
      <c r="H1391">
        <v>2138652469</v>
      </c>
      <c r="I1391">
        <v>1730134205</v>
      </c>
      <c r="J1391">
        <v>1581062918</v>
      </c>
      <c r="K1391">
        <v>853690136</v>
      </c>
      <c r="L1391">
        <v>807711031</v>
      </c>
      <c r="M1391">
        <v>771461997</v>
      </c>
      <c r="N1391">
        <v>522460878</v>
      </c>
      <c r="O1391">
        <v>499295129</v>
      </c>
      <c r="P1391">
        <v>1568</v>
      </c>
      <c r="Q1391" t="s">
        <v>3079</v>
      </c>
    </row>
    <row r="1392" spans="1:17" x14ac:dyDescent="0.3">
      <c r="A1392" t="s">
        <v>17</v>
      </c>
      <c r="B1392" t="str">
        <f>"603607"</f>
        <v>603607</v>
      </c>
      <c r="C1392" t="s">
        <v>3080</v>
      </c>
      <c r="D1392" t="s">
        <v>2448</v>
      </c>
      <c r="F1392">
        <v>968421688</v>
      </c>
      <c r="G1392">
        <v>902046677</v>
      </c>
      <c r="H1392">
        <v>833152432</v>
      </c>
      <c r="I1392">
        <v>766255890</v>
      </c>
      <c r="J1392">
        <v>706917077</v>
      </c>
      <c r="K1392">
        <v>292760390</v>
      </c>
      <c r="L1392">
        <v>250160556</v>
      </c>
      <c r="M1392">
        <v>209703161</v>
      </c>
      <c r="P1392">
        <v>109</v>
      </c>
      <c r="Q1392" t="s">
        <v>3081</v>
      </c>
    </row>
    <row r="1393" spans="1:17" x14ac:dyDescent="0.3">
      <c r="A1393" t="s">
        <v>17</v>
      </c>
      <c r="B1393" t="str">
        <f>"603608"</f>
        <v>603608</v>
      </c>
      <c r="C1393" t="s">
        <v>3082</v>
      </c>
      <c r="D1393" t="s">
        <v>330</v>
      </c>
      <c r="F1393">
        <v>1456626872</v>
      </c>
      <c r="G1393">
        <v>1601690007</v>
      </c>
      <c r="H1393">
        <v>2152476623</v>
      </c>
      <c r="I1393">
        <v>2154445540</v>
      </c>
      <c r="J1393">
        <v>2007648716</v>
      </c>
      <c r="K1393">
        <v>1529589865</v>
      </c>
      <c r="L1393">
        <v>849149246</v>
      </c>
      <c r="M1393">
        <v>776369706</v>
      </c>
      <c r="N1393">
        <v>681457393</v>
      </c>
      <c r="O1393">
        <v>607403035</v>
      </c>
      <c r="P1393">
        <v>138</v>
      </c>
      <c r="Q1393" t="s">
        <v>3083</v>
      </c>
    </row>
    <row r="1394" spans="1:17" x14ac:dyDescent="0.3">
      <c r="A1394" t="s">
        <v>17</v>
      </c>
      <c r="B1394" t="str">
        <f>"603609"</f>
        <v>603609</v>
      </c>
      <c r="C1394" t="s">
        <v>3084</v>
      </c>
      <c r="D1394" t="s">
        <v>2886</v>
      </c>
      <c r="F1394">
        <v>6464358870</v>
      </c>
      <c r="G1394">
        <v>6752397489</v>
      </c>
      <c r="H1394">
        <v>5698139558</v>
      </c>
      <c r="I1394">
        <v>3851915759</v>
      </c>
      <c r="J1394">
        <v>3390304243</v>
      </c>
      <c r="K1394">
        <v>3006170942</v>
      </c>
      <c r="L1394">
        <v>2662286260</v>
      </c>
      <c r="M1394">
        <v>2372648900</v>
      </c>
      <c r="N1394">
        <v>1718582262</v>
      </c>
      <c r="O1394">
        <v>1569403443</v>
      </c>
      <c r="P1394">
        <v>507</v>
      </c>
      <c r="Q1394" t="s">
        <v>3085</v>
      </c>
    </row>
    <row r="1395" spans="1:17" x14ac:dyDescent="0.3">
      <c r="A1395" t="s">
        <v>17</v>
      </c>
      <c r="B1395" t="str">
        <f>"603610"</f>
        <v>603610</v>
      </c>
      <c r="C1395" t="s">
        <v>3086</v>
      </c>
      <c r="D1395" t="s">
        <v>757</v>
      </c>
      <c r="F1395">
        <v>3203574205</v>
      </c>
      <c r="G1395">
        <v>2959553444</v>
      </c>
      <c r="H1395">
        <v>2845208017</v>
      </c>
      <c r="I1395">
        <v>917470274</v>
      </c>
      <c r="J1395">
        <v>622939033</v>
      </c>
      <c r="K1395">
        <v>259008160</v>
      </c>
      <c r="P1395">
        <v>230</v>
      </c>
      <c r="Q1395" t="s">
        <v>3087</v>
      </c>
    </row>
    <row r="1396" spans="1:17" x14ac:dyDescent="0.3">
      <c r="A1396" t="s">
        <v>17</v>
      </c>
      <c r="B1396" t="str">
        <f>"603611"</f>
        <v>603611</v>
      </c>
      <c r="C1396" t="s">
        <v>3088</v>
      </c>
      <c r="D1396" t="s">
        <v>83</v>
      </c>
      <c r="F1396">
        <v>2063897698</v>
      </c>
      <c r="G1396">
        <v>1867799667</v>
      </c>
      <c r="H1396">
        <v>1606661513</v>
      </c>
      <c r="I1396">
        <v>1722870993</v>
      </c>
      <c r="J1396">
        <v>1589811186</v>
      </c>
      <c r="K1396">
        <v>1294733201</v>
      </c>
      <c r="L1396">
        <v>864196959</v>
      </c>
      <c r="M1396">
        <v>479149138</v>
      </c>
      <c r="N1396">
        <v>423079487</v>
      </c>
      <c r="O1396">
        <v>359031705</v>
      </c>
      <c r="P1396">
        <v>315</v>
      </c>
      <c r="Q1396" t="s">
        <v>3089</v>
      </c>
    </row>
    <row r="1397" spans="1:17" x14ac:dyDescent="0.3">
      <c r="A1397" t="s">
        <v>17</v>
      </c>
      <c r="B1397" t="str">
        <f>"603612"</f>
        <v>603612</v>
      </c>
      <c r="C1397" t="s">
        <v>3090</v>
      </c>
      <c r="D1397" t="s">
        <v>2762</v>
      </c>
      <c r="F1397">
        <v>4513309706</v>
      </c>
      <c r="G1397">
        <v>3663263177</v>
      </c>
      <c r="H1397">
        <v>2494358331</v>
      </c>
      <c r="I1397">
        <v>2440261744</v>
      </c>
      <c r="J1397">
        <v>2370538382</v>
      </c>
      <c r="K1397">
        <v>1413296496</v>
      </c>
      <c r="L1397">
        <v>1350912425</v>
      </c>
      <c r="M1397">
        <v>1295101756</v>
      </c>
      <c r="P1397">
        <v>162</v>
      </c>
      <c r="Q1397" t="s">
        <v>3091</v>
      </c>
    </row>
    <row r="1398" spans="1:17" x14ac:dyDescent="0.3">
      <c r="A1398" t="s">
        <v>17</v>
      </c>
      <c r="B1398" t="str">
        <f>"603613"</f>
        <v>603613</v>
      </c>
      <c r="C1398" t="s">
        <v>3092</v>
      </c>
      <c r="D1398" t="s">
        <v>3093</v>
      </c>
      <c r="F1398">
        <v>4327032204</v>
      </c>
      <c r="G1398">
        <v>3779953948</v>
      </c>
      <c r="H1398">
        <v>1079467552</v>
      </c>
      <c r="I1398">
        <v>436798755</v>
      </c>
      <c r="J1398">
        <v>342937371</v>
      </c>
      <c r="K1398">
        <v>145324154</v>
      </c>
      <c r="P1398">
        <v>827</v>
      </c>
      <c r="Q1398" t="s">
        <v>3094</v>
      </c>
    </row>
    <row r="1399" spans="1:17" x14ac:dyDescent="0.3">
      <c r="A1399" t="s">
        <v>17</v>
      </c>
      <c r="B1399" t="str">
        <f>"603615"</f>
        <v>603615</v>
      </c>
      <c r="C1399" t="s">
        <v>3095</v>
      </c>
      <c r="D1399" t="s">
        <v>2445</v>
      </c>
      <c r="F1399">
        <v>1223333966</v>
      </c>
      <c r="G1399">
        <v>1279294368</v>
      </c>
      <c r="H1399">
        <v>1377314995</v>
      </c>
      <c r="I1399">
        <v>1346761934</v>
      </c>
      <c r="J1399">
        <v>1338379996</v>
      </c>
      <c r="K1399">
        <v>835830292</v>
      </c>
      <c r="L1399">
        <v>744393437</v>
      </c>
      <c r="M1399">
        <v>654249857</v>
      </c>
      <c r="N1399">
        <v>565809016</v>
      </c>
      <c r="P1399">
        <v>107</v>
      </c>
      <c r="Q1399" t="s">
        <v>3096</v>
      </c>
    </row>
    <row r="1400" spans="1:17" x14ac:dyDescent="0.3">
      <c r="A1400" t="s">
        <v>17</v>
      </c>
      <c r="B1400" t="str">
        <f>"603616"</f>
        <v>603616</v>
      </c>
      <c r="C1400" t="s">
        <v>3097</v>
      </c>
      <c r="D1400" t="s">
        <v>3098</v>
      </c>
      <c r="F1400">
        <v>1100806718</v>
      </c>
      <c r="G1400">
        <v>747902730</v>
      </c>
      <c r="H1400">
        <v>717373276</v>
      </c>
      <c r="I1400">
        <v>788293514</v>
      </c>
      <c r="J1400">
        <v>775225633</v>
      </c>
      <c r="K1400">
        <v>844219880</v>
      </c>
      <c r="L1400">
        <v>837373989</v>
      </c>
      <c r="M1400">
        <v>457861242</v>
      </c>
      <c r="N1400">
        <v>377753101</v>
      </c>
      <c r="O1400">
        <v>300074157</v>
      </c>
      <c r="P1400">
        <v>71</v>
      </c>
      <c r="Q1400" t="s">
        <v>3099</v>
      </c>
    </row>
    <row r="1401" spans="1:17" x14ac:dyDescent="0.3">
      <c r="A1401" t="s">
        <v>17</v>
      </c>
      <c r="B1401" t="str">
        <f>"603617"</f>
        <v>603617</v>
      </c>
      <c r="C1401" t="s">
        <v>3100</v>
      </c>
      <c r="D1401" t="s">
        <v>560</v>
      </c>
      <c r="F1401">
        <v>1227947136</v>
      </c>
      <c r="G1401">
        <v>675171067</v>
      </c>
      <c r="H1401">
        <v>591640889</v>
      </c>
      <c r="I1401">
        <v>524691411</v>
      </c>
      <c r="J1401">
        <v>469786608</v>
      </c>
      <c r="K1401">
        <v>237603026</v>
      </c>
      <c r="L1401">
        <v>182431929</v>
      </c>
      <c r="M1401">
        <v>167028033</v>
      </c>
      <c r="P1401">
        <v>104</v>
      </c>
      <c r="Q1401" t="s">
        <v>3101</v>
      </c>
    </row>
    <row r="1402" spans="1:17" x14ac:dyDescent="0.3">
      <c r="A1402" t="s">
        <v>17</v>
      </c>
      <c r="B1402" t="str">
        <f>"603618"</f>
        <v>603618</v>
      </c>
      <c r="C1402" t="s">
        <v>3102</v>
      </c>
      <c r="D1402" t="s">
        <v>1164</v>
      </c>
      <c r="F1402">
        <v>2552509084</v>
      </c>
      <c r="G1402">
        <v>2590895460</v>
      </c>
      <c r="H1402">
        <v>2497948107</v>
      </c>
      <c r="I1402">
        <v>2070931530</v>
      </c>
      <c r="J1402">
        <v>1989228188</v>
      </c>
      <c r="K1402">
        <v>2231834877</v>
      </c>
      <c r="L1402">
        <v>1508469015</v>
      </c>
      <c r="M1402">
        <v>843325403</v>
      </c>
      <c r="N1402">
        <v>726302277</v>
      </c>
      <c r="O1402">
        <v>629648623</v>
      </c>
      <c r="P1402">
        <v>169</v>
      </c>
      <c r="Q1402" t="s">
        <v>3103</v>
      </c>
    </row>
    <row r="1403" spans="1:17" x14ac:dyDescent="0.3">
      <c r="A1403" t="s">
        <v>17</v>
      </c>
      <c r="B1403" t="str">
        <f>"603619"</f>
        <v>603619</v>
      </c>
      <c r="C1403" t="s">
        <v>3104</v>
      </c>
      <c r="D1403" t="s">
        <v>1762</v>
      </c>
      <c r="F1403">
        <v>1971903343</v>
      </c>
      <c r="G1403">
        <v>1904759085</v>
      </c>
      <c r="H1403">
        <v>2364820232</v>
      </c>
      <c r="I1403">
        <v>2372143674</v>
      </c>
      <c r="J1403">
        <v>2514298948</v>
      </c>
      <c r="K1403">
        <v>1278538986</v>
      </c>
      <c r="L1403">
        <v>884418235</v>
      </c>
      <c r="M1403">
        <v>695719770</v>
      </c>
      <c r="P1403">
        <v>74</v>
      </c>
      <c r="Q1403" t="s">
        <v>3105</v>
      </c>
    </row>
    <row r="1404" spans="1:17" x14ac:dyDescent="0.3">
      <c r="A1404" t="s">
        <v>17</v>
      </c>
      <c r="B1404" t="str">
        <f>"603626"</f>
        <v>603626</v>
      </c>
      <c r="C1404" t="s">
        <v>3106</v>
      </c>
      <c r="D1404" t="s">
        <v>313</v>
      </c>
      <c r="F1404">
        <v>2993999492</v>
      </c>
      <c r="G1404">
        <v>2091262505</v>
      </c>
      <c r="H1404">
        <v>1578960793</v>
      </c>
      <c r="I1404">
        <v>1770309453</v>
      </c>
      <c r="J1404">
        <v>1757980983</v>
      </c>
      <c r="K1404">
        <v>606292338</v>
      </c>
      <c r="L1404">
        <v>417396465</v>
      </c>
      <c r="M1404">
        <v>219159164</v>
      </c>
      <c r="N1404">
        <v>131436130</v>
      </c>
      <c r="P1404">
        <v>173</v>
      </c>
      <c r="Q1404" t="s">
        <v>3107</v>
      </c>
    </row>
    <row r="1405" spans="1:17" x14ac:dyDescent="0.3">
      <c r="A1405" t="s">
        <v>17</v>
      </c>
      <c r="B1405" t="str">
        <f>"603628"</f>
        <v>603628</v>
      </c>
      <c r="C1405" t="s">
        <v>3108</v>
      </c>
      <c r="D1405" t="s">
        <v>478</v>
      </c>
      <c r="F1405">
        <v>992350242</v>
      </c>
      <c r="G1405">
        <v>954015024</v>
      </c>
      <c r="H1405">
        <v>898942539</v>
      </c>
      <c r="I1405">
        <v>952975672</v>
      </c>
      <c r="J1405">
        <v>931802783</v>
      </c>
      <c r="K1405">
        <v>544235331</v>
      </c>
      <c r="L1405">
        <v>484616221</v>
      </c>
      <c r="M1405">
        <v>425796047</v>
      </c>
      <c r="N1405">
        <v>390112285</v>
      </c>
      <c r="P1405">
        <v>80</v>
      </c>
      <c r="Q1405" t="s">
        <v>3109</v>
      </c>
    </row>
    <row r="1406" spans="1:17" x14ac:dyDescent="0.3">
      <c r="A1406" t="s">
        <v>17</v>
      </c>
      <c r="B1406" t="str">
        <f>"603629"</f>
        <v>603629</v>
      </c>
      <c r="C1406" t="s">
        <v>3110</v>
      </c>
      <c r="D1406" t="s">
        <v>313</v>
      </c>
      <c r="F1406">
        <v>1577092608</v>
      </c>
      <c r="G1406">
        <v>1008639371</v>
      </c>
      <c r="H1406">
        <v>982280528</v>
      </c>
      <c r="I1406">
        <v>946827663</v>
      </c>
      <c r="J1406">
        <v>435585128</v>
      </c>
      <c r="K1406">
        <v>347561524</v>
      </c>
      <c r="L1406">
        <v>243224824</v>
      </c>
      <c r="P1406">
        <v>51</v>
      </c>
      <c r="Q1406" t="s">
        <v>3111</v>
      </c>
    </row>
    <row r="1407" spans="1:17" x14ac:dyDescent="0.3">
      <c r="A1407" t="s">
        <v>17</v>
      </c>
      <c r="B1407" t="str">
        <f>"603630"</f>
        <v>603630</v>
      </c>
      <c r="C1407" t="s">
        <v>3112</v>
      </c>
      <c r="D1407" t="s">
        <v>709</v>
      </c>
      <c r="F1407">
        <v>1870539137</v>
      </c>
      <c r="G1407">
        <v>1823383202</v>
      </c>
      <c r="H1407">
        <v>1724549791</v>
      </c>
      <c r="I1407">
        <v>1785027239</v>
      </c>
      <c r="J1407">
        <v>1699115620</v>
      </c>
      <c r="K1407">
        <v>839982419</v>
      </c>
      <c r="L1407">
        <v>690517386</v>
      </c>
      <c r="M1407">
        <v>573507906</v>
      </c>
      <c r="P1407">
        <v>148</v>
      </c>
      <c r="Q1407" t="s">
        <v>3113</v>
      </c>
    </row>
    <row r="1408" spans="1:17" x14ac:dyDescent="0.3">
      <c r="A1408" t="s">
        <v>17</v>
      </c>
      <c r="B1408" t="str">
        <f>"603633"</f>
        <v>603633</v>
      </c>
      <c r="C1408" t="s">
        <v>3114</v>
      </c>
      <c r="D1408" t="s">
        <v>313</v>
      </c>
      <c r="F1408">
        <v>1105663908</v>
      </c>
      <c r="G1408">
        <v>1080586009</v>
      </c>
      <c r="H1408">
        <v>760541698</v>
      </c>
      <c r="I1408">
        <v>731377874</v>
      </c>
      <c r="J1408">
        <v>703053533</v>
      </c>
      <c r="K1408">
        <v>668736786</v>
      </c>
      <c r="L1408">
        <v>449046129</v>
      </c>
      <c r="M1408">
        <v>409944354</v>
      </c>
      <c r="N1408">
        <v>360277770</v>
      </c>
      <c r="P1408">
        <v>90</v>
      </c>
      <c r="Q1408" t="s">
        <v>3115</v>
      </c>
    </row>
    <row r="1409" spans="1:17" x14ac:dyDescent="0.3">
      <c r="A1409" t="s">
        <v>17</v>
      </c>
      <c r="B1409" t="str">
        <f>"603636"</f>
        <v>603636</v>
      </c>
      <c r="C1409" t="s">
        <v>3116</v>
      </c>
      <c r="D1409" t="s">
        <v>316</v>
      </c>
      <c r="F1409">
        <v>2626065387</v>
      </c>
      <c r="G1409">
        <v>2617818763</v>
      </c>
      <c r="H1409">
        <v>1882212694</v>
      </c>
      <c r="I1409">
        <v>1747757503</v>
      </c>
      <c r="J1409">
        <v>1009082447</v>
      </c>
      <c r="K1409">
        <v>883290784</v>
      </c>
      <c r="L1409">
        <v>849115066</v>
      </c>
      <c r="M1409">
        <v>803974719</v>
      </c>
      <c r="N1409">
        <v>368008076</v>
      </c>
      <c r="O1409">
        <v>288513446</v>
      </c>
      <c r="P1409">
        <v>202</v>
      </c>
      <c r="Q1409" t="s">
        <v>3117</v>
      </c>
    </row>
    <row r="1410" spans="1:17" x14ac:dyDescent="0.3">
      <c r="A1410" t="s">
        <v>17</v>
      </c>
      <c r="B1410" t="str">
        <f>"603637"</f>
        <v>603637</v>
      </c>
      <c r="C1410" t="s">
        <v>3118</v>
      </c>
      <c r="D1410" t="s">
        <v>2025</v>
      </c>
      <c r="F1410">
        <v>816505423</v>
      </c>
      <c r="G1410">
        <v>809887552</v>
      </c>
      <c r="H1410">
        <v>775755085</v>
      </c>
      <c r="I1410">
        <v>754976184</v>
      </c>
      <c r="J1410">
        <v>718704729</v>
      </c>
      <c r="K1410">
        <v>382863858</v>
      </c>
      <c r="L1410">
        <v>336938185</v>
      </c>
      <c r="M1410">
        <v>291809426</v>
      </c>
      <c r="N1410">
        <v>263766706</v>
      </c>
      <c r="P1410">
        <v>70</v>
      </c>
      <c r="Q1410" t="s">
        <v>3119</v>
      </c>
    </row>
    <row r="1411" spans="1:17" x14ac:dyDescent="0.3">
      <c r="A1411" t="s">
        <v>17</v>
      </c>
      <c r="B1411" t="str">
        <f>"603638"</f>
        <v>603638</v>
      </c>
      <c r="C1411" t="s">
        <v>3120</v>
      </c>
      <c r="D1411" t="s">
        <v>2007</v>
      </c>
      <c r="F1411">
        <v>2820876744</v>
      </c>
      <c r="G1411">
        <v>2447757770</v>
      </c>
      <c r="H1411">
        <v>2001379390</v>
      </c>
      <c r="I1411">
        <v>1022573237</v>
      </c>
      <c r="J1411">
        <v>841090282</v>
      </c>
      <c r="K1411">
        <v>504832786</v>
      </c>
      <c r="L1411">
        <v>423850437</v>
      </c>
      <c r="M1411">
        <v>403138050</v>
      </c>
      <c r="N1411">
        <v>356261756</v>
      </c>
      <c r="P1411">
        <v>665</v>
      </c>
      <c r="Q1411" t="s">
        <v>3121</v>
      </c>
    </row>
    <row r="1412" spans="1:17" x14ac:dyDescent="0.3">
      <c r="A1412" t="s">
        <v>17</v>
      </c>
      <c r="B1412" t="str">
        <f>"603639"</f>
        <v>603639</v>
      </c>
      <c r="C1412" t="s">
        <v>3122</v>
      </c>
      <c r="D1412" t="s">
        <v>853</v>
      </c>
      <c r="F1412">
        <v>3040203247</v>
      </c>
      <c r="G1412">
        <v>2616231583</v>
      </c>
      <c r="H1412">
        <v>2243005674</v>
      </c>
      <c r="I1412">
        <v>1956564550</v>
      </c>
      <c r="J1412">
        <v>1614711355</v>
      </c>
      <c r="K1412">
        <v>672418639</v>
      </c>
      <c r="L1412">
        <v>552958367</v>
      </c>
      <c r="M1412">
        <v>443434202</v>
      </c>
      <c r="N1412">
        <v>335411482</v>
      </c>
      <c r="P1412">
        <v>1565</v>
      </c>
      <c r="Q1412" t="s">
        <v>3123</v>
      </c>
    </row>
    <row r="1413" spans="1:17" x14ac:dyDescent="0.3">
      <c r="A1413" t="s">
        <v>17</v>
      </c>
      <c r="B1413" t="str">
        <f>"603648"</f>
        <v>603648</v>
      </c>
      <c r="C1413" t="s">
        <v>3124</v>
      </c>
      <c r="D1413" t="s">
        <v>3125</v>
      </c>
      <c r="F1413">
        <v>1809853458</v>
      </c>
      <c r="G1413">
        <v>1740525452</v>
      </c>
      <c r="H1413">
        <v>1694701157</v>
      </c>
      <c r="I1413">
        <v>1631463373</v>
      </c>
      <c r="J1413">
        <v>1543646122</v>
      </c>
      <c r="K1413">
        <v>866698253</v>
      </c>
      <c r="L1413">
        <v>736281128</v>
      </c>
      <c r="M1413">
        <v>474733038</v>
      </c>
      <c r="P1413">
        <v>72</v>
      </c>
      <c r="Q1413" t="s">
        <v>3126</v>
      </c>
    </row>
    <row r="1414" spans="1:17" x14ac:dyDescent="0.3">
      <c r="A1414" t="s">
        <v>17</v>
      </c>
      <c r="B1414" t="str">
        <f>"603650"</f>
        <v>603650</v>
      </c>
      <c r="C1414" t="s">
        <v>3127</v>
      </c>
      <c r="D1414" t="s">
        <v>3128</v>
      </c>
      <c r="F1414">
        <v>2727699823</v>
      </c>
      <c r="G1414">
        <v>2446994529</v>
      </c>
      <c r="H1414">
        <v>2249944244</v>
      </c>
      <c r="I1414">
        <v>2274964827</v>
      </c>
      <c r="J1414">
        <v>1170828451</v>
      </c>
      <c r="K1414">
        <v>1006751642</v>
      </c>
      <c r="L1414">
        <v>407702815</v>
      </c>
      <c r="P1414">
        <v>258</v>
      </c>
      <c r="Q1414" t="s">
        <v>3129</v>
      </c>
    </row>
    <row r="1415" spans="1:17" x14ac:dyDescent="0.3">
      <c r="A1415" t="s">
        <v>17</v>
      </c>
      <c r="B1415" t="str">
        <f>"603655"</f>
        <v>603655</v>
      </c>
      <c r="C1415" t="s">
        <v>3130</v>
      </c>
      <c r="D1415" t="s">
        <v>985</v>
      </c>
      <c r="F1415">
        <v>522381512</v>
      </c>
      <c r="G1415">
        <v>508244140</v>
      </c>
      <c r="H1415">
        <v>493131579</v>
      </c>
      <c r="I1415">
        <v>480808042</v>
      </c>
      <c r="J1415">
        <v>461199958</v>
      </c>
      <c r="K1415">
        <v>284959259</v>
      </c>
      <c r="L1415">
        <v>254777366</v>
      </c>
      <c r="M1415">
        <v>206636087</v>
      </c>
      <c r="P1415">
        <v>88</v>
      </c>
      <c r="Q1415" t="s">
        <v>3131</v>
      </c>
    </row>
    <row r="1416" spans="1:17" x14ac:dyDescent="0.3">
      <c r="A1416" t="s">
        <v>17</v>
      </c>
      <c r="B1416" t="str">
        <f>"603656"</f>
        <v>603656</v>
      </c>
      <c r="C1416" t="s">
        <v>3132</v>
      </c>
      <c r="D1416" t="s">
        <v>741</v>
      </c>
      <c r="F1416">
        <v>995093634</v>
      </c>
      <c r="G1416">
        <v>963785207</v>
      </c>
      <c r="H1416">
        <v>930459184</v>
      </c>
      <c r="I1416">
        <v>882387028</v>
      </c>
      <c r="J1416">
        <v>827697436</v>
      </c>
      <c r="K1416">
        <v>385760158</v>
      </c>
      <c r="L1416">
        <v>313268603</v>
      </c>
      <c r="M1416">
        <v>249224611</v>
      </c>
      <c r="N1416">
        <v>187159591</v>
      </c>
      <c r="P1416">
        <v>80</v>
      </c>
      <c r="Q1416" t="s">
        <v>3133</v>
      </c>
    </row>
    <row r="1417" spans="1:17" x14ac:dyDescent="0.3">
      <c r="A1417" t="s">
        <v>17</v>
      </c>
      <c r="B1417" t="str">
        <f>"603657"</f>
        <v>603657</v>
      </c>
      <c r="C1417" t="s">
        <v>3134</v>
      </c>
      <c r="D1417" t="s">
        <v>1253</v>
      </c>
      <c r="F1417">
        <v>999065108</v>
      </c>
      <c r="G1417">
        <v>961754743</v>
      </c>
      <c r="H1417">
        <v>872038891</v>
      </c>
      <c r="I1417">
        <v>841108975</v>
      </c>
      <c r="J1417">
        <v>344101231</v>
      </c>
      <c r="K1417">
        <v>255007156</v>
      </c>
      <c r="L1417">
        <v>238827618</v>
      </c>
      <c r="P1417">
        <v>152</v>
      </c>
      <c r="Q1417" t="s">
        <v>3135</v>
      </c>
    </row>
    <row r="1418" spans="1:17" x14ac:dyDescent="0.3">
      <c r="A1418" t="s">
        <v>17</v>
      </c>
      <c r="B1418" t="str">
        <f>"603658"</f>
        <v>603658</v>
      </c>
      <c r="C1418" t="s">
        <v>3136</v>
      </c>
      <c r="D1418" t="s">
        <v>1305</v>
      </c>
      <c r="F1418">
        <v>7276714614</v>
      </c>
      <c r="G1418">
        <v>6477364992</v>
      </c>
      <c r="H1418">
        <v>2366763995</v>
      </c>
      <c r="I1418">
        <v>1928600037</v>
      </c>
      <c r="J1418">
        <v>1667289210</v>
      </c>
      <c r="K1418">
        <v>1644925051</v>
      </c>
      <c r="L1418">
        <v>718550501</v>
      </c>
      <c r="M1418">
        <v>500943712</v>
      </c>
      <c r="N1418">
        <v>340422641</v>
      </c>
      <c r="P1418">
        <v>2606</v>
      </c>
      <c r="Q1418" t="s">
        <v>3137</v>
      </c>
    </row>
    <row r="1419" spans="1:17" x14ac:dyDescent="0.3">
      <c r="A1419" t="s">
        <v>17</v>
      </c>
      <c r="B1419" t="str">
        <f>"603659"</f>
        <v>603659</v>
      </c>
      <c r="C1419" t="s">
        <v>3138</v>
      </c>
      <c r="D1419" t="s">
        <v>1790</v>
      </c>
      <c r="F1419">
        <v>10486702727</v>
      </c>
      <c r="G1419">
        <v>8914163998</v>
      </c>
      <c r="H1419">
        <v>3409416053</v>
      </c>
      <c r="I1419">
        <v>2908330673</v>
      </c>
      <c r="J1419">
        <v>2447209143</v>
      </c>
      <c r="K1419">
        <v>997472169</v>
      </c>
      <c r="L1419">
        <v>643508879</v>
      </c>
      <c r="M1419">
        <v>165820375</v>
      </c>
      <c r="P1419">
        <v>1047</v>
      </c>
      <c r="Q1419" t="s">
        <v>3139</v>
      </c>
    </row>
    <row r="1420" spans="1:17" x14ac:dyDescent="0.3">
      <c r="A1420" t="s">
        <v>17</v>
      </c>
      <c r="B1420" t="str">
        <f>"603660"</f>
        <v>603660</v>
      </c>
      <c r="C1420" t="s">
        <v>3140</v>
      </c>
      <c r="D1420" t="s">
        <v>236</v>
      </c>
      <c r="F1420">
        <v>1864526285</v>
      </c>
      <c r="G1420">
        <v>1868412490</v>
      </c>
      <c r="H1420">
        <v>1825542431</v>
      </c>
      <c r="I1420">
        <v>1732537592</v>
      </c>
      <c r="J1420">
        <v>1388136998</v>
      </c>
      <c r="K1420">
        <v>1135440165</v>
      </c>
      <c r="L1420">
        <v>623378135</v>
      </c>
      <c r="M1420">
        <v>503356242</v>
      </c>
      <c r="N1420">
        <v>459884851</v>
      </c>
      <c r="P1420">
        <v>291</v>
      </c>
      <c r="Q1420" t="s">
        <v>3141</v>
      </c>
    </row>
    <row r="1421" spans="1:17" x14ac:dyDescent="0.3">
      <c r="A1421" t="s">
        <v>17</v>
      </c>
      <c r="B1421" t="str">
        <f>"603661"</f>
        <v>603661</v>
      </c>
      <c r="C1421" t="s">
        <v>3142</v>
      </c>
      <c r="D1421" t="s">
        <v>757</v>
      </c>
      <c r="F1421">
        <v>3024221334</v>
      </c>
      <c r="G1421">
        <v>2797066864</v>
      </c>
      <c r="H1421">
        <v>2520942464</v>
      </c>
      <c r="I1421">
        <v>2261091674</v>
      </c>
      <c r="J1421">
        <v>2179150850</v>
      </c>
      <c r="K1421">
        <v>647616709</v>
      </c>
      <c r="L1421">
        <v>383854504</v>
      </c>
      <c r="M1421">
        <v>494109109</v>
      </c>
      <c r="P1421">
        <v>148</v>
      </c>
      <c r="Q1421" t="s">
        <v>3143</v>
      </c>
    </row>
    <row r="1422" spans="1:17" x14ac:dyDescent="0.3">
      <c r="A1422" t="s">
        <v>17</v>
      </c>
      <c r="B1422" t="str">
        <f>"603662"</f>
        <v>603662</v>
      </c>
      <c r="C1422" t="s">
        <v>3144</v>
      </c>
      <c r="D1422" t="s">
        <v>2566</v>
      </c>
      <c r="F1422">
        <v>2096208437</v>
      </c>
      <c r="G1422">
        <v>1911712018</v>
      </c>
      <c r="H1422">
        <v>1751872331</v>
      </c>
      <c r="I1422">
        <v>1026879952</v>
      </c>
      <c r="J1422">
        <v>910797433</v>
      </c>
      <c r="K1422">
        <v>826363546</v>
      </c>
      <c r="P1422">
        <v>125</v>
      </c>
      <c r="Q1422" t="s">
        <v>3145</v>
      </c>
    </row>
    <row r="1423" spans="1:17" x14ac:dyDescent="0.3">
      <c r="A1423" t="s">
        <v>17</v>
      </c>
      <c r="B1423" t="str">
        <f>"603663"</f>
        <v>603663</v>
      </c>
      <c r="C1423" t="s">
        <v>3146</v>
      </c>
      <c r="D1423" t="s">
        <v>736</v>
      </c>
      <c r="F1423">
        <v>1083180330</v>
      </c>
      <c r="G1423">
        <v>615202947</v>
      </c>
      <c r="H1423">
        <v>527769193</v>
      </c>
      <c r="I1423">
        <v>530330929</v>
      </c>
      <c r="J1423">
        <v>467578430</v>
      </c>
      <c r="K1423">
        <v>425933032</v>
      </c>
      <c r="L1423">
        <v>238894559</v>
      </c>
      <c r="M1423">
        <v>220212802</v>
      </c>
      <c r="N1423">
        <v>203794615</v>
      </c>
      <c r="P1423">
        <v>143</v>
      </c>
      <c r="Q1423" t="s">
        <v>3147</v>
      </c>
    </row>
    <row r="1424" spans="1:17" x14ac:dyDescent="0.3">
      <c r="A1424" t="s">
        <v>17</v>
      </c>
      <c r="B1424" t="str">
        <f>"603665"</f>
        <v>603665</v>
      </c>
      <c r="C1424" t="s">
        <v>3148</v>
      </c>
      <c r="D1424" t="s">
        <v>330</v>
      </c>
      <c r="F1424">
        <v>938840179</v>
      </c>
      <c r="G1424">
        <v>1094425977</v>
      </c>
      <c r="H1424">
        <v>1029655155</v>
      </c>
      <c r="I1424">
        <v>997348462</v>
      </c>
      <c r="J1424">
        <v>926787269</v>
      </c>
      <c r="K1424">
        <v>372000461</v>
      </c>
      <c r="L1424">
        <v>350760295</v>
      </c>
      <c r="M1424">
        <v>285910516</v>
      </c>
      <c r="P1424">
        <v>89</v>
      </c>
      <c r="Q1424" t="s">
        <v>3149</v>
      </c>
    </row>
    <row r="1425" spans="1:17" x14ac:dyDescent="0.3">
      <c r="A1425" t="s">
        <v>17</v>
      </c>
      <c r="B1425" t="str">
        <f>"603666"</f>
        <v>603666</v>
      </c>
      <c r="C1425" t="s">
        <v>3150</v>
      </c>
      <c r="D1425" t="s">
        <v>2938</v>
      </c>
      <c r="F1425">
        <v>2651244973</v>
      </c>
      <c r="G1425">
        <v>1523310740</v>
      </c>
      <c r="H1425">
        <v>1202681279</v>
      </c>
      <c r="I1425">
        <v>984736171</v>
      </c>
      <c r="J1425">
        <v>309871579</v>
      </c>
      <c r="K1425">
        <v>200878336</v>
      </c>
      <c r="L1425">
        <v>97221177</v>
      </c>
      <c r="P1425">
        <v>449</v>
      </c>
      <c r="Q1425" t="s">
        <v>3151</v>
      </c>
    </row>
    <row r="1426" spans="1:17" x14ac:dyDescent="0.3">
      <c r="A1426" t="s">
        <v>17</v>
      </c>
      <c r="B1426" t="str">
        <f>"603667"</f>
        <v>603667</v>
      </c>
      <c r="C1426" t="s">
        <v>3152</v>
      </c>
      <c r="D1426" t="s">
        <v>274</v>
      </c>
      <c r="F1426">
        <v>1906077557</v>
      </c>
      <c r="G1426">
        <v>1739723569</v>
      </c>
      <c r="H1426">
        <v>1730229521</v>
      </c>
      <c r="I1426">
        <v>1677950072</v>
      </c>
      <c r="J1426">
        <v>1208503120</v>
      </c>
      <c r="K1426">
        <v>1140570492</v>
      </c>
      <c r="L1426">
        <v>655940021</v>
      </c>
      <c r="M1426">
        <v>570691626</v>
      </c>
      <c r="N1426">
        <v>503298946</v>
      </c>
      <c r="P1426">
        <v>115</v>
      </c>
      <c r="Q1426" t="s">
        <v>3153</v>
      </c>
    </row>
    <row r="1427" spans="1:17" x14ac:dyDescent="0.3">
      <c r="A1427" t="s">
        <v>17</v>
      </c>
      <c r="B1427" t="str">
        <f>"603668"</f>
        <v>603668</v>
      </c>
      <c r="C1427" t="s">
        <v>3154</v>
      </c>
      <c r="D1427" t="s">
        <v>3155</v>
      </c>
      <c r="F1427">
        <v>1851513601</v>
      </c>
      <c r="G1427">
        <v>1219000272</v>
      </c>
      <c r="H1427">
        <v>1145527285</v>
      </c>
      <c r="I1427">
        <v>868291007</v>
      </c>
      <c r="J1427">
        <v>821296629</v>
      </c>
      <c r="K1427">
        <v>455336467</v>
      </c>
      <c r="L1427">
        <v>386666753</v>
      </c>
      <c r="M1427">
        <v>332867005</v>
      </c>
      <c r="N1427">
        <v>296754198</v>
      </c>
      <c r="P1427">
        <v>126</v>
      </c>
      <c r="Q1427" t="s">
        <v>3156</v>
      </c>
    </row>
    <row r="1428" spans="1:17" x14ac:dyDescent="0.3">
      <c r="A1428" t="s">
        <v>17</v>
      </c>
      <c r="B1428" t="str">
        <f>"603669"</f>
        <v>603669</v>
      </c>
      <c r="C1428" t="s">
        <v>3157</v>
      </c>
      <c r="D1428" t="s">
        <v>143</v>
      </c>
      <c r="F1428">
        <v>1364719541</v>
      </c>
      <c r="G1428">
        <v>1371984503</v>
      </c>
      <c r="H1428">
        <v>1313831563</v>
      </c>
      <c r="I1428">
        <v>1377959100</v>
      </c>
      <c r="J1428">
        <v>1299255374</v>
      </c>
      <c r="K1428">
        <v>1169449938</v>
      </c>
      <c r="L1428">
        <v>1119524751</v>
      </c>
      <c r="M1428">
        <v>374130822</v>
      </c>
      <c r="N1428">
        <v>351022606</v>
      </c>
      <c r="O1428">
        <v>236224083</v>
      </c>
      <c r="P1428">
        <v>194</v>
      </c>
      <c r="Q1428" t="s">
        <v>3158</v>
      </c>
    </row>
    <row r="1429" spans="1:17" x14ac:dyDescent="0.3">
      <c r="A1429" t="s">
        <v>17</v>
      </c>
      <c r="B1429" t="str">
        <f>"603676"</f>
        <v>603676</v>
      </c>
      <c r="C1429" t="s">
        <v>3159</v>
      </c>
      <c r="D1429" t="s">
        <v>143</v>
      </c>
      <c r="F1429">
        <v>1067264113</v>
      </c>
      <c r="G1429">
        <v>983209068</v>
      </c>
      <c r="H1429">
        <v>930052227</v>
      </c>
      <c r="I1429">
        <v>897639441</v>
      </c>
      <c r="J1429">
        <v>858043509</v>
      </c>
      <c r="K1429">
        <v>459420781</v>
      </c>
      <c r="L1429">
        <v>402903582</v>
      </c>
      <c r="M1429">
        <v>286191595</v>
      </c>
      <c r="P1429">
        <v>108</v>
      </c>
      <c r="Q1429" t="s">
        <v>3160</v>
      </c>
    </row>
    <row r="1430" spans="1:17" x14ac:dyDescent="0.3">
      <c r="A1430" t="s">
        <v>17</v>
      </c>
      <c r="B1430" t="str">
        <f>"603677"</f>
        <v>603677</v>
      </c>
      <c r="C1430" t="s">
        <v>3161</v>
      </c>
      <c r="D1430" t="s">
        <v>1253</v>
      </c>
      <c r="F1430">
        <v>1030098689</v>
      </c>
      <c r="G1430">
        <v>960995583</v>
      </c>
      <c r="H1430">
        <v>997129337</v>
      </c>
      <c r="I1430">
        <v>964081013</v>
      </c>
      <c r="J1430">
        <v>887331429</v>
      </c>
      <c r="K1430">
        <v>457016973</v>
      </c>
      <c r="L1430">
        <v>384241544</v>
      </c>
      <c r="M1430">
        <v>319584745</v>
      </c>
      <c r="N1430">
        <v>257818311</v>
      </c>
      <c r="P1430">
        <v>124</v>
      </c>
      <c r="Q1430" t="s">
        <v>3162</v>
      </c>
    </row>
    <row r="1431" spans="1:17" x14ac:dyDescent="0.3">
      <c r="A1431" t="s">
        <v>17</v>
      </c>
      <c r="B1431" t="str">
        <f>"603678"</f>
        <v>603678</v>
      </c>
      <c r="C1431" t="s">
        <v>3163</v>
      </c>
      <c r="D1431" t="s">
        <v>1136</v>
      </c>
      <c r="F1431">
        <v>4610169294</v>
      </c>
      <c r="G1431">
        <v>3833652281</v>
      </c>
      <c r="H1431">
        <v>3112934408</v>
      </c>
      <c r="I1431">
        <v>2778425591</v>
      </c>
      <c r="J1431">
        <v>2523775152</v>
      </c>
      <c r="K1431">
        <v>2324363590</v>
      </c>
      <c r="L1431">
        <v>1138524965</v>
      </c>
      <c r="M1431">
        <v>625519296</v>
      </c>
      <c r="N1431">
        <v>513301445</v>
      </c>
      <c r="O1431">
        <v>418296168</v>
      </c>
      <c r="P1431">
        <v>639</v>
      </c>
      <c r="Q1431" t="s">
        <v>3164</v>
      </c>
    </row>
    <row r="1432" spans="1:17" x14ac:dyDescent="0.3">
      <c r="A1432" t="s">
        <v>17</v>
      </c>
      <c r="B1432" t="str">
        <f>"603679"</f>
        <v>603679</v>
      </c>
      <c r="C1432" t="s">
        <v>3165</v>
      </c>
      <c r="D1432" t="s">
        <v>803</v>
      </c>
      <c r="F1432">
        <v>685598968</v>
      </c>
      <c r="G1432">
        <v>751677467</v>
      </c>
      <c r="H1432">
        <v>680612840</v>
      </c>
      <c r="I1432">
        <v>584061040</v>
      </c>
      <c r="J1432">
        <v>517360143</v>
      </c>
      <c r="K1432">
        <v>264587781</v>
      </c>
      <c r="L1432">
        <v>224146071</v>
      </c>
      <c r="M1432">
        <v>188724728</v>
      </c>
      <c r="P1432">
        <v>164</v>
      </c>
      <c r="Q1432" t="s">
        <v>3166</v>
      </c>
    </row>
    <row r="1433" spans="1:17" x14ac:dyDescent="0.3">
      <c r="A1433" t="s">
        <v>17</v>
      </c>
      <c r="B1433" t="str">
        <f>"603680"</f>
        <v>603680</v>
      </c>
      <c r="C1433" t="s">
        <v>3167</v>
      </c>
      <c r="D1433" t="s">
        <v>1012</v>
      </c>
      <c r="F1433">
        <v>4758952553</v>
      </c>
      <c r="G1433">
        <v>4516088068</v>
      </c>
      <c r="H1433">
        <v>4139002612</v>
      </c>
      <c r="I1433">
        <v>3758920783</v>
      </c>
      <c r="J1433">
        <v>2104212803</v>
      </c>
      <c r="K1433">
        <v>1503601028</v>
      </c>
      <c r="L1433">
        <v>1769089703</v>
      </c>
      <c r="M1433">
        <v>1096472712</v>
      </c>
      <c r="P1433">
        <v>81</v>
      </c>
      <c r="Q1433" t="s">
        <v>3168</v>
      </c>
    </row>
    <row r="1434" spans="1:17" x14ac:dyDescent="0.3">
      <c r="A1434" t="s">
        <v>17</v>
      </c>
      <c r="B1434" t="str">
        <f>"603681"</f>
        <v>603681</v>
      </c>
      <c r="C1434" t="s">
        <v>3169</v>
      </c>
      <c r="D1434" t="s">
        <v>3170</v>
      </c>
      <c r="F1434">
        <v>2221318916</v>
      </c>
      <c r="G1434">
        <v>1513327887</v>
      </c>
      <c r="H1434">
        <v>1365137305</v>
      </c>
      <c r="I1434">
        <v>896884824</v>
      </c>
      <c r="J1434">
        <v>765507308</v>
      </c>
      <c r="K1434">
        <v>684021611</v>
      </c>
      <c r="L1434">
        <v>408258159</v>
      </c>
      <c r="P1434">
        <v>113</v>
      </c>
      <c r="Q1434" t="s">
        <v>3171</v>
      </c>
    </row>
    <row r="1435" spans="1:17" x14ac:dyDescent="0.3">
      <c r="A1435" t="s">
        <v>17</v>
      </c>
      <c r="B1435" t="str">
        <f>"603682"</f>
        <v>603682</v>
      </c>
      <c r="C1435" t="s">
        <v>3172</v>
      </c>
      <c r="D1435" t="s">
        <v>271</v>
      </c>
      <c r="F1435">
        <v>1129504766</v>
      </c>
      <c r="G1435">
        <v>1545208965</v>
      </c>
      <c r="H1435">
        <v>882458710</v>
      </c>
      <c r="I1435">
        <v>703384762</v>
      </c>
      <c r="J1435">
        <v>582496036</v>
      </c>
      <c r="K1435">
        <v>463499443</v>
      </c>
      <c r="P1435">
        <v>156</v>
      </c>
      <c r="Q1435" t="s">
        <v>3173</v>
      </c>
    </row>
    <row r="1436" spans="1:17" x14ac:dyDescent="0.3">
      <c r="A1436" t="s">
        <v>17</v>
      </c>
      <c r="B1436" t="str">
        <f>"603683"</f>
        <v>603683</v>
      </c>
      <c r="C1436" t="s">
        <v>3174</v>
      </c>
      <c r="D1436" t="s">
        <v>3170</v>
      </c>
      <c r="F1436">
        <v>963909041</v>
      </c>
      <c r="G1436">
        <v>927732437</v>
      </c>
      <c r="H1436">
        <v>790627737</v>
      </c>
      <c r="I1436">
        <v>791632940</v>
      </c>
      <c r="J1436">
        <v>769993230</v>
      </c>
      <c r="K1436">
        <v>473906075</v>
      </c>
      <c r="L1436">
        <v>416257282</v>
      </c>
      <c r="M1436">
        <v>261230082</v>
      </c>
      <c r="P1436">
        <v>58</v>
      </c>
      <c r="Q1436" t="s">
        <v>3175</v>
      </c>
    </row>
    <row r="1437" spans="1:17" x14ac:dyDescent="0.3">
      <c r="A1437" t="s">
        <v>17</v>
      </c>
      <c r="B1437" t="str">
        <f>"603685"</f>
        <v>603685</v>
      </c>
      <c r="C1437" t="s">
        <v>3176</v>
      </c>
      <c r="D1437" t="s">
        <v>803</v>
      </c>
      <c r="F1437">
        <v>1136613576</v>
      </c>
      <c r="G1437">
        <v>1073633121</v>
      </c>
      <c r="H1437">
        <v>1049307799</v>
      </c>
      <c r="I1437">
        <v>970508785</v>
      </c>
      <c r="J1437">
        <v>900982206</v>
      </c>
      <c r="K1437">
        <v>340776746</v>
      </c>
      <c r="L1437">
        <v>248271511</v>
      </c>
      <c r="M1437">
        <v>171835653</v>
      </c>
      <c r="P1437">
        <v>102</v>
      </c>
      <c r="Q1437" t="s">
        <v>3177</v>
      </c>
    </row>
    <row r="1438" spans="1:17" x14ac:dyDescent="0.3">
      <c r="A1438" t="s">
        <v>17</v>
      </c>
      <c r="B1438" t="str">
        <f>"603686"</f>
        <v>603686</v>
      </c>
      <c r="C1438" t="s">
        <v>3178</v>
      </c>
      <c r="D1438" t="s">
        <v>1070</v>
      </c>
      <c r="F1438">
        <v>3018080982</v>
      </c>
      <c r="G1438">
        <v>2846357565</v>
      </c>
      <c r="H1438">
        <v>2499958318</v>
      </c>
      <c r="I1438">
        <v>2311039800</v>
      </c>
      <c r="J1438">
        <v>2139846279</v>
      </c>
      <c r="K1438">
        <v>1196331781</v>
      </c>
      <c r="L1438">
        <v>1038092819</v>
      </c>
      <c r="M1438">
        <v>482945481</v>
      </c>
      <c r="N1438">
        <v>381439612</v>
      </c>
      <c r="O1438">
        <v>308294981</v>
      </c>
      <c r="P1438">
        <v>760</v>
      </c>
      <c r="Q1438" t="s">
        <v>3179</v>
      </c>
    </row>
    <row r="1439" spans="1:17" x14ac:dyDescent="0.3">
      <c r="A1439" t="s">
        <v>17</v>
      </c>
      <c r="B1439" t="str">
        <f>"603687"</f>
        <v>603687</v>
      </c>
      <c r="C1439" t="s">
        <v>3180</v>
      </c>
      <c r="D1439" t="s">
        <v>2165</v>
      </c>
      <c r="F1439">
        <v>1820148399</v>
      </c>
      <c r="G1439">
        <v>1716277348</v>
      </c>
      <c r="H1439">
        <v>1447030677</v>
      </c>
      <c r="I1439">
        <v>1014330146</v>
      </c>
      <c r="J1439">
        <v>889533321</v>
      </c>
      <c r="K1439">
        <v>546584960</v>
      </c>
      <c r="P1439">
        <v>92</v>
      </c>
      <c r="Q1439" t="s">
        <v>3181</v>
      </c>
    </row>
    <row r="1440" spans="1:17" x14ac:dyDescent="0.3">
      <c r="A1440" t="s">
        <v>17</v>
      </c>
      <c r="B1440" t="str">
        <f>"603688"</f>
        <v>603688</v>
      </c>
      <c r="C1440" t="s">
        <v>3182</v>
      </c>
      <c r="D1440" t="s">
        <v>2762</v>
      </c>
      <c r="F1440">
        <v>2160963575</v>
      </c>
      <c r="G1440">
        <v>1926767301</v>
      </c>
      <c r="H1440">
        <v>1480684656</v>
      </c>
      <c r="I1440">
        <v>1408303370</v>
      </c>
      <c r="J1440">
        <v>1294894213</v>
      </c>
      <c r="K1440">
        <v>1198942654</v>
      </c>
      <c r="L1440">
        <v>1136576298</v>
      </c>
      <c r="M1440">
        <v>1176227419</v>
      </c>
      <c r="N1440">
        <v>780700062</v>
      </c>
      <c r="O1440">
        <v>702459385</v>
      </c>
      <c r="P1440">
        <v>219</v>
      </c>
      <c r="Q1440" t="s">
        <v>3183</v>
      </c>
    </row>
    <row r="1441" spans="1:17" x14ac:dyDescent="0.3">
      <c r="A1441" t="s">
        <v>17</v>
      </c>
      <c r="B1441" t="str">
        <f>"603689"</f>
        <v>603689</v>
      </c>
      <c r="C1441" t="s">
        <v>3184</v>
      </c>
      <c r="D1441" t="s">
        <v>749</v>
      </c>
      <c r="F1441">
        <v>2500930978</v>
      </c>
      <c r="G1441">
        <v>2348334977</v>
      </c>
      <c r="H1441">
        <v>2201413887</v>
      </c>
      <c r="I1441">
        <v>2020197828</v>
      </c>
      <c r="J1441">
        <v>1872499757</v>
      </c>
      <c r="K1441">
        <v>1116121369</v>
      </c>
      <c r="L1441">
        <v>1021033724</v>
      </c>
      <c r="M1441">
        <v>906010685</v>
      </c>
      <c r="N1441">
        <v>795379746</v>
      </c>
      <c r="P1441">
        <v>117</v>
      </c>
      <c r="Q1441" t="s">
        <v>3185</v>
      </c>
    </row>
    <row r="1442" spans="1:17" x14ac:dyDescent="0.3">
      <c r="A1442" t="s">
        <v>17</v>
      </c>
      <c r="B1442" t="str">
        <f>"603690"</f>
        <v>603690</v>
      </c>
      <c r="C1442" t="s">
        <v>3186</v>
      </c>
      <c r="D1442" t="s">
        <v>3187</v>
      </c>
      <c r="F1442">
        <v>4066221927</v>
      </c>
      <c r="G1442">
        <v>3067709818</v>
      </c>
      <c r="H1442">
        <v>1392721860</v>
      </c>
      <c r="I1442">
        <v>435654185</v>
      </c>
      <c r="J1442">
        <v>405063513</v>
      </c>
      <c r="K1442">
        <v>293040866</v>
      </c>
      <c r="L1442">
        <v>247972712</v>
      </c>
      <c r="M1442">
        <v>230274018</v>
      </c>
      <c r="N1442">
        <v>206946116</v>
      </c>
      <c r="P1442">
        <v>450</v>
      </c>
      <c r="Q1442" t="s">
        <v>3188</v>
      </c>
    </row>
    <row r="1443" spans="1:17" x14ac:dyDescent="0.3">
      <c r="A1443" t="s">
        <v>17</v>
      </c>
      <c r="B1443" t="str">
        <f>"603693"</f>
        <v>603693</v>
      </c>
      <c r="C1443" t="s">
        <v>3189</v>
      </c>
      <c r="D1443" t="s">
        <v>383</v>
      </c>
      <c r="F1443">
        <v>5662143927</v>
      </c>
      <c r="G1443">
        <v>4652752509</v>
      </c>
      <c r="H1443">
        <v>4592788646</v>
      </c>
      <c r="I1443">
        <v>4462027988</v>
      </c>
      <c r="J1443">
        <v>3278666476</v>
      </c>
      <c r="K1443">
        <v>3067964509</v>
      </c>
      <c r="L1443">
        <v>2774693267</v>
      </c>
      <c r="P1443">
        <v>160</v>
      </c>
      <c r="Q1443" t="s">
        <v>3190</v>
      </c>
    </row>
    <row r="1444" spans="1:17" x14ac:dyDescent="0.3">
      <c r="A1444" t="s">
        <v>17</v>
      </c>
      <c r="B1444" t="str">
        <f>"603696"</f>
        <v>603696</v>
      </c>
      <c r="C1444" t="s">
        <v>3191</v>
      </c>
      <c r="D1444" t="s">
        <v>433</v>
      </c>
      <c r="F1444">
        <v>548748873</v>
      </c>
      <c r="G1444">
        <v>565616536</v>
      </c>
      <c r="H1444">
        <v>591089967</v>
      </c>
      <c r="I1444">
        <v>646689889</v>
      </c>
      <c r="J1444">
        <v>720406230</v>
      </c>
      <c r="K1444">
        <v>698065337</v>
      </c>
      <c r="L1444">
        <v>671695309</v>
      </c>
      <c r="M1444">
        <v>351146764</v>
      </c>
      <c r="N1444">
        <v>294726005</v>
      </c>
      <c r="O1444">
        <v>242096736</v>
      </c>
      <c r="P1444">
        <v>195</v>
      </c>
      <c r="Q1444" t="s">
        <v>3192</v>
      </c>
    </row>
    <row r="1445" spans="1:17" x14ac:dyDescent="0.3">
      <c r="A1445" t="s">
        <v>17</v>
      </c>
      <c r="B1445" t="str">
        <f>"603697"</f>
        <v>603697</v>
      </c>
      <c r="C1445" t="s">
        <v>3193</v>
      </c>
      <c r="D1445" t="s">
        <v>3194</v>
      </c>
      <c r="F1445">
        <v>1901233630</v>
      </c>
      <c r="G1445">
        <v>1767154921</v>
      </c>
      <c r="H1445">
        <v>1565690103</v>
      </c>
      <c r="I1445">
        <v>880332925</v>
      </c>
      <c r="J1445">
        <v>702132694</v>
      </c>
      <c r="K1445">
        <v>552296235</v>
      </c>
      <c r="P1445">
        <v>394</v>
      </c>
      <c r="Q1445" t="s">
        <v>3195</v>
      </c>
    </row>
    <row r="1446" spans="1:17" x14ac:dyDescent="0.3">
      <c r="A1446" t="s">
        <v>17</v>
      </c>
      <c r="B1446" t="str">
        <f>"603698"</f>
        <v>603698</v>
      </c>
      <c r="C1446" t="s">
        <v>3196</v>
      </c>
      <c r="D1446" t="s">
        <v>395</v>
      </c>
      <c r="F1446">
        <v>3021076503</v>
      </c>
      <c r="G1446">
        <v>2918351722</v>
      </c>
      <c r="H1446">
        <v>2786682457</v>
      </c>
      <c r="I1446">
        <v>2662094232</v>
      </c>
      <c r="J1446">
        <v>2491471919</v>
      </c>
      <c r="K1446">
        <v>2345936573</v>
      </c>
      <c r="L1446">
        <v>2268211983</v>
      </c>
      <c r="M1446">
        <v>1012911917</v>
      </c>
      <c r="N1446">
        <v>928180793</v>
      </c>
      <c r="O1446">
        <v>738254595</v>
      </c>
      <c r="P1446">
        <v>108</v>
      </c>
      <c r="Q1446" t="s">
        <v>3197</v>
      </c>
    </row>
    <row r="1447" spans="1:17" x14ac:dyDescent="0.3">
      <c r="A1447" t="s">
        <v>17</v>
      </c>
      <c r="B1447" t="str">
        <f>"603699"</f>
        <v>603699</v>
      </c>
      <c r="C1447" t="s">
        <v>3198</v>
      </c>
      <c r="D1447" t="s">
        <v>274</v>
      </c>
      <c r="F1447">
        <v>2926625002</v>
      </c>
      <c r="G1447">
        <v>2851743511</v>
      </c>
      <c r="H1447">
        <v>2622451641</v>
      </c>
      <c r="I1447">
        <v>2732973103</v>
      </c>
      <c r="J1447">
        <v>2558894798</v>
      </c>
      <c r="K1447">
        <v>2475909706</v>
      </c>
      <c r="L1447">
        <v>2432351539</v>
      </c>
      <c r="M1447">
        <v>2389619411</v>
      </c>
      <c r="N1447">
        <v>1251330505</v>
      </c>
      <c r="O1447">
        <v>1031676152</v>
      </c>
      <c r="P1447">
        <v>271</v>
      </c>
      <c r="Q1447" t="s">
        <v>3199</v>
      </c>
    </row>
    <row r="1448" spans="1:17" x14ac:dyDescent="0.3">
      <c r="A1448" t="s">
        <v>17</v>
      </c>
      <c r="B1448" t="str">
        <f>"603700"</f>
        <v>603700</v>
      </c>
      <c r="C1448" t="s">
        <v>3200</v>
      </c>
      <c r="D1448" t="s">
        <v>2566</v>
      </c>
      <c r="F1448">
        <v>1596294758</v>
      </c>
      <c r="G1448">
        <v>1452633109</v>
      </c>
      <c r="H1448">
        <v>1244167922</v>
      </c>
      <c r="I1448">
        <v>510903351</v>
      </c>
      <c r="J1448">
        <v>418505343</v>
      </c>
      <c r="K1448">
        <v>369607004</v>
      </c>
      <c r="L1448">
        <v>283566970</v>
      </c>
      <c r="P1448">
        <v>395</v>
      </c>
      <c r="Q1448" t="s">
        <v>3201</v>
      </c>
    </row>
    <row r="1449" spans="1:17" x14ac:dyDescent="0.3">
      <c r="A1449" t="s">
        <v>17</v>
      </c>
      <c r="B1449" t="str">
        <f>"603701"</f>
        <v>603701</v>
      </c>
      <c r="C1449" t="s">
        <v>3202</v>
      </c>
      <c r="D1449" t="s">
        <v>348</v>
      </c>
      <c r="F1449">
        <v>744386842</v>
      </c>
      <c r="G1449">
        <v>719113345</v>
      </c>
      <c r="H1449">
        <v>698035374</v>
      </c>
      <c r="I1449">
        <v>695886090</v>
      </c>
      <c r="J1449">
        <v>592254286</v>
      </c>
      <c r="K1449">
        <v>546345052</v>
      </c>
      <c r="L1449">
        <v>277268877</v>
      </c>
      <c r="M1449">
        <v>250243719</v>
      </c>
      <c r="N1449">
        <v>225985916</v>
      </c>
      <c r="O1449">
        <v>199897165</v>
      </c>
      <c r="P1449">
        <v>93</v>
      </c>
      <c r="Q1449" t="s">
        <v>3203</v>
      </c>
    </row>
    <row r="1450" spans="1:17" x14ac:dyDescent="0.3">
      <c r="A1450" t="s">
        <v>17</v>
      </c>
      <c r="B1450" t="str">
        <f>"603703"</f>
        <v>603703</v>
      </c>
      <c r="C1450" t="s">
        <v>3204</v>
      </c>
      <c r="D1450" t="s">
        <v>803</v>
      </c>
      <c r="F1450">
        <v>925709410</v>
      </c>
      <c r="G1450">
        <v>1083978245</v>
      </c>
      <c r="H1450">
        <v>440900086</v>
      </c>
      <c r="I1450">
        <v>437248274</v>
      </c>
      <c r="J1450">
        <v>534387130</v>
      </c>
      <c r="K1450">
        <v>519564363</v>
      </c>
      <c r="L1450">
        <v>528064602</v>
      </c>
      <c r="M1450">
        <v>270656580</v>
      </c>
      <c r="N1450">
        <v>215651602</v>
      </c>
      <c r="O1450">
        <v>179662252</v>
      </c>
      <c r="P1450">
        <v>78</v>
      </c>
      <c r="Q1450" t="s">
        <v>3205</v>
      </c>
    </row>
    <row r="1451" spans="1:17" x14ac:dyDescent="0.3">
      <c r="A1451" t="s">
        <v>17</v>
      </c>
      <c r="B1451" t="str">
        <f>"603706"</f>
        <v>603706</v>
      </c>
      <c r="C1451" t="s">
        <v>3206</v>
      </c>
      <c r="D1451" t="s">
        <v>749</v>
      </c>
      <c r="F1451">
        <v>1588448625</v>
      </c>
      <c r="G1451">
        <v>1544519300</v>
      </c>
      <c r="H1451">
        <v>1164498113</v>
      </c>
      <c r="I1451">
        <v>1107652972</v>
      </c>
      <c r="J1451">
        <v>533558920</v>
      </c>
      <c r="K1451">
        <v>466377565</v>
      </c>
      <c r="L1451">
        <v>354819437</v>
      </c>
      <c r="P1451">
        <v>91</v>
      </c>
      <c r="Q1451" t="s">
        <v>3207</v>
      </c>
    </row>
    <row r="1452" spans="1:17" x14ac:dyDescent="0.3">
      <c r="A1452" t="s">
        <v>17</v>
      </c>
      <c r="B1452" t="str">
        <f>"603707"</f>
        <v>603707</v>
      </c>
      <c r="C1452" t="s">
        <v>3208</v>
      </c>
      <c r="D1452" t="s">
        <v>143</v>
      </c>
      <c r="F1452">
        <v>5328627306</v>
      </c>
      <c r="G1452">
        <v>3568577791</v>
      </c>
      <c r="H1452">
        <v>2966492803</v>
      </c>
      <c r="I1452">
        <v>2421112752</v>
      </c>
      <c r="J1452">
        <v>2052264031</v>
      </c>
      <c r="K1452">
        <v>1314609396</v>
      </c>
      <c r="L1452">
        <v>1092675860</v>
      </c>
      <c r="M1452">
        <v>1031855429</v>
      </c>
      <c r="P1452">
        <v>771</v>
      </c>
      <c r="Q1452" t="s">
        <v>3209</v>
      </c>
    </row>
    <row r="1453" spans="1:17" x14ac:dyDescent="0.3">
      <c r="A1453" t="s">
        <v>17</v>
      </c>
      <c r="B1453" t="str">
        <f>"603708"</f>
        <v>603708</v>
      </c>
      <c r="C1453" t="s">
        <v>3210</v>
      </c>
      <c r="D1453" t="s">
        <v>798</v>
      </c>
      <c r="F1453">
        <v>2066644491</v>
      </c>
      <c r="G1453">
        <v>2931893994</v>
      </c>
      <c r="H1453">
        <v>2917388184</v>
      </c>
      <c r="I1453">
        <v>2721806883</v>
      </c>
      <c r="J1453">
        <v>2478749634</v>
      </c>
      <c r="K1453">
        <v>2330418429</v>
      </c>
      <c r="L1453">
        <v>1000253765</v>
      </c>
      <c r="M1453">
        <v>925719950</v>
      </c>
      <c r="N1453">
        <v>807940383</v>
      </c>
      <c r="P1453">
        <v>702</v>
      </c>
      <c r="Q1453" t="s">
        <v>3211</v>
      </c>
    </row>
    <row r="1454" spans="1:17" x14ac:dyDescent="0.3">
      <c r="A1454" t="s">
        <v>17</v>
      </c>
      <c r="B1454" t="str">
        <f>"603709"</f>
        <v>603709</v>
      </c>
      <c r="C1454" t="s">
        <v>3212</v>
      </c>
      <c r="D1454" t="s">
        <v>757</v>
      </c>
      <c r="F1454">
        <v>614480849</v>
      </c>
      <c r="G1454">
        <v>638194023</v>
      </c>
      <c r="H1454">
        <v>614200553</v>
      </c>
      <c r="I1454">
        <v>598430184</v>
      </c>
      <c r="J1454">
        <v>171483234</v>
      </c>
      <c r="K1454">
        <v>128804364</v>
      </c>
      <c r="L1454">
        <v>73583442</v>
      </c>
      <c r="M1454">
        <v>48708928</v>
      </c>
      <c r="P1454">
        <v>99</v>
      </c>
      <c r="Q1454" t="s">
        <v>3213</v>
      </c>
    </row>
    <row r="1455" spans="1:17" x14ac:dyDescent="0.3">
      <c r="A1455" t="s">
        <v>17</v>
      </c>
      <c r="B1455" t="str">
        <f>"603711"</f>
        <v>603711</v>
      </c>
      <c r="C1455" t="s">
        <v>3214</v>
      </c>
      <c r="D1455" t="s">
        <v>440</v>
      </c>
      <c r="F1455">
        <v>2977439347</v>
      </c>
      <c r="G1455">
        <v>2838393832</v>
      </c>
      <c r="H1455">
        <v>2534120339</v>
      </c>
      <c r="I1455">
        <v>2215114220</v>
      </c>
      <c r="J1455">
        <v>1927647591</v>
      </c>
      <c r="K1455">
        <v>1263846260</v>
      </c>
      <c r="L1455">
        <v>997744167</v>
      </c>
      <c r="M1455">
        <v>793796596</v>
      </c>
      <c r="P1455">
        <v>392</v>
      </c>
      <c r="Q1455" t="s">
        <v>3215</v>
      </c>
    </row>
    <row r="1456" spans="1:17" x14ac:dyDescent="0.3">
      <c r="A1456" t="s">
        <v>17</v>
      </c>
      <c r="B1456" t="str">
        <f>"603712"</f>
        <v>603712</v>
      </c>
      <c r="C1456" t="s">
        <v>3216</v>
      </c>
      <c r="D1456" t="s">
        <v>1136</v>
      </c>
      <c r="F1456">
        <v>3615253838</v>
      </c>
      <c r="G1456">
        <v>3004155569</v>
      </c>
      <c r="H1456">
        <v>2558271667</v>
      </c>
      <c r="I1456">
        <v>2252507965</v>
      </c>
      <c r="J1456">
        <v>1653719436</v>
      </c>
      <c r="K1456">
        <v>1459487211</v>
      </c>
      <c r="L1456">
        <v>1453666635</v>
      </c>
      <c r="M1456">
        <v>1273217379</v>
      </c>
      <c r="P1456">
        <v>325</v>
      </c>
      <c r="Q1456" t="s">
        <v>3217</v>
      </c>
    </row>
    <row r="1457" spans="1:17" x14ac:dyDescent="0.3">
      <c r="A1457" t="s">
        <v>17</v>
      </c>
      <c r="B1457" t="str">
        <f>"603713"</f>
        <v>603713</v>
      </c>
      <c r="C1457" t="s">
        <v>3218</v>
      </c>
      <c r="D1457" t="s">
        <v>1592</v>
      </c>
      <c r="F1457">
        <v>3152644448</v>
      </c>
      <c r="G1457">
        <v>1711372907</v>
      </c>
      <c r="H1457">
        <v>1434668623</v>
      </c>
      <c r="I1457">
        <v>1252235445</v>
      </c>
      <c r="J1457">
        <v>722890916</v>
      </c>
      <c r="K1457">
        <v>620460692</v>
      </c>
      <c r="L1457">
        <v>446668305</v>
      </c>
      <c r="P1457">
        <v>457</v>
      </c>
      <c r="Q1457" t="s">
        <v>3219</v>
      </c>
    </row>
    <row r="1458" spans="1:17" x14ac:dyDescent="0.3">
      <c r="A1458" t="s">
        <v>17</v>
      </c>
      <c r="B1458" t="str">
        <f>"603716"</f>
        <v>603716</v>
      </c>
      <c r="C1458" t="s">
        <v>3220</v>
      </c>
      <c r="D1458" t="s">
        <v>125</v>
      </c>
      <c r="F1458">
        <v>1467885133</v>
      </c>
      <c r="G1458">
        <v>1553443811</v>
      </c>
      <c r="H1458">
        <v>1489172773</v>
      </c>
      <c r="I1458">
        <v>1520775611</v>
      </c>
      <c r="J1458">
        <v>933386167</v>
      </c>
      <c r="K1458">
        <v>843613982</v>
      </c>
      <c r="L1458">
        <v>460704746</v>
      </c>
      <c r="M1458">
        <v>399245419</v>
      </c>
      <c r="N1458">
        <v>342727313</v>
      </c>
      <c r="P1458">
        <v>137</v>
      </c>
      <c r="Q1458" t="s">
        <v>3221</v>
      </c>
    </row>
    <row r="1459" spans="1:17" x14ac:dyDescent="0.3">
      <c r="A1459" t="s">
        <v>17</v>
      </c>
      <c r="B1459" t="str">
        <f>"603717"</f>
        <v>603717</v>
      </c>
      <c r="C1459" t="s">
        <v>3222</v>
      </c>
      <c r="D1459" t="s">
        <v>2417</v>
      </c>
      <c r="F1459">
        <v>1417857427</v>
      </c>
      <c r="G1459">
        <v>1239740600</v>
      </c>
      <c r="H1459">
        <v>1410664055</v>
      </c>
      <c r="I1459">
        <v>1349244331</v>
      </c>
      <c r="J1459">
        <v>1292127032</v>
      </c>
      <c r="K1459">
        <v>600612925</v>
      </c>
      <c r="L1459">
        <v>490700634</v>
      </c>
      <c r="M1459">
        <v>392487972</v>
      </c>
      <c r="P1459">
        <v>55</v>
      </c>
      <c r="Q1459" t="s">
        <v>3223</v>
      </c>
    </row>
    <row r="1460" spans="1:17" x14ac:dyDescent="0.3">
      <c r="A1460" t="s">
        <v>17</v>
      </c>
      <c r="B1460" t="str">
        <f>"603718"</f>
        <v>603718</v>
      </c>
      <c r="C1460" t="s">
        <v>3224</v>
      </c>
      <c r="D1460" t="s">
        <v>453</v>
      </c>
      <c r="F1460">
        <v>1005605791</v>
      </c>
      <c r="G1460">
        <v>1058329501</v>
      </c>
      <c r="H1460">
        <v>1060814483</v>
      </c>
      <c r="I1460">
        <v>1055437539</v>
      </c>
      <c r="J1460">
        <v>1069559315</v>
      </c>
      <c r="K1460">
        <v>981579783</v>
      </c>
      <c r="L1460">
        <v>924043433</v>
      </c>
      <c r="M1460">
        <v>547196974</v>
      </c>
      <c r="N1460">
        <v>487975587</v>
      </c>
      <c r="O1460">
        <v>467886062</v>
      </c>
      <c r="P1460">
        <v>166</v>
      </c>
      <c r="Q1460" t="s">
        <v>3225</v>
      </c>
    </row>
    <row r="1461" spans="1:17" x14ac:dyDescent="0.3">
      <c r="A1461" t="s">
        <v>17</v>
      </c>
      <c r="B1461" t="str">
        <f>"603719"</f>
        <v>603719</v>
      </c>
      <c r="C1461" t="s">
        <v>3226</v>
      </c>
      <c r="D1461" t="s">
        <v>3194</v>
      </c>
      <c r="F1461">
        <v>2145654600</v>
      </c>
      <c r="G1461">
        <v>2082597876</v>
      </c>
      <c r="H1461">
        <v>1415594336</v>
      </c>
      <c r="I1461">
        <v>1076663742</v>
      </c>
      <c r="J1461">
        <v>838063054</v>
      </c>
      <c r="K1461">
        <v>401292401</v>
      </c>
      <c r="P1461">
        <v>715</v>
      </c>
      <c r="Q1461" t="s">
        <v>3227</v>
      </c>
    </row>
    <row r="1462" spans="1:17" x14ac:dyDescent="0.3">
      <c r="A1462" t="s">
        <v>17</v>
      </c>
      <c r="B1462" t="str">
        <f>"603721"</f>
        <v>603721</v>
      </c>
      <c r="C1462" t="s">
        <v>3228</v>
      </c>
      <c r="D1462" t="s">
        <v>113</v>
      </c>
      <c r="F1462">
        <v>542070519</v>
      </c>
      <c r="G1462">
        <v>519759333</v>
      </c>
      <c r="H1462">
        <v>543714336</v>
      </c>
      <c r="I1462">
        <v>537365217</v>
      </c>
      <c r="J1462">
        <v>539981533</v>
      </c>
      <c r="K1462">
        <v>332859197</v>
      </c>
      <c r="L1462">
        <v>292806639</v>
      </c>
      <c r="M1462">
        <v>254711652</v>
      </c>
      <c r="P1462">
        <v>89</v>
      </c>
      <c r="Q1462" t="s">
        <v>3229</v>
      </c>
    </row>
    <row r="1463" spans="1:17" x14ac:dyDescent="0.3">
      <c r="A1463" t="s">
        <v>17</v>
      </c>
      <c r="B1463" t="str">
        <f>"603722"</f>
        <v>603722</v>
      </c>
      <c r="C1463" t="s">
        <v>3230</v>
      </c>
      <c r="D1463" t="s">
        <v>1192</v>
      </c>
      <c r="F1463">
        <v>661020144</v>
      </c>
      <c r="G1463">
        <v>580453914</v>
      </c>
      <c r="H1463">
        <v>541469350</v>
      </c>
      <c r="I1463">
        <v>518934779</v>
      </c>
      <c r="J1463">
        <v>520190238</v>
      </c>
      <c r="K1463">
        <v>257603186</v>
      </c>
      <c r="L1463">
        <v>211614580</v>
      </c>
      <c r="M1463">
        <v>154602728</v>
      </c>
      <c r="P1463">
        <v>83</v>
      </c>
      <c r="Q1463" t="s">
        <v>3231</v>
      </c>
    </row>
    <row r="1464" spans="1:17" x14ac:dyDescent="0.3">
      <c r="A1464" t="s">
        <v>17</v>
      </c>
      <c r="B1464" t="str">
        <f>"603725"</f>
        <v>603725</v>
      </c>
      <c r="C1464" t="s">
        <v>3232</v>
      </c>
      <c r="D1464" t="s">
        <v>386</v>
      </c>
      <c r="F1464">
        <v>664013353</v>
      </c>
      <c r="G1464">
        <v>821642813</v>
      </c>
      <c r="H1464">
        <v>803891424</v>
      </c>
      <c r="I1464">
        <v>815569893</v>
      </c>
      <c r="J1464">
        <v>784175507</v>
      </c>
      <c r="K1464">
        <v>412527410</v>
      </c>
      <c r="L1464">
        <v>351644096</v>
      </c>
      <c r="M1464">
        <v>278610902</v>
      </c>
      <c r="P1464">
        <v>74</v>
      </c>
      <c r="Q1464" t="s">
        <v>3233</v>
      </c>
    </row>
    <row r="1465" spans="1:17" x14ac:dyDescent="0.3">
      <c r="A1465" t="s">
        <v>17</v>
      </c>
      <c r="B1465" t="str">
        <f>"603726"</f>
        <v>603726</v>
      </c>
      <c r="C1465" t="s">
        <v>3234</v>
      </c>
      <c r="D1465" t="s">
        <v>1253</v>
      </c>
      <c r="F1465">
        <v>1088152938</v>
      </c>
      <c r="G1465">
        <v>1014122585</v>
      </c>
      <c r="H1465">
        <v>925427645</v>
      </c>
      <c r="I1465">
        <v>881676766</v>
      </c>
      <c r="J1465">
        <v>817540903</v>
      </c>
      <c r="K1465">
        <v>743943792</v>
      </c>
      <c r="L1465">
        <v>444022725</v>
      </c>
      <c r="M1465">
        <v>382629831</v>
      </c>
      <c r="N1465">
        <v>314715722</v>
      </c>
      <c r="P1465">
        <v>123</v>
      </c>
      <c r="Q1465" t="s">
        <v>3235</v>
      </c>
    </row>
    <row r="1466" spans="1:17" x14ac:dyDescent="0.3">
      <c r="A1466" t="s">
        <v>17</v>
      </c>
      <c r="B1466" t="str">
        <f>"603727"</f>
        <v>603727</v>
      </c>
      <c r="C1466" t="s">
        <v>3236</v>
      </c>
      <c r="D1466" t="s">
        <v>762</v>
      </c>
      <c r="F1466">
        <v>3333159261</v>
      </c>
      <c r="G1466">
        <v>2443096967</v>
      </c>
      <c r="H1466">
        <v>2334533356</v>
      </c>
      <c r="I1466">
        <v>2402913245</v>
      </c>
      <c r="J1466">
        <v>2428143576</v>
      </c>
      <c r="K1466">
        <v>2389212250</v>
      </c>
      <c r="L1466">
        <v>1009888457</v>
      </c>
      <c r="M1466">
        <v>790650459</v>
      </c>
      <c r="N1466">
        <v>645933890</v>
      </c>
      <c r="O1466">
        <v>568408469</v>
      </c>
      <c r="P1466">
        <v>123</v>
      </c>
      <c r="Q1466" t="s">
        <v>3237</v>
      </c>
    </row>
    <row r="1467" spans="1:17" x14ac:dyDescent="0.3">
      <c r="A1467" t="s">
        <v>17</v>
      </c>
      <c r="B1467" t="str">
        <f>"603728"</f>
        <v>603728</v>
      </c>
      <c r="C1467" t="s">
        <v>3238</v>
      </c>
      <c r="D1467" t="s">
        <v>1171</v>
      </c>
      <c r="F1467">
        <v>2441392500</v>
      </c>
      <c r="G1467">
        <v>2180118714</v>
      </c>
      <c r="H1467">
        <v>2009007524</v>
      </c>
      <c r="I1467">
        <v>1846722423</v>
      </c>
      <c r="J1467">
        <v>1689672540</v>
      </c>
      <c r="K1467">
        <v>774777201</v>
      </c>
      <c r="L1467">
        <v>637348561</v>
      </c>
      <c r="M1467">
        <v>549336113</v>
      </c>
      <c r="P1467">
        <v>310</v>
      </c>
      <c r="Q1467" t="s">
        <v>3239</v>
      </c>
    </row>
    <row r="1468" spans="1:17" x14ac:dyDescent="0.3">
      <c r="A1468" t="s">
        <v>17</v>
      </c>
      <c r="B1468" t="str">
        <f>"603729"</f>
        <v>603729</v>
      </c>
      <c r="C1468" t="s">
        <v>3240</v>
      </c>
      <c r="D1468" t="s">
        <v>207</v>
      </c>
      <c r="F1468">
        <v>721287101</v>
      </c>
      <c r="G1468">
        <v>786358053</v>
      </c>
      <c r="H1468">
        <v>806201927</v>
      </c>
      <c r="I1468">
        <v>870551303</v>
      </c>
      <c r="J1468">
        <v>854339114</v>
      </c>
      <c r="K1468">
        <v>816514293</v>
      </c>
      <c r="L1468">
        <v>975650952</v>
      </c>
      <c r="M1468">
        <v>542632036</v>
      </c>
      <c r="N1468">
        <v>464290367</v>
      </c>
      <c r="O1468">
        <v>381076905</v>
      </c>
      <c r="P1468">
        <v>51</v>
      </c>
      <c r="Q1468" t="s">
        <v>3241</v>
      </c>
    </row>
    <row r="1469" spans="1:17" x14ac:dyDescent="0.3">
      <c r="A1469" t="s">
        <v>17</v>
      </c>
      <c r="B1469" t="str">
        <f>"603730"</f>
        <v>603730</v>
      </c>
      <c r="C1469" t="s">
        <v>3242</v>
      </c>
      <c r="D1469" t="s">
        <v>191</v>
      </c>
      <c r="F1469">
        <v>3983974786</v>
      </c>
      <c r="G1469">
        <v>3894551647</v>
      </c>
      <c r="H1469">
        <v>3737642079</v>
      </c>
      <c r="I1469">
        <v>3319445474</v>
      </c>
      <c r="J1469">
        <v>3090757520</v>
      </c>
      <c r="K1469">
        <v>1504768876</v>
      </c>
      <c r="L1469">
        <v>1218324923</v>
      </c>
      <c r="M1469">
        <v>955228916</v>
      </c>
      <c r="P1469">
        <v>522</v>
      </c>
      <c r="Q1469" t="s">
        <v>3243</v>
      </c>
    </row>
    <row r="1470" spans="1:17" x14ac:dyDescent="0.3">
      <c r="A1470" t="s">
        <v>17</v>
      </c>
      <c r="B1470" t="str">
        <f>"603733"</f>
        <v>603733</v>
      </c>
      <c r="C1470" t="s">
        <v>3244</v>
      </c>
      <c r="D1470" t="s">
        <v>244</v>
      </c>
      <c r="F1470">
        <v>6146464584</v>
      </c>
      <c r="G1470">
        <v>5353561583</v>
      </c>
      <c r="H1470">
        <v>3615394933</v>
      </c>
      <c r="I1470">
        <v>3234521170</v>
      </c>
      <c r="J1470">
        <v>2346099389</v>
      </c>
      <c r="K1470">
        <v>1947333002</v>
      </c>
      <c r="L1470">
        <v>1385028210</v>
      </c>
      <c r="P1470">
        <v>233</v>
      </c>
      <c r="Q1470" t="s">
        <v>3245</v>
      </c>
    </row>
    <row r="1471" spans="1:17" x14ac:dyDescent="0.3">
      <c r="A1471" t="s">
        <v>17</v>
      </c>
      <c r="B1471" t="str">
        <f>"603737"</f>
        <v>603737</v>
      </c>
      <c r="C1471" t="s">
        <v>3246</v>
      </c>
      <c r="D1471" t="s">
        <v>2903</v>
      </c>
      <c r="F1471">
        <v>1942620858</v>
      </c>
      <c r="G1471">
        <v>2508157052</v>
      </c>
      <c r="H1471">
        <v>1724914434</v>
      </c>
      <c r="I1471">
        <v>1335331407</v>
      </c>
      <c r="J1471">
        <v>1119041856</v>
      </c>
      <c r="K1471">
        <v>976896070</v>
      </c>
      <c r="L1471">
        <v>548054429</v>
      </c>
      <c r="M1471">
        <v>462545030</v>
      </c>
      <c r="N1471">
        <v>404879693</v>
      </c>
      <c r="P1471">
        <v>1048</v>
      </c>
      <c r="Q1471" t="s">
        <v>3247</v>
      </c>
    </row>
    <row r="1472" spans="1:17" x14ac:dyDescent="0.3">
      <c r="A1472" t="s">
        <v>17</v>
      </c>
      <c r="B1472" t="str">
        <f>"603738"</f>
        <v>603738</v>
      </c>
      <c r="C1472" t="s">
        <v>3248</v>
      </c>
      <c r="D1472" t="s">
        <v>546</v>
      </c>
      <c r="F1472">
        <v>1651950638</v>
      </c>
      <c r="G1472">
        <v>813632910</v>
      </c>
      <c r="H1472">
        <v>733201102</v>
      </c>
      <c r="I1472">
        <v>599393656</v>
      </c>
      <c r="J1472">
        <v>588655800</v>
      </c>
      <c r="K1472">
        <v>545451572</v>
      </c>
      <c r="L1472">
        <v>266905320</v>
      </c>
      <c r="M1472">
        <v>232727160</v>
      </c>
      <c r="N1472">
        <v>194786125</v>
      </c>
      <c r="P1472">
        <v>246</v>
      </c>
      <c r="Q1472" t="s">
        <v>3249</v>
      </c>
    </row>
    <row r="1473" spans="1:17" x14ac:dyDescent="0.3">
      <c r="A1473" t="s">
        <v>17</v>
      </c>
      <c r="B1473" t="str">
        <f>"603739"</f>
        <v>603739</v>
      </c>
      <c r="C1473" t="s">
        <v>3250</v>
      </c>
      <c r="D1473" t="s">
        <v>453</v>
      </c>
      <c r="F1473">
        <v>1604515615</v>
      </c>
      <c r="G1473">
        <v>1034123430</v>
      </c>
      <c r="H1473">
        <v>962184730</v>
      </c>
      <c r="I1473">
        <v>569693159</v>
      </c>
      <c r="J1473">
        <v>544259347</v>
      </c>
      <c r="K1473">
        <v>516488837</v>
      </c>
      <c r="L1473">
        <v>483938394</v>
      </c>
      <c r="P1473">
        <v>123</v>
      </c>
      <c r="Q1473" t="s">
        <v>3251</v>
      </c>
    </row>
    <row r="1474" spans="1:17" x14ac:dyDescent="0.3">
      <c r="A1474" t="s">
        <v>17</v>
      </c>
      <c r="B1474" t="str">
        <f>"603755"</f>
        <v>603755</v>
      </c>
      <c r="C1474" t="s">
        <v>3252</v>
      </c>
      <c r="D1474" t="s">
        <v>433</v>
      </c>
      <c r="F1474">
        <v>660905990</v>
      </c>
      <c r="G1474">
        <v>608974556</v>
      </c>
      <c r="H1474">
        <v>581961583</v>
      </c>
      <c r="I1474">
        <v>199028148</v>
      </c>
      <c r="J1474">
        <v>164221016</v>
      </c>
      <c r="K1474">
        <v>133182869</v>
      </c>
      <c r="P1474">
        <v>370</v>
      </c>
      <c r="Q1474" t="s">
        <v>3253</v>
      </c>
    </row>
    <row r="1475" spans="1:17" x14ac:dyDescent="0.3">
      <c r="A1475" t="s">
        <v>17</v>
      </c>
      <c r="B1475" t="str">
        <f>"603757"</f>
        <v>603757</v>
      </c>
      <c r="C1475" t="s">
        <v>3254</v>
      </c>
      <c r="D1475" t="s">
        <v>560</v>
      </c>
      <c r="F1475">
        <v>1272981974</v>
      </c>
      <c r="G1475">
        <v>1261570673</v>
      </c>
      <c r="H1475">
        <v>1125344681</v>
      </c>
      <c r="I1475">
        <v>1007482310</v>
      </c>
      <c r="J1475">
        <v>894433743</v>
      </c>
      <c r="K1475">
        <v>339797019</v>
      </c>
      <c r="L1475">
        <v>242032921</v>
      </c>
      <c r="M1475">
        <v>177284447</v>
      </c>
      <c r="P1475">
        <v>523</v>
      </c>
      <c r="Q1475" t="s">
        <v>3255</v>
      </c>
    </row>
    <row r="1476" spans="1:17" x14ac:dyDescent="0.3">
      <c r="A1476" t="s">
        <v>17</v>
      </c>
      <c r="B1476" t="str">
        <f>"603758"</f>
        <v>603758</v>
      </c>
      <c r="C1476" t="s">
        <v>3256</v>
      </c>
      <c r="D1476" t="s">
        <v>348</v>
      </c>
      <c r="F1476">
        <v>2651919616</v>
      </c>
      <c r="G1476">
        <v>2637056236</v>
      </c>
      <c r="H1476">
        <v>2463253579</v>
      </c>
      <c r="I1476">
        <v>2337650148</v>
      </c>
      <c r="J1476">
        <v>2458343883</v>
      </c>
      <c r="K1476">
        <v>1655009940</v>
      </c>
      <c r="L1476">
        <v>1437466057</v>
      </c>
      <c r="M1476">
        <v>984670199</v>
      </c>
      <c r="P1476">
        <v>133</v>
      </c>
      <c r="Q1476" t="s">
        <v>3257</v>
      </c>
    </row>
    <row r="1477" spans="1:17" x14ac:dyDescent="0.3">
      <c r="A1477" t="s">
        <v>17</v>
      </c>
      <c r="B1477" t="str">
        <f>"603759"</f>
        <v>603759</v>
      </c>
      <c r="C1477" t="s">
        <v>3258</v>
      </c>
      <c r="D1477" t="s">
        <v>33</v>
      </c>
      <c r="F1477">
        <v>2203435234</v>
      </c>
      <c r="G1477">
        <v>1270220586</v>
      </c>
      <c r="H1477">
        <v>1095436990</v>
      </c>
      <c r="I1477">
        <v>940333606</v>
      </c>
      <c r="J1477">
        <v>820552326</v>
      </c>
      <c r="P1477">
        <v>48</v>
      </c>
      <c r="Q1477" t="s">
        <v>3259</v>
      </c>
    </row>
    <row r="1478" spans="1:17" x14ac:dyDescent="0.3">
      <c r="A1478" t="s">
        <v>17</v>
      </c>
      <c r="B1478" t="str">
        <f>"603766"</f>
        <v>603766</v>
      </c>
      <c r="C1478" t="s">
        <v>3260</v>
      </c>
      <c r="D1478" t="s">
        <v>1656</v>
      </c>
      <c r="F1478">
        <v>7404738757</v>
      </c>
      <c r="G1478">
        <v>7235462137</v>
      </c>
      <c r="H1478">
        <v>6928799283</v>
      </c>
      <c r="I1478">
        <v>6398010159</v>
      </c>
      <c r="J1478">
        <v>6625258067</v>
      </c>
      <c r="K1478">
        <v>6082847623</v>
      </c>
      <c r="L1478">
        <v>5141967010</v>
      </c>
      <c r="M1478">
        <v>4094864662</v>
      </c>
      <c r="N1478">
        <v>3588255901</v>
      </c>
      <c r="O1478">
        <v>3211459260</v>
      </c>
      <c r="P1478">
        <v>460</v>
      </c>
      <c r="Q1478" t="s">
        <v>3261</v>
      </c>
    </row>
    <row r="1479" spans="1:17" x14ac:dyDescent="0.3">
      <c r="A1479" t="s">
        <v>17</v>
      </c>
      <c r="B1479" t="str">
        <f>"603767"</f>
        <v>603767</v>
      </c>
      <c r="C1479" t="s">
        <v>3262</v>
      </c>
      <c r="D1479" t="s">
        <v>348</v>
      </c>
      <c r="F1479">
        <v>1495339965</v>
      </c>
      <c r="G1479">
        <v>1464862753</v>
      </c>
      <c r="H1479">
        <v>1444656508</v>
      </c>
      <c r="I1479">
        <v>1413202943</v>
      </c>
      <c r="J1479">
        <v>1421151117</v>
      </c>
      <c r="K1479">
        <v>834324265</v>
      </c>
      <c r="L1479">
        <v>777463399</v>
      </c>
      <c r="M1479">
        <v>541321581</v>
      </c>
      <c r="P1479">
        <v>80</v>
      </c>
      <c r="Q1479" t="s">
        <v>3263</v>
      </c>
    </row>
    <row r="1480" spans="1:17" x14ac:dyDescent="0.3">
      <c r="A1480" t="s">
        <v>17</v>
      </c>
      <c r="B1480" t="str">
        <f>"603768"</f>
        <v>603768</v>
      </c>
      <c r="C1480" t="s">
        <v>3264</v>
      </c>
      <c r="D1480" t="s">
        <v>985</v>
      </c>
      <c r="F1480">
        <v>1800933706</v>
      </c>
      <c r="G1480">
        <v>1764372482</v>
      </c>
      <c r="H1480">
        <v>1696751276</v>
      </c>
      <c r="I1480">
        <v>1696713581</v>
      </c>
      <c r="J1480">
        <v>1657204172</v>
      </c>
      <c r="K1480">
        <v>745934264</v>
      </c>
      <c r="L1480">
        <v>597568531</v>
      </c>
      <c r="M1480">
        <v>520395377</v>
      </c>
      <c r="P1480">
        <v>58</v>
      </c>
      <c r="Q1480" t="s">
        <v>3265</v>
      </c>
    </row>
    <row r="1481" spans="1:17" x14ac:dyDescent="0.3">
      <c r="A1481" t="s">
        <v>17</v>
      </c>
      <c r="B1481" t="str">
        <f>"603773"</f>
        <v>603773</v>
      </c>
      <c r="C1481" t="s">
        <v>3266</v>
      </c>
      <c r="D1481" t="s">
        <v>1117</v>
      </c>
      <c r="F1481">
        <v>1531730778</v>
      </c>
      <c r="G1481">
        <v>1615193888</v>
      </c>
      <c r="H1481">
        <v>1616407746</v>
      </c>
      <c r="I1481">
        <v>1629828212</v>
      </c>
      <c r="J1481">
        <v>733611302</v>
      </c>
      <c r="K1481">
        <v>525864855</v>
      </c>
      <c r="L1481">
        <v>424001507</v>
      </c>
      <c r="P1481">
        <v>141</v>
      </c>
      <c r="Q1481" t="s">
        <v>3267</v>
      </c>
    </row>
    <row r="1482" spans="1:17" x14ac:dyDescent="0.3">
      <c r="A1482" t="s">
        <v>17</v>
      </c>
      <c r="B1482" t="str">
        <f>"603776"</f>
        <v>603776</v>
      </c>
      <c r="C1482" t="s">
        <v>3268</v>
      </c>
      <c r="D1482" t="s">
        <v>1656</v>
      </c>
      <c r="F1482">
        <v>3198391018</v>
      </c>
      <c r="G1482">
        <v>3163925715</v>
      </c>
      <c r="H1482">
        <v>2703533566</v>
      </c>
      <c r="I1482">
        <v>1662875053</v>
      </c>
      <c r="J1482">
        <v>1641014856</v>
      </c>
      <c r="K1482">
        <v>540121487</v>
      </c>
      <c r="L1482">
        <v>432292886</v>
      </c>
      <c r="M1482">
        <v>338918523</v>
      </c>
      <c r="P1482">
        <v>189</v>
      </c>
      <c r="Q1482" t="s">
        <v>3269</v>
      </c>
    </row>
    <row r="1483" spans="1:17" x14ac:dyDescent="0.3">
      <c r="A1483" t="s">
        <v>17</v>
      </c>
      <c r="B1483" t="str">
        <f>"603777"</f>
        <v>603777</v>
      </c>
      <c r="C1483" t="s">
        <v>3270</v>
      </c>
      <c r="D1483" t="s">
        <v>3194</v>
      </c>
      <c r="F1483">
        <v>1695644979</v>
      </c>
      <c r="G1483">
        <v>1665226391</v>
      </c>
      <c r="H1483">
        <v>1763459466</v>
      </c>
      <c r="I1483">
        <v>1853460471</v>
      </c>
      <c r="J1483">
        <v>1906616956</v>
      </c>
      <c r="K1483">
        <v>1874631559</v>
      </c>
      <c r="L1483">
        <v>1078579462</v>
      </c>
      <c r="M1483">
        <v>946990959</v>
      </c>
      <c r="N1483">
        <v>847925210</v>
      </c>
      <c r="P1483">
        <v>259</v>
      </c>
      <c r="Q1483" t="s">
        <v>3271</v>
      </c>
    </row>
    <row r="1484" spans="1:17" x14ac:dyDescent="0.3">
      <c r="A1484" t="s">
        <v>17</v>
      </c>
      <c r="B1484" t="str">
        <f>"603778"</f>
        <v>603778</v>
      </c>
      <c r="C1484" t="s">
        <v>3272</v>
      </c>
      <c r="D1484" t="s">
        <v>2417</v>
      </c>
      <c r="F1484">
        <v>1220312631</v>
      </c>
      <c r="G1484">
        <v>1426015822</v>
      </c>
      <c r="H1484">
        <v>1003861500</v>
      </c>
      <c r="I1484">
        <v>1003354495</v>
      </c>
      <c r="J1484">
        <v>1019109314</v>
      </c>
      <c r="K1484">
        <v>943864468</v>
      </c>
      <c r="L1484">
        <v>871365638</v>
      </c>
      <c r="M1484">
        <v>444673032</v>
      </c>
      <c r="N1484">
        <v>363380646</v>
      </c>
      <c r="O1484">
        <v>287789318</v>
      </c>
      <c r="P1484">
        <v>72</v>
      </c>
      <c r="Q1484" t="s">
        <v>3273</v>
      </c>
    </row>
    <row r="1485" spans="1:17" x14ac:dyDescent="0.3">
      <c r="A1485" t="s">
        <v>17</v>
      </c>
      <c r="B1485" t="str">
        <f>"603779"</f>
        <v>603779</v>
      </c>
      <c r="C1485" t="s">
        <v>3274</v>
      </c>
      <c r="D1485" t="s">
        <v>134</v>
      </c>
      <c r="F1485">
        <v>690316352</v>
      </c>
      <c r="G1485">
        <v>1151355354</v>
      </c>
      <c r="H1485">
        <v>1359746618</v>
      </c>
      <c r="I1485">
        <v>1407611284</v>
      </c>
      <c r="J1485">
        <v>1389555221</v>
      </c>
      <c r="K1485">
        <v>782444478</v>
      </c>
      <c r="L1485">
        <v>529782493</v>
      </c>
      <c r="M1485">
        <v>487974147</v>
      </c>
      <c r="N1485">
        <v>452683175</v>
      </c>
      <c r="P1485">
        <v>101</v>
      </c>
      <c r="Q1485" t="s">
        <v>3275</v>
      </c>
    </row>
    <row r="1486" spans="1:17" x14ac:dyDescent="0.3">
      <c r="A1486" t="s">
        <v>17</v>
      </c>
      <c r="B1486" t="str">
        <f>"603786"</f>
        <v>603786</v>
      </c>
      <c r="C1486" t="s">
        <v>3276</v>
      </c>
      <c r="D1486" t="s">
        <v>1415</v>
      </c>
      <c r="F1486">
        <v>4079955619</v>
      </c>
      <c r="G1486">
        <v>3812642581</v>
      </c>
      <c r="H1486">
        <v>3240865611</v>
      </c>
      <c r="I1486">
        <v>1886287598</v>
      </c>
      <c r="J1486">
        <v>1443235151</v>
      </c>
      <c r="K1486">
        <v>830300879</v>
      </c>
      <c r="P1486">
        <v>345</v>
      </c>
      <c r="Q1486" t="s">
        <v>3277</v>
      </c>
    </row>
    <row r="1487" spans="1:17" x14ac:dyDescent="0.3">
      <c r="A1487" t="s">
        <v>17</v>
      </c>
      <c r="B1487" t="str">
        <f>"603787"</f>
        <v>603787</v>
      </c>
      <c r="C1487" t="s">
        <v>3278</v>
      </c>
      <c r="D1487" t="s">
        <v>1656</v>
      </c>
      <c r="F1487">
        <v>1000989372</v>
      </c>
      <c r="G1487">
        <v>1040210123</v>
      </c>
      <c r="H1487">
        <v>963515330</v>
      </c>
      <c r="I1487">
        <v>943658111</v>
      </c>
      <c r="J1487">
        <v>878875004</v>
      </c>
      <c r="K1487">
        <v>532933510</v>
      </c>
      <c r="L1487">
        <v>494978010</v>
      </c>
      <c r="M1487">
        <v>470423199</v>
      </c>
      <c r="P1487">
        <v>103</v>
      </c>
      <c r="Q1487" t="s">
        <v>3279</v>
      </c>
    </row>
    <row r="1488" spans="1:17" x14ac:dyDescent="0.3">
      <c r="A1488" t="s">
        <v>17</v>
      </c>
      <c r="B1488" t="str">
        <f>"603788"</f>
        <v>603788</v>
      </c>
      <c r="C1488" t="s">
        <v>3280</v>
      </c>
      <c r="D1488" t="s">
        <v>348</v>
      </c>
      <c r="F1488">
        <v>1927545931</v>
      </c>
      <c r="G1488">
        <v>1909241872</v>
      </c>
      <c r="H1488">
        <v>1853752964</v>
      </c>
      <c r="I1488">
        <v>1908151265</v>
      </c>
      <c r="J1488">
        <v>1845669005</v>
      </c>
      <c r="K1488">
        <v>829255244</v>
      </c>
      <c r="L1488">
        <v>730861048</v>
      </c>
      <c r="M1488">
        <v>338139447</v>
      </c>
      <c r="N1488">
        <v>270946976</v>
      </c>
      <c r="O1488">
        <v>215629284</v>
      </c>
      <c r="P1488">
        <v>330</v>
      </c>
      <c r="Q1488" t="s">
        <v>3281</v>
      </c>
    </row>
    <row r="1489" spans="1:17" x14ac:dyDescent="0.3">
      <c r="A1489" t="s">
        <v>17</v>
      </c>
      <c r="B1489" t="str">
        <f>"603789"</f>
        <v>603789</v>
      </c>
      <c r="C1489" t="s">
        <v>3282</v>
      </c>
      <c r="D1489" t="s">
        <v>1985</v>
      </c>
      <c r="F1489">
        <v>618137989</v>
      </c>
      <c r="G1489">
        <v>786075147</v>
      </c>
      <c r="H1489">
        <v>1043897023</v>
      </c>
      <c r="I1489">
        <v>1030118271</v>
      </c>
      <c r="J1489">
        <v>1081340236</v>
      </c>
      <c r="K1489">
        <v>1067634526</v>
      </c>
      <c r="L1489">
        <v>1031215888</v>
      </c>
      <c r="M1489">
        <v>532361105</v>
      </c>
      <c r="N1489">
        <v>484223664</v>
      </c>
      <c r="O1489">
        <v>390081431</v>
      </c>
      <c r="P1489">
        <v>64</v>
      </c>
      <c r="Q1489" t="s">
        <v>3283</v>
      </c>
    </row>
    <row r="1490" spans="1:17" x14ac:dyDescent="0.3">
      <c r="A1490" t="s">
        <v>17</v>
      </c>
      <c r="B1490" t="str">
        <f>"603790"</f>
        <v>603790</v>
      </c>
      <c r="C1490" t="s">
        <v>3284</v>
      </c>
      <c r="D1490" t="s">
        <v>779</v>
      </c>
      <c r="F1490">
        <v>1158042432</v>
      </c>
      <c r="G1490">
        <v>1128636038</v>
      </c>
      <c r="H1490">
        <v>1122013415</v>
      </c>
      <c r="I1490">
        <v>1048897801</v>
      </c>
      <c r="J1490">
        <v>602339503</v>
      </c>
      <c r="K1490">
        <v>499531334</v>
      </c>
      <c r="L1490">
        <v>441325022</v>
      </c>
      <c r="P1490">
        <v>64</v>
      </c>
      <c r="Q1490" t="s">
        <v>3285</v>
      </c>
    </row>
    <row r="1491" spans="1:17" x14ac:dyDescent="0.3">
      <c r="A1491" t="s">
        <v>17</v>
      </c>
      <c r="B1491" t="str">
        <f>"603797"</f>
        <v>603797</v>
      </c>
      <c r="C1491" t="s">
        <v>3286</v>
      </c>
      <c r="D1491" t="s">
        <v>33</v>
      </c>
      <c r="F1491">
        <v>2667258131</v>
      </c>
      <c r="G1491">
        <v>1609196408</v>
      </c>
      <c r="H1491">
        <v>1401289237</v>
      </c>
      <c r="I1491">
        <v>1072660992</v>
      </c>
      <c r="J1491">
        <v>1020466172</v>
      </c>
      <c r="K1491">
        <v>697742484</v>
      </c>
      <c r="L1491">
        <v>634255728</v>
      </c>
      <c r="M1491">
        <v>580078558</v>
      </c>
      <c r="P1491">
        <v>243</v>
      </c>
      <c r="Q1491" t="s">
        <v>3287</v>
      </c>
    </row>
    <row r="1492" spans="1:17" x14ac:dyDescent="0.3">
      <c r="A1492" t="s">
        <v>17</v>
      </c>
      <c r="B1492" t="str">
        <f>"603798"</f>
        <v>603798</v>
      </c>
      <c r="C1492" t="s">
        <v>3288</v>
      </c>
      <c r="D1492" t="s">
        <v>1617</v>
      </c>
      <c r="F1492">
        <v>1089541325</v>
      </c>
      <c r="G1492">
        <v>1007554442</v>
      </c>
      <c r="H1492">
        <v>923948959</v>
      </c>
      <c r="I1492">
        <v>879977159</v>
      </c>
      <c r="J1492">
        <v>844122114</v>
      </c>
      <c r="K1492">
        <v>774585372</v>
      </c>
      <c r="L1492">
        <v>337852654</v>
      </c>
      <c r="M1492">
        <v>254779232</v>
      </c>
      <c r="N1492">
        <v>217810472</v>
      </c>
      <c r="P1492">
        <v>141</v>
      </c>
      <c r="Q1492" t="s">
        <v>3289</v>
      </c>
    </row>
    <row r="1493" spans="1:17" x14ac:dyDescent="0.3">
      <c r="A1493" t="s">
        <v>17</v>
      </c>
      <c r="B1493" t="str">
        <f>"603799"</f>
        <v>603799</v>
      </c>
      <c r="C1493" t="s">
        <v>3290</v>
      </c>
      <c r="D1493" t="s">
        <v>1440</v>
      </c>
      <c r="F1493">
        <v>19383590925</v>
      </c>
      <c r="G1493">
        <v>9922119110</v>
      </c>
      <c r="H1493">
        <v>7747750021</v>
      </c>
      <c r="I1493">
        <v>7600754137</v>
      </c>
      <c r="J1493">
        <v>6024572237</v>
      </c>
      <c r="K1493">
        <v>4349515578</v>
      </c>
      <c r="L1493">
        <v>2386736407</v>
      </c>
      <c r="M1493">
        <v>2249475685</v>
      </c>
      <c r="N1493">
        <v>2061051227</v>
      </c>
      <c r="O1493">
        <v>1974848993</v>
      </c>
      <c r="P1493">
        <v>1518</v>
      </c>
      <c r="Q1493" t="s">
        <v>3291</v>
      </c>
    </row>
    <row r="1494" spans="1:17" x14ac:dyDescent="0.3">
      <c r="A1494" t="s">
        <v>17</v>
      </c>
      <c r="B1494" t="str">
        <f>"603800"</f>
        <v>603800</v>
      </c>
      <c r="C1494" t="s">
        <v>3292</v>
      </c>
      <c r="D1494" t="s">
        <v>395</v>
      </c>
      <c r="F1494">
        <v>868641742</v>
      </c>
      <c r="G1494">
        <v>907596483</v>
      </c>
      <c r="H1494">
        <v>1011344953</v>
      </c>
      <c r="I1494">
        <v>1004621649</v>
      </c>
      <c r="J1494">
        <v>933701581</v>
      </c>
      <c r="K1494">
        <v>906906140</v>
      </c>
      <c r="L1494">
        <v>991277543</v>
      </c>
      <c r="M1494">
        <v>493987924</v>
      </c>
      <c r="N1494">
        <v>400151448</v>
      </c>
      <c r="O1494">
        <v>353433526</v>
      </c>
      <c r="P1494">
        <v>75</v>
      </c>
      <c r="Q1494" t="s">
        <v>3293</v>
      </c>
    </row>
    <row r="1495" spans="1:17" x14ac:dyDescent="0.3">
      <c r="A1495" t="s">
        <v>17</v>
      </c>
      <c r="B1495" t="str">
        <f>"603801"</f>
        <v>603801</v>
      </c>
      <c r="C1495" t="s">
        <v>3294</v>
      </c>
      <c r="D1495" t="s">
        <v>2664</v>
      </c>
      <c r="F1495">
        <v>2590982200</v>
      </c>
      <c r="G1495">
        <v>2227993389</v>
      </c>
      <c r="H1495">
        <v>1929195828</v>
      </c>
      <c r="I1495">
        <v>1872299846</v>
      </c>
      <c r="J1495">
        <v>1699511407</v>
      </c>
      <c r="K1495">
        <v>666322629</v>
      </c>
      <c r="L1495">
        <v>522131814</v>
      </c>
      <c r="M1495">
        <v>427749522</v>
      </c>
      <c r="P1495">
        <v>768</v>
      </c>
      <c r="Q1495" t="s">
        <v>3295</v>
      </c>
    </row>
    <row r="1496" spans="1:17" x14ac:dyDescent="0.3">
      <c r="A1496" t="s">
        <v>17</v>
      </c>
      <c r="B1496" t="str">
        <f>"603803"</f>
        <v>603803</v>
      </c>
      <c r="C1496" t="s">
        <v>3296</v>
      </c>
      <c r="D1496" t="s">
        <v>786</v>
      </c>
      <c r="F1496">
        <v>1842642358</v>
      </c>
      <c r="G1496">
        <v>2685663312</v>
      </c>
      <c r="H1496">
        <v>2623292830</v>
      </c>
      <c r="I1496">
        <v>2478518237</v>
      </c>
      <c r="J1496">
        <v>2473336541</v>
      </c>
      <c r="K1496">
        <v>1561926305</v>
      </c>
      <c r="L1496">
        <v>1396101752</v>
      </c>
      <c r="M1496">
        <v>1224620276</v>
      </c>
      <c r="P1496">
        <v>153</v>
      </c>
      <c r="Q1496" t="s">
        <v>3297</v>
      </c>
    </row>
    <row r="1497" spans="1:17" x14ac:dyDescent="0.3">
      <c r="A1497" t="s">
        <v>17</v>
      </c>
      <c r="B1497" t="str">
        <f>"603806"</f>
        <v>603806</v>
      </c>
      <c r="C1497" t="s">
        <v>3298</v>
      </c>
      <c r="D1497" t="s">
        <v>478</v>
      </c>
      <c r="F1497">
        <v>12176177693</v>
      </c>
      <c r="G1497">
        <v>8678697447</v>
      </c>
      <c r="H1497">
        <v>6317537588</v>
      </c>
      <c r="I1497">
        <v>5553888887</v>
      </c>
      <c r="J1497">
        <v>5026890215</v>
      </c>
      <c r="K1497">
        <v>4840008020</v>
      </c>
      <c r="L1497">
        <v>4268541920</v>
      </c>
      <c r="M1497">
        <v>3802147345</v>
      </c>
      <c r="N1497">
        <v>1901087782</v>
      </c>
      <c r="O1497">
        <v>1801437358</v>
      </c>
      <c r="P1497">
        <v>1029</v>
      </c>
      <c r="Q1497" t="s">
        <v>3299</v>
      </c>
    </row>
    <row r="1498" spans="1:17" x14ac:dyDescent="0.3">
      <c r="A1498" t="s">
        <v>17</v>
      </c>
      <c r="B1498" t="str">
        <f>"603808"</f>
        <v>603808</v>
      </c>
      <c r="C1498" t="s">
        <v>3300</v>
      </c>
      <c r="D1498" t="s">
        <v>255</v>
      </c>
      <c r="F1498">
        <v>2831488202</v>
      </c>
      <c r="G1498">
        <v>2209228517</v>
      </c>
      <c r="H1498">
        <v>1871139863</v>
      </c>
      <c r="I1498">
        <v>2331342816</v>
      </c>
      <c r="J1498">
        <v>2071422837</v>
      </c>
      <c r="K1498">
        <v>1737795431</v>
      </c>
      <c r="L1498">
        <v>1512571416</v>
      </c>
      <c r="M1498">
        <v>658111895</v>
      </c>
      <c r="N1498">
        <v>584391523</v>
      </c>
      <c r="O1498">
        <v>494302701</v>
      </c>
      <c r="P1498">
        <v>479</v>
      </c>
      <c r="Q1498" t="s">
        <v>3301</v>
      </c>
    </row>
    <row r="1499" spans="1:17" x14ac:dyDescent="0.3">
      <c r="A1499" t="s">
        <v>17</v>
      </c>
      <c r="B1499" t="str">
        <f>"603809"</f>
        <v>603809</v>
      </c>
      <c r="C1499" t="s">
        <v>3302</v>
      </c>
      <c r="D1499" t="s">
        <v>348</v>
      </c>
      <c r="F1499">
        <v>1845361126</v>
      </c>
      <c r="G1499">
        <v>1740098076</v>
      </c>
      <c r="H1499">
        <v>1587560378</v>
      </c>
      <c r="I1499">
        <v>1540248263</v>
      </c>
      <c r="J1499">
        <v>1485938852</v>
      </c>
      <c r="K1499">
        <v>781595431</v>
      </c>
      <c r="L1499">
        <v>655320989</v>
      </c>
      <c r="M1499">
        <v>548719935</v>
      </c>
      <c r="P1499">
        <v>137</v>
      </c>
      <c r="Q1499" t="s">
        <v>3303</v>
      </c>
    </row>
    <row r="1500" spans="1:17" x14ac:dyDescent="0.3">
      <c r="A1500" t="s">
        <v>17</v>
      </c>
      <c r="B1500" t="str">
        <f>"603810"</f>
        <v>603810</v>
      </c>
      <c r="C1500" t="s">
        <v>3304</v>
      </c>
      <c r="D1500" t="s">
        <v>853</v>
      </c>
      <c r="F1500">
        <v>1420679028</v>
      </c>
      <c r="G1500">
        <v>1339038437</v>
      </c>
      <c r="H1500">
        <v>1101923394</v>
      </c>
      <c r="I1500">
        <v>1108683203</v>
      </c>
      <c r="J1500">
        <v>546212747</v>
      </c>
      <c r="K1500">
        <v>446406538</v>
      </c>
      <c r="L1500">
        <v>383532404</v>
      </c>
      <c r="P1500">
        <v>79</v>
      </c>
      <c r="Q1500" t="s">
        <v>3305</v>
      </c>
    </row>
    <row r="1501" spans="1:17" x14ac:dyDescent="0.3">
      <c r="A1501" t="s">
        <v>17</v>
      </c>
      <c r="B1501" t="str">
        <f>"603811"</f>
        <v>603811</v>
      </c>
      <c r="C1501" t="s">
        <v>3306</v>
      </c>
      <c r="D1501" t="s">
        <v>143</v>
      </c>
      <c r="F1501">
        <v>986308389</v>
      </c>
      <c r="G1501">
        <v>873950854</v>
      </c>
      <c r="H1501">
        <v>756619052</v>
      </c>
      <c r="I1501">
        <v>660794697</v>
      </c>
      <c r="J1501">
        <v>599571074</v>
      </c>
      <c r="K1501">
        <v>280165942</v>
      </c>
      <c r="L1501">
        <v>259921704</v>
      </c>
      <c r="M1501">
        <v>246946622</v>
      </c>
      <c r="P1501">
        <v>327</v>
      </c>
      <c r="Q1501" t="s">
        <v>3307</v>
      </c>
    </row>
    <row r="1502" spans="1:17" x14ac:dyDescent="0.3">
      <c r="A1502" t="s">
        <v>17</v>
      </c>
      <c r="B1502" t="str">
        <f>"603813"</f>
        <v>603813</v>
      </c>
      <c r="C1502" t="s">
        <v>3308</v>
      </c>
      <c r="D1502" t="s">
        <v>2503</v>
      </c>
      <c r="F1502">
        <v>520595475</v>
      </c>
      <c r="G1502">
        <v>490369632</v>
      </c>
      <c r="H1502">
        <v>672200237</v>
      </c>
      <c r="I1502">
        <v>609160116</v>
      </c>
      <c r="J1502">
        <v>565490783</v>
      </c>
      <c r="K1502">
        <v>322937434</v>
      </c>
      <c r="L1502">
        <v>281430762</v>
      </c>
      <c r="M1502">
        <v>201988831</v>
      </c>
      <c r="P1502">
        <v>59</v>
      </c>
      <c r="Q1502" t="s">
        <v>3309</v>
      </c>
    </row>
    <row r="1503" spans="1:17" x14ac:dyDescent="0.3">
      <c r="A1503" t="s">
        <v>17</v>
      </c>
      <c r="B1503" t="str">
        <f>"603815"</f>
        <v>603815</v>
      </c>
      <c r="C1503" t="s">
        <v>3310</v>
      </c>
      <c r="D1503" t="s">
        <v>101</v>
      </c>
      <c r="F1503">
        <v>2054484989</v>
      </c>
      <c r="G1503">
        <v>1129113096</v>
      </c>
      <c r="H1503">
        <v>1085277434</v>
      </c>
      <c r="I1503">
        <v>778004649</v>
      </c>
      <c r="J1503">
        <v>674872058</v>
      </c>
      <c r="K1503">
        <v>575449146</v>
      </c>
      <c r="P1503">
        <v>85</v>
      </c>
      <c r="Q1503" t="s">
        <v>3311</v>
      </c>
    </row>
    <row r="1504" spans="1:17" x14ac:dyDescent="0.3">
      <c r="A1504" t="s">
        <v>17</v>
      </c>
      <c r="B1504" t="str">
        <f>"603816"</f>
        <v>603816</v>
      </c>
      <c r="C1504" t="s">
        <v>3312</v>
      </c>
      <c r="D1504" t="s">
        <v>757</v>
      </c>
      <c r="F1504">
        <v>8018736379</v>
      </c>
      <c r="G1504">
        <v>6739724203</v>
      </c>
      <c r="H1504">
        <v>5580456426</v>
      </c>
      <c r="I1504">
        <v>4351697087</v>
      </c>
      <c r="J1504">
        <v>3999580148</v>
      </c>
      <c r="K1504">
        <v>3437475320</v>
      </c>
      <c r="L1504">
        <v>1029094357</v>
      </c>
      <c r="M1504">
        <v>995557143</v>
      </c>
      <c r="N1504">
        <v>871379012</v>
      </c>
      <c r="P1504">
        <v>1965</v>
      </c>
      <c r="Q1504" t="s">
        <v>3313</v>
      </c>
    </row>
    <row r="1505" spans="1:17" x14ac:dyDescent="0.3">
      <c r="A1505" t="s">
        <v>17</v>
      </c>
      <c r="B1505" t="str">
        <f>"603817"</f>
        <v>603817</v>
      </c>
      <c r="C1505" t="s">
        <v>3314</v>
      </c>
      <c r="D1505" t="s">
        <v>33</v>
      </c>
      <c r="F1505">
        <v>1861181976</v>
      </c>
      <c r="G1505">
        <v>1739498470</v>
      </c>
      <c r="H1505">
        <v>1635537645</v>
      </c>
      <c r="I1505">
        <v>1521408775</v>
      </c>
      <c r="J1505">
        <v>1415122838</v>
      </c>
      <c r="K1505">
        <v>927459466</v>
      </c>
      <c r="L1505">
        <v>830963750</v>
      </c>
      <c r="M1505">
        <v>745589648</v>
      </c>
      <c r="N1505">
        <v>477017625</v>
      </c>
      <c r="P1505">
        <v>121</v>
      </c>
      <c r="Q1505" t="s">
        <v>3315</v>
      </c>
    </row>
    <row r="1506" spans="1:17" x14ac:dyDescent="0.3">
      <c r="A1506" t="s">
        <v>17</v>
      </c>
      <c r="B1506" t="str">
        <f>"603818"</f>
        <v>603818</v>
      </c>
      <c r="C1506" t="s">
        <v>3316</v>
      </c>
      <c r="D1506" t="s">
        <v>757</v>
      </c>
      <c r="F1506">
        <v>2017956666</v>
      </c>
      <c r="G1506">
        <v>2160512617</v>
      </c>
      <c r="H1506">
        <v>1501183094</v>
      </c>
      <c r="I1506">
        <v>1349638336</v>
      </c>
      <c r="J1506">
        <v>1590572237</v>
      </c>
      <c r="K1506">
        <v>1382520570</v>
      </c>
      <c r="L1506">
        <v>1220918691</v>
      </c>
      <c r="M1506">
        <v>631178750</v>
      </c>
      <c r="N1506">
        <v>565716911</v>
      </c>
      <c r="O1506">
        <v>469744253</v>
      </c>
      <c r="P1506">
        <v>202</v>
      </c>
      <c r="Q1506" t="s">
        <v>3317</v>
      </c>
    </row>
    <row r="1507" spans="1:17" x14ac:dyDescent="0.3">
      <c r="A1507" t="s">
        <v>17</v>
      </c>
      <c r="B1507" t="str">
        <f>"603819"</f>
        <v>603819</v>
      </c>
      <c r="C1507" t="s">
        <v>3318</v>
      </c>
      <c r="D1507" t="s">
        <v>1171</v>
      </c>
      <c r="F1507">
        <v>801206972</v>
      </c>
      <c r="G1507">
        <v>746623041</v>
      </c>
      <c r="H1507">
        <v>777623991</v>
      </c>
      <c r="I1507">
        <v>779652023</v>
      </c>
      <c r="J1507">
        <v>743657186</v>
      </c>
      <c r="K1507">
        <v>727105158</v>
      </c>
      <c r="L1507">
        <v>464589975</v>
      </c>
      <c r="M1507">
        <v>429591245</v>
      </c>
      <c r="N1507">
        <v>406344685</v>
      </c>
      <c r="P1507">
        <v>74</v>
      </c>
      <c r="Q1507" t="s">
        <v>3319</v>
      </c>
    </row>
    <row r="1508" spans="1:17" x14ac:dyDescent="0.3">
      <c r="A1508" t="s">
        <v>17</v>
      </c>
      <c r="B1508" t="str">
        <f>"603822"</f>
        <v>603822</v>
      </c>
      <c r="C1508" t="s">
        <v>3320</v>
      </c>
      <c r="D1508" t="s">
        <v>386</v>
      </c>
      <c r="F1508">
        <v>862831173</v>
      </c>
      <c r="G1508">
        <v>786536985</v>
      </c>
      <c r="H1508">
        <v>737624737</v>
      </c>
      <c r="I1508">
        <v>708783148</v>
      </c>
      <c r="J1508">
        <v>678844656</v>
      </c>
      <c r="K1508">
        <v>633778781</v>
      </c>
      <c r="L1508">
        <v>408273602</v>
      </c>
      <c r="M1508">
        <v>369418381</v>
      </c>
      <c r="N1508">
        <v>333256803</v>
      </c>
      <c r="P1508">
        <v>124</v>
      </c>
      <c r="Q1508" t="s">
        <v>3321</v>
      </c>
    </row>
    <row r="1509" spans="1:17" x14ac:dyDescent="0.3">
      <c r="A1509" t="s">
        <v>17</v>
      </c>
      <c r="B1509" t="str">
        <f>"603823"</f>
        <v>603823</v>
      </c>
      <c r="C1509" t="s">
        <v>3322</v>
      </c>
      <c r="D1509" t="s">
        <v>2585</v>
      </c>
      <c r="F1509">
        <v>2021444840</v>
      </c>
      <c r="G1509">
        <v>1777236673</v>
      </c>
      <c r="H1509">
        <v>1587460420</v>
      </c>
      <c r="I1509">
        <v>1418932700</v>
      </c>
      <c r="J1509">
        <v>1269887738</v>
      </c>
      <c r="K1509">
        <v>1165028649</v>
      </c>
      <c r="L1509">
        <v>617963868</v>
      </c>
      <c r="M1509">
        <v>512181298</v>
      </c>
      <c r="N1509">
        <v>410980924</v>
      </c>
      <c r="P1509">
        <v>142</v>
      </c>
      <c r="Q1509" t="s">
        <v>3323</v>
      </c>
    </row>
    <row r="1510" spans="1:17" x14ac:dyDescent="0.3">
      <c r="A1510" t="s">
        <v>17</v>
      </c>
      <c r="B1510" t="str">
        <f>"603825"</f>
        <v>603825</v>
      </c>
      <c r="C1510" t="s">
        <v>3324</v>
      </c>
      <c r="D1510" t="s">
        <v>207</v>
      </c>
      <c r="F1510">
        <v>2319397248</v>
      </c>
      <c r="G1510">
        <v>1776234065</v>
      </c>
      <c r="H1510">
        <v>1689546799</v>
      </c>
      <c r="I1510">
        <v>1342929051</v>
      </c>
      <c r="J1510">
        <v>1206608665</v>
      </c>
      <c r="K1510">
        <v>638326322</v>
      </c>
      <c r="L1510">
        <v>613118923</v>
      </c>
      <c r="M1510">
        <v>466653550</v>
      </c>
      <c r="P1510">
        <v>158</v>
      </c>
      <c r="Q1510" t="s">
        <v>3325</v>
      </c>
    </row>
    <row r="1511" spans="1:17" x14ac:dyDescent="0.3">
      <c r="A1511" t="s">
        <v>17</v>
      </c>
      <c r="B1511" t="str">
        <f>"603826"</f>
        <v>603826</v>
      </c>
      <c r="C1511" t="s">
        <v>3326</v>
      </c>
      <c r="D1511" t="s">
        <v>2762</v>
      </c>
      <c r="F1511">
        <v>1711663062</v>
      </c>
      <c r="G1511">
        <v>1562233156</v>
      </c>
      <c r="H1511">
        <v>1402331288</v>
      </c>
      <c r="I1511">
        <v>1297394846</v>
      </c>
      <c r="J1511">
        <v>1139601375</v>
      </c>
      <c r="K1511">
        <v>493456005</v>
      </c>
      <c r="L1511">
        <v>404884017</v>
      </c>
      <c r="M1511">
        <v>316824838</v>
      </c>
      <c r="P1511">
        <v>265</v>
      </c>
      <c r="Q1511" t="s">
        <v>3327</v>
      </c>
    </row>
    <row r="1512" spans="1:17" x14ac:dyDescent="0.3">
      <c r="A1512" t="s">
        <v>17</v>
      </c>
      <c r="B1512" t="str">
        <f>"603828"</f>
        <v>603828</v>
      </c>
      <c r="C1512" t="s">
        <v>3328</v>
      </c>
      <c r="D1512" t="s">
        <v>450</v>
      </c>
      <c r="F1512">
        <v>1220535511</v>
      </c>
      <c r="G1512">
        <v>1592959898</v>
      </c>
      <c r="H1512">
        <v>1144297960</v>
      </c>
      <c r="I1512">
        <v>1109422733</v>
      </c>
      <c r="J1512">
        <v>1062791833</v>
      </c>
      <c r="K1512">
        <v>1024798525</v>
      </c>
      <c r="L1512">
        <v>991393281</v>
      </c>
      <c r="M1512">
        <v>478707552</v>
      </c>
      <c r="N1512">
        <v>383488541</v>
      </c>
      <c r="O1512">
        <v>286550395</v>
      </c>
      <c r="P1512">
        <v>66</v>
      </c>
      <c r="Q1512" t="s">
        <v>3329</v>
      </c>
    </row>
    <row r="1513" spans="1:17" x14ac:dyDescent="0.3">
      <c r="A1513" t="s">
        <v>17</v>
      </c>
      <c r="B1513" t="str">
        <f>"603829"</f>
        <v>603829</v>
      </c>
      <c r="C1513" t="s">
        <v>3330</v>
      </c>
      <c r="D1513" t="s">
        <v>657</v>
      </c>
      <c r="F1513">
        <v>789194972</v>
      </c>
      <c r="G1513">
        <v>731717202</v>
      </c>
      <c r="H1513">
        <v>683727459</v>
      </c>
      <c r="I1513">
        <v>654107192</v>
      </c>
      <c r="J1513">
        <v>610088220</v>
      </c>
      <c r="K1513">
        <v>314292047</v>
      </c>
      <c r="L1513">
        <v>280086268</v>
      </c>
      <c r="M1513">
        <v>204812782</v>
      </c>
      <c r="P1513">
        <v>50</v>
      </c>
      <c r="Q1513" t="s">
        <v>3331</v>
      </c>
    </row>
    <row r="1514" spans="1:17" x14ac:dyDescent="0.3">
      <c r="A1514" t="s">
        <v>17</v>
      </c>
      <c r="B1514" t="str">
        <f>"603833"</f>
        <v>603833</v>
      </c>
      <c r="C1514" t="s">
        <v>3332</v>
      </c>
      <c r="D1514" t="s">
        <v>2664</v>
      </c>
      <c r="F1514">
        <v>14408790729</v>
      </c>
      <c r="G1514">
        <v>11813386247</v>
      </c>
      <c r="H1514">
        <v>9249802710</v>
      </c>
      <c r="I1514">
        <v>7560943110</v>
      </c>
      <c r="J1514">
        <v>6226018093</v>
      </c>
      <c r="K1514">
        <v>2882045516</v>
      </c>
      <c r="L1514">
        <v>1932250617</v>
      </c>
      <c r="M1514">
        <v>1563070936</v>
      </c>
      <c r="P1514">
        <v>2566</v>
      </c>
      <c r="Q1514" t="s">
        <v>3333</v>
      </c>
    </row>
    <row r="1515" spans="1:17" x14ac:dyDescent="0.3">
      <c r="A1515" t="s">
        <v>17</v>
      </c>
      <c r="B1515" t="str">
        <f>"603836"</f>
        <v>603836</v>
      </c>
      <c r="C1515" t="s">
        <v>3334</v>
      </c>
      <c r="D1515" t="s">
        <v>287</v>
      </c>
      <c r="F1515">
        <v>2117063832</v>
      </c>
      <c r="G1515">
        <v>854942919</v>
      </c>
      <c r="H1515">
        <v>720323999</v>
      </c>
      <c r="I1515">
        <v>496723702</v>
      </c>
      <c r="J1515">
        <v>362971920</v>
      </c>
      <c r="P1515">
        <v>29</v>
      </c>
      <c r="Q1515" t="s">
        <v>3335</v>
      </c>
    </row>
    <row r="1516" spans="1:17" x14ac:dyDescent="0.3">
      <c r="A1516" t="s">
        <v>17</v>
      </c>
      <c r="B1516" t="str">
        <f>"603838"</f>
        <v>603838</v>
      </c>
      <c r="C1516" t="s">
        <v>3336</v>
      </c>
      <c r="D1516" t="s">
        <v>2445</v>
      </c>
      <c r="F1516">
        <v>1084290256</v>
      </c>
      <c r="G1516">
        <v>1058498747</v>
      </c>
      <c r="H1516">
        <v>748973047</v>
      </c>
      <c r="I1516">
        <v>718716561</v>
      </c>
      <c r="J1516">
        <v>689233474</v>
      </c>
      <c r="K1516">
        <v>666177586</v>
      </c>
      <c r="L1516">
        <v>623657896</v>
      </c>
      <c r="M1516">
        <v>361362650</v>
      </c>
      <c r="N1516">
        <v>327416307</v>
      </c>
      <c r="O1516">
        <v>279809722</v>
      </c>
      <c r="P1516">
        <v>49</v>
      </c>
      <c r="Q1516" t="s">
        <v>3337</v>
      </c>
    </row>
    <row r="1517" spans="1:17" x14ac:dyDescent="0.3">
      <c r="A1517" t="s">
        <v>17</v>
      </c>
      <c r="B1517" t="str">
        <f>"603839"</f>
        <v>603839</v>
      </c>
      <c r="C1517" t="s">
        <v>3338</v>
      </c>
      <c r="D1517" t="s">
        <v>255</v>
      </c>
      <c r="F1517">
        <v>2638890147</v>
      </c>
      <c r="G1517">
        <v>2741768264</v>
      </c>
      <c r="H1517">
        <v>2810384806</v>
      </c>
      <c r="I1517">
        <v>2742504194</v>
      </c>
      <c r="J1517">
        <v>2571743834</v>
      </c>
      <c r="K1517">
        <v>1282643105</v>
      </c>
      <c r="L1517">
        <v>1143066815</v>
      </c>
      <c r="M1517">
        <v>994543134</v>
      </c>
      <c r="N1517">
        <v>872671245</v>
      </c>
      <c r="P1517">
        <v>136</v>
      </c>
      <c r="Q1517" t="s">
        <v>3339</v>
      </c>
    </row>
    <row r="1518" spans="1:17" x14ac:dyDescent="0.3">
      <c r="A1518" t="s">
        <v>17</v>
      </c>
      <c r="B1518" t="str">
        <f>"603843"</f>
        <v>603843</v>
      </c>
      <c r="C1518" t="s">
        <v>3340</v>
      </c>
      <c r="D1518" t="s">
        <v>101</v>
      </c>
      <c r="F1518">
        <v>1887835034</v>
      </c>
      <c r="G1518">
        <v>1494280533</v>
      </c>
      <c r="H1518">
        <v>1393645602</v>
      </c>
      <c r="I1518">
        <v>1337810612</v>
      </c>
      <c r="J1518">
        <v>1256483441</v>
      </c>
      <c r="K1518">
        <v>1220664286</v>
      </c>
      <c r="L1518">
        <v>697817653</v>
      </c>
      <c r="M1518">
        <v>625494422</v>
      </c>
      <c r="N1518">
        <v>515959458</v>
      </c>
      <c r="P1518">
        <v>90</v>
      </c>
      <c r="Q1518" t="s">
        <v>3341</v>
      </c>
    </row>
    <row r="1519" spans="1:17" x14ac:dyDescent="0.3">
      <c r="A1519" t="s">
        <v>17</v>
      </c>
      <c r="B1519" t="str">
        <f>"603848"</f>
        <v>603848</v>
      </c>
      <c r="C1519" t="s">
        <v>3342</v>
      </c>
      <c r="D1519" t="s">
        <v>757</v>
      </c>
      <c r="F1519">
        <v>1879014112</v>
      </c>
      <c r="G1519">
        <v>1658839739</v>
      </c>
      <c r="H1519">
        <v>1465796194</v>
      </c>
      <c r="I1519">
        <v>1286573151</v>
      </c>
      <c r="J1519">
        <v>1088126498</v>
      </c>
      <c r="K1519">
        <v>610807344</v>
      </c>
      <c r="L1519">
        <v>458830742</v>
      </c>
      <c r="M1519">
        <v>325469687</v>
      </c>
      <c r="P1519">
        <v>415</v>
      </c>
      <c r="Q1519" t="s">
        <v>3343</v>
      </c>
    </row>
    <row r="1520" spans="1:17" x14ac:dyDescent="0.3">
      <c r="A1520" t="s">
        <v>17</v>
      </c>
      <c r="B1520" t="str">
        <f>"603855"</f>
        <v>603855</v>
      </c>
      <c r="C1520" t="s">
        <v>3344</v>
      </c>
      <c r="D1520" t="s">
        <v>741</v>
      </c>
      <c r="F1520">
        <v>1756675573</v>
      </c>
      <c r="G1520">
        <v>1620828943</v>
      </c>
      <c r="H1520">
        <v>1502654349</v>
      </c>
      <c r="I1520">
        <v>1442847366</v>
      </c>
      <c r="J1520">
        <v>1421104943</v>
      </c>
      <c r="K1520">
        <v>798151281</v>
      </c>
      <c r="L1520">
        <v>753667643</v>
      </c>
      <c r="M1520">
        <v>687192678</v>
      </c>
      <c r="P1520">
        <v>220</v>
      </c>
      <c r="Q1520" t="s">
        <v>3345</v>
      </c>
    </row>
    <row r="1521" spans="1:17" x14ac:dyDescent="0.3">
      <c r="A1521" t="s">
        <v>17</v>
      </c>
      <c r="B1521" t="str">
        <f>"603856"</f>
        <v>603856</v>
      </c>
      <c r="C1521" t="s">
        <v>3346</v>
      </c>
      <c r="D1521" t="s">
        <v>3347</v>
      </c>
      <c r="F1521">
        <v>2004017243</v>
      </c>
      <c r="G1521">
        <v>1960076797</v>
      </c>
      <c r="H1521">
        <v>1704162800</v>
      </c>
      <c r="I1521">
        <v>1550926001</v>
      </c>
      <c r="J1521">
        <v>1432928752</v>
      </c>
      <c r="K1521">
        <v>834707314</v>
      </c>
      <c r="L1521">
        <v>744337137</v>
      </c>
      <c r="M1521">
        <v>651846119</v>
      </c>
      <c r="P1521">
        <v>138</v>
      </c>
      <c r="Q1521" t="s">
        <v>3348</v>
      </c>
    </row>
    <row r="1522" spans="1:17" x14ac:dyDescent="0.3">
      <c r="A1522" t="s">
        <v>17</v>
      </c>
      <c r="B1522" t="str">
        <f>"603858"</f>
        <v>603858</v>
      </c>
      <c r="C1522" t="s">
        <v>3349</v>
      </c>
      <c r="D1522" t="s">
        <v>188</v>
      </c>
      <c r="F1522">
        <v>14424846367</v>
      </c>
      <c r="G1522">
        <v>13714642847</v>
      </c>
      <c r="H1522">
        <v>13638322492</v>
      </c>
      <c r="I1522">
        <v>13734528059</v>
      </c>
      <c r="J1522">
        <v>13142257608</v>
      </c>
      <c r="K1522">
        <v>12606015915</v>
      </c>
      <c r="L1522">
        <v>7152192966</v>
      </c>
      <c r="M1522">
        <v>4400971122</v>
      </c>
      <c r="N1522">
        <v>4098844269</v>
      </c>
      <c r="P1522">
        <v>828</v>
      </c>
      <c r="Q1522" t="s">
        <v>3350</v>
      </c>
    </row>
    <row r="1523" spans="1:17" x14ac:dyDescent="0.3">
      <c r="A1523" t="s">
        <v>17</v>
      </c>
      <c r="B1523" t="str">
        <f>"603859"</f>
        <v>603859</v>
      </c>
      <c r="C1523" t="s">
        <v>3351</v>
      </c>
      <c r="D1523" t="s">
        <v>2432</v>
      </c>
      <c r="F1523">
        <v>2351753102</v>
      </c>
      <c r="G1523">
        <v>1404714763</v>
      </c>
      <c r="H1523">
        <v>1288671831</v>
      </c>
      <c r="I1523">
        <v>709712355</v>
      </c>
      <c r="J1523">
        <v>655048632</v>
      </c>
      <c r="K1523">
        <v>647530466</v>
      </c>
      <c r="L1523">
        <v>423978170</v>
      </c>
      <c r="M1523">
        <v>402309386</v>
      </c>
      <c r="N1523">
        <v>377482096</v>
      </c>
      <c r="P1523">
        <v>205</v>
      </c>
      <c r="Q1523" t="s">
        <v>3352</v>
      </c>
    </row>
    <row r="1524" spans="1:17" x14ac:dyDescent="0.3">
      <c r="A1524" t="s">
        <v>17</v>
      </c>
      <c r="B1524" t="str">
        <f>"603860"</f>
        <v>603860</v>
      </c>
      <c r="C1524" t="s">
        <v>3353</v>
      </c>
      <c r="D1524" t="s">
        <v>1272</v>
      </c>
      <c r="F1524">
        <v>695578607</v>
      </c>
      <c r="G1524">
        <v>664803388</v>
      </c>
      <c r="H1524">
        <v>640768611</v>
      </c>
      <c r="I1524">
        <v>597562605</v>
      </c>
      <c r="J1524">
        <v>559103588</v>
      </c>
      <c r="K1524">
        <v>289657609</v>
      </c>
      <c r="L1524">
        <v>254373990</v>
      </c>
      <c r="M1524">
        <v>216865861</v>
      </c>
      <c r="P1524">
        <v>58</v>
      </c>
      <c r="Q1524" t="s">
        <v>3354</v>
      </c>
    </row>
    <row r="1525" spans="1:17" x14ac:dyDescent="0.3">
      <c r="A1525" t="s">
        <v>17</v>
      </c>
      <c r="B1525" t="str">
        <f>"603861"</f>
        <v>603861</v>
      </c>
      <c r="C1525" t="s">
        <v>3355</v>
      </c>
      <c r="D1525" t="s">
        <v>657</v>
      </c>
      <c r="F1525">
        <v>2643724343</v>
      </c>
      <c r="G1525">
        <v>2522269769</v>
      </c>
      <c r="H1525">
        <v>2444831374</v>
      </c>
      <c r="I1525">
        <v>2323411501</v>
      </c>
      <c r="J1525">
        <v>2014193044</v>
      </c>
      <c r="K1525">
        <v>1900149927</v>
      </c>
      <c r="L1525">
        <v>1360928020</v>
      </c>
      <c r="M1525">
        <v>1222605878</v>
      </c>
      <c r="N1525">
        <v>1121769007</v>
      </c>
      <c r="P1525">
        <v>109</v>
      </c>
      <c r="Q1525" t="s">
        <v>3356</v>
      </c>
    </row>
    <row r="1526" spans="1:17" x14ac:dyDescent="0.3">
      <c r="A1526" t="s">
        <v>17</v>
      </c>
      <c r="B1526" t="str">
        <f>"603863"</f>
        <v>603863</v>
      </c>
      <c r="C1526" t="s">
        <v>3357</v>
      </c>
      <c r="D1526" t="s">
        <v>694</v>
      </c>
      <c r="F1526">
        <v>1181956647</v>
      </c>
      <c r="G1526">
        <v>1174502554</v>
      </c>
      <c r="H1526">
        <v>1118608136</v>
      </c>
      <c r="I1526">
        <v>572358471</v>
      </c>
      <c r="J1526">
        <v>477450369</v>
      </c>
      <c r="K1526">
        <v>221860244</v>
      </c>
      <c r="P1526">
        <v>51</v>
      </c>
      <c r="Q1526" t="s">
        <v>3358</v>
      </c>
    </row>
    <row r="1527" spans="1:17" x14ac:dyDescent="0.3">
      <c r="A1527" t="s">
        <v>17</v>
      </c>
      <c r="B1527" t="str">
        <f>"603866"</f>
        <v>603866</v>
      </c>
      <c r="C1527" t="s">
        <v>3359</v>
      </c>
      <c r="D1527" t="s">
        <v>2488</v>
      </c>
      <c r="F1527">
        <v>4935065406</v>
      </c>
      <c r="G1527">
        <v>4832787895</v>
      </c>
      <c r="H1527">
        <v>3590483069</v>
      </c>
      <c r="I1527">
        <v>3421426289</v>
      </c>
      <c r="J1527">
        <v>3155776712</v>
      </c>
      <c r="K1527">
        <v>2057156771</v>
      </c>
      <c r="L1527">
        <v>1869180908</v>
      </c>
      <c r="M1527">
        <v>1038110146</v>
      </c>
      <c r="N1527">
        <v>903944502</v>
      </c>
      <c r="O1527">
        <v>709356955</v>
      </c>
      <c r="P1527">
        <v>7676</v>
      </c>
      <c r="Q1527" t="s">
        <v>3360</v>
      </c>
    </row>
    <row r="1528" spans="1:17" x14ac:dyDescent="0.3">
      <c r="A1528" t="s">
        <v>17</v>
      </c>
      <c r="B1528" t="str">
        <f>"603867"</f>
        <v>603867</v>
      </c>
      <c r="C1528" t="s">
        <v>3361</v>
      </c>
      <c r="D1528" t="s">
        <v>386</v>
      </c>
      <c r="F1528">
        <v>1655415826</v>
      </c>
      <c r="G1528">
        <v>1494272847</v>
      </c>
      <c r="H1528">
        <v>1343368225</v>
      </c>
      <c r="I1528">
        <v>790089651</v>
      </c>
      <c r="J1528">
        <v>632767297</v>
      </c>
      <c r="K1528">
        <v>524148755</v>
      </c>
      <c r="P1528">
        <v>88</v>
      </c>
      <c r="Q1528" t="s">
        <v>3362</v>
      </c>
    </row>
    <row r="1529" spans="1:17" x14ac:dyDescent="0.3">
      <c r="A1529" t="s">
        <v>17</v>
      </c>
      <c r="B1529" t="str">
        <f>"603868"</f>
        <v>603868</v>
      </c>
      <c r="C1529" t="s">
        <v>3363</v>
      </c>
      <c r="D1529" t="s">
        <v>3364</v>
      </c>
      <c r="F1529">
        <v>3042234884</v>
      </c>
      <c r="G1529">
        <v>2830587951</v>
      </c>
      <c r="H1529">
        <v>2629667659</v>
      </c>
      <c r="I1529">
        <v>2601691888</v>
      </c>
      <c r="J1529">
        <v>2410194951</v>
      </c>
      <c r="K1529">
        <v>2010447313</v>
      </c>
      <c r="L1529">
        <v>1104393470</v>
      </c>
      <c r="M1529">
        <v>822202092</v>
      </c>
      <c r="N1529">
        <v>683528753</v>
      </c>
      <c r="P1529">
        <v>4435</v>
      </c>
      <c r="Q1529" t="s">
        <v>3365</v>
      </c>
    </row>
    <row r="1530" spans="1:17" x14ac:dyDescent="0.3">
      <c r="A1530" t="s">
        <v>17</v>
      </c>
      <c r="B1530" t="str">
        <f>"603869"</f>
        <v>603869</v>
      </c>
      <c r="C1530" t="s">
        <v>3366</v>
      </c>
      <c r="D1530" t="s">
        <v>316</v>
      </c>
      <c r="F1530">
        <v>3980986591</v>
      </c>
      <c r="G1530">
        <v>3963326813</v>
      </c>
      <c r="H1530">
        <v>3950176791</v>
      </c>
      <c r="I1530">
        <v>3956636967</v>
      </c>
      <c r="J1530">
        <v>3665890418</v>
      </c>
      <c r="K1530">
        <v>3550860701</v>
      </c>
      <c r="L1530">
        <v>772069243</v>
      </c>
      <c r="M1530">
        <v>466212163</v>
      </c>
      <c r="N1530">
        <v>430558617</v>
      </c>
      <c r="O1530">
        <v>388872524</v>
      </c>
      <c r="P1530">
        <v>143</v>
      </c>
      <c r="Q1530" t="s">
        <v>3367</v>
      </c>
    </row>
    <row r="1531" spans="1:17" x14ac:dyDescent="0.3">
      <c r="A1531" t="s">
        <v>17</v>
      </c>
      <c r="B1531" t="str">
        <f>"603871"</f>
        <v>603871</v>
      </c>
      <c r="C1531" t="s">
        <v>3368</v>
      </c>
      <c r="D1531" t="s">
        <v>287</v>
      </c>
      <c r="F1531">
        <v>2754592941</v>
      </c>
      <c r="G1531">
        <v>2062443900</v>
      </c>
      <c r="H1531">
        <v>1866183736</v>
      </c>
      <c r="I1531">
        <v>1577023356</v>
      </c>
      <c r="J1531">
        <v>573686812</v>
      </c>
      <c r="K1531">
        <v>367466237</v>
      </c>
      <c r="L1531">
        <v>296699430</v>
      </c>
      <c r="M1531">
        <v>262242575</v>
      </c>
      <c r="P1531">
        <v>324</v>
      </c>
      <c r="Q1531" t="s">
        <v>3369</v>
      </c>
    </row>
    <row r="1532" spans="1:17" x14ac:dyDescent="0.3">
      <c r="A1532" t="s">
        <v>17</v>
      </c>
      <c r="B1532" t="str">
        <f>"603876"</f>
        <v>603876</v>
      </c>
      <c r="C1532" t="s">
        <v>3370</v>
      </c>
      <c r="D1532" t="s">
        <v>504</v>
      </c>
      <c r="F1532">
        <v>4848099620</v>
      </c>
      <c r="G1532">
        <v>3581970686</v>
      </c>
      <c r="H1532">
        <v>3660799424</v>
      </c>
      <c r="I1532">
        <v>3381747003</v>
      </c>
      <c r="J1532">
        <v>2346361971</v>
      </c>
      <c r="K1532">
        <v>2111344972</v>
      </c>
      <c r="L1532">
        <v>1779161065</v>
      </c>
      <c r="P1532">
        <v>143</v>
      </c>
      <c r="Q1532" t="s">
        <v>3371</v>
      </c>
    </row>
    <row r="1533" spans="1:17" x14ac:dyDescent="0.3">
      <c r="A1533" t="s">
        <v>17</v>
      </c>
      <c r="B1533" t="str">
        <f>"603877"</f>
        <v>603877</v>
      </c>
      <c r="C1533" t="s">
        <v>3372</v>
      </c>
      <c r="D1533" t="s">
        <v>255</v>
      </c>
      <c r="F1533">
        <v>4203425540</v>
      </c>
      <c r="G1533">
        <v>3897420578</v>
      </c>
      <c r="H1533">
        <v>3514454816</v>
      </c>
      <c r="I1533">
        <v>3539118847</v>
      </c>
      <c r="J1533">
        <v>3317545994</v>
      </c>
      <c r="K1533">
        <v>1996657812</v>
      </c>
      <c r="L1533">
        <v>1779118890</v>
      </c>
      <c r="M1533">
        <v>1421528913</v>
      </c>
      <c r="N1533">
        <v>1029894101</v>
      </c>
      <c r="P1533">
        <v>364</v>
      </c>
      <c r="Q1533" t="s">
        <v>3373</v>
      </c>
    </row>
    <row r="1534" spans="1:17" x14ac:dyDescent="0.3">
      <c r="A1534" t="s">
        <v>17</v>
      </c>
      <c r="B1534" t="str">
        <f>"603878"</f>
        <v>603878</v>
      </c>
      <c r="C1534" t="s">
        <v>3374</v>
      </c>
      <c r="D1534" t="s">
        <v>2238</v>
      </c>
      <c r="F1534">
        <v>2472264180</v>
      </c>
      <c r="G1534">
        <v>2404632328</v>
      </c>
      <c r="H1534">
        <v>2374633936</v>
      </c>
      <c r="I1534">
        <v>2164732615</v>
      </c>
      <c r="J1534">
        <v>2025936898</v>
      </c>
      <c r="K1534">
        <v>1944566392</v>
      </c>
      <c r="L1534">
        <v>1116155106</v>
      </c>
      <c r="M1534">
        <v>1016766270</v>
      </c>
      <c r="N1534">
        <v>914289197</v>
      </c>
      <c r="P1534">
        <v>142</v>
      </c>
      <c r="Q1534" t="s">
        <v>3375</v>
      </c>
    </row>
    <row r="1535" spans="1:17" x14ac:dyDescent="0.3">
      <c r="A1535" t="s">
        <v>17</v>
      </c>
      <c r="B1535" t="str">
        <f>"603879"</f>
        <v>603879</v>
      </c>
      <c r="C1535" t="s">
        <v>3376</v>
      </c>
      <c r="D1535" t="s">
        <v>3377</v>
      </c>
      <c r="F1535">
        <v>528133404</v>
      </c>
      <c r="G1535">
        <v>524428650</v>
      </c>
      <c r="H1535">
        <v>526276896</v>
      </c>
      <c r="I1535">
        <v>536626369</v>
      </c>
      <c r="J1535">
        <v>519596081</v>
      </c>
      <c r="K1535">
        <v>260642593</v>
      </c>
      <c r="L1535">
        <v>238317544</v>
      </c>
      <c r="M1535">
        <v>194967017</v>
      </c>
      <c r="P1535">
        <v>55</v>
      </c>
      <c r="Q1535" t="s">
        <v>3378</v>
      </c>
    </row>
    <row r="1536" spans="1:17" x14ac:dyDescent="0.3">
      <c r="A1536" t="s">
        <v>17</v>
      </c>
      <c r="B1536" t="str">
        <f>"603880"</f>
        <v>603880</v>
      </c>
      <c r="C1536" t="s">
        <v>3379</v>
      </c>
      <c r="D1536" t="s">
        <v>1077</v>
      </c>
      <c r="F1536">
        <v>649784563</v>
      </c>
      <c r="G1536">
        <v>696791264</v>
      </c>
      <c r="H1536">
        <v>564157337</v>
      </c>
      <c r="I1536">
        <v>556725474</v>
      </c>
      <c r="J1536">
        <v>531813888</v>
      </c>
      <c r="K1536">
        <v>252958457</v>
      </c>
      <c r="L1536">
        <v>220840124</v>
      </c>
      <c r="M1536">
        <v>209461493</v>
      </c>
      <c r="P1536">
        <v>125</v>
      </c>
      <c r="Q1536" t="s">
        <v>3380</v>
      </c>
    </row>
    <row r="1537" spans="1:17" x14ac:dyDescent="0.3">
      <c r="A1537" t="s">
        <v>17</v>
      </c>
      <c r="B1537" t="str">
        <f>"603881"</f>
        <v>603881</v>
      </c>
      <c r="C1537" t="s">
        <v>3381</v>
      </c>
      <c r="D1537" t="s">
        <v>316</v>
      </c>
      <c r="F1537">
        <v>2988537656</v>
      </c>
      <c r="G1537">
        <v>2891630340</v>
      </c>
      <c r="H1537">
        <v>1098313206</v>
      </c>
      <c r="I1537">
        <v>1002308789</v>
      </c>
      <c r="J1537">
        <v>895253135</v>
      </c>
      <c r="K1537">
        <v>415544482</v>
      </c>
      <c r="L1537">
        <v>337315715</v>
      </c>
      <c r="M1537">
        <v>265174101</v>
      </c>
      <c r="N1537">
        <v>81087359</v>
      </c>
      <c r="P1537">
        <v>486</v>
      </c>
      <c r="Q1537" t="s">
        <v>3382</v>
      </c>
    </row>
    <row r="1538" spans="1:17" x14ac:dyDescent="0.3">
      <c r="A1538" t="s">
        <v>17</v>
      </c>
      <c r="B1538" t="str">
        <f>"603882"</f>
        <v>603882</v>
      </c>
      <c r="C1538" t="s">
        <v>3383</v>
      </c>
      <c r="D1538" t="s">
        <v>2580</v>
      </c>
      <c r="F1538">
        <v>6303809487</v>
      </c>
      <c r="G1538">
        <v>3787213438</v>
      </c>
      <c r="H1538">
        <v>2274778952</v>
      </c>
      <c r="I1538">
        <v>1905322504</v>
      </c>
      <c r="J1538">
        <v>1702268139</v>
      </c>
      <c r="K1538">
        <v>1100381892</v>
      </c>
      <c r="L1538">
        <v>930074102</v>
      </c>
      <c r="M1538">
        <v>375372676</v>
      </c>
      <c r="P1538">
        <v>1844</v>
      </c>
      <c r="Q1538" t="s">
        <v>3384</v>
      </c>
    </row>
    <row r="1539" spans="1:17" x14ac:dyDescent="0.3">
      <c r="A1539" t="s">
        <v>17</v>
      </c>
      <c r="B1539" t="str">
        <f>"603883"</f>
        <v>603883</v>
      </c>
      <c r="C1539" t="s">
        <v>3385</v>
      </c>
      <c r="D1539" t="s">
        <v>1686</v>
      </c>
      <c r="F1539">
        <v>4357582532</v>
      </c>
      <c r="G1539">
        <v>4289907961</v>
      </c>
      <c r="H1539">
        <v>3430645819</v>
      </c>
      <c r="I1539">
        <v>3046174961</v>
      </c>
      <c r="J1539">
        <v>2930827300</v>
      </c>
      <c r="K1539">
        <v>1850390528</v>
      </c>
      <c r="L1539">
        <v>2218445086</v>
      </c>
      <c r="M1539">
        <v>967915586</v>
      </c>
      <c r="N1539">
        <v>809807495</v>
      </c>
      <c r="O1539">
        <v>649086769</v>
      </c>
      <c r="P1539">
        <v>868</v>
      </c>
      <c r="Q1539" t="s">
        <v>3386</v>
      </c>
    </row>
    <row r="1540" spans="1:17" x14ac:dyDescent="0.3">
      <c r="A1540" t="s">
        <v>17</v>
      </c>
      <c r="B1540" t="str">
        <f>"603885"</f>
        <v>603885</v>
      </c>
      <c r="C1540" t="s">
        <v>3387</v>
      </c>
      <c r="D1540" t="s">
        <v>77</v>
      </c>
      <c r="F1540">
        <v>10055596692</v>
      </c>
      <c r="G1540">
        <v>10851180750</v>
      </c>
      <c r="H1540">
        <v>12899030626</v>
      </c>
      <c r="I1540">
        <v>9428964978</v>
      </c>
      <c r="J1540">
        <v>8650255690</v>
      </c>
      <c r="K1540">
        <v>7628285628</v>
      </c>
      <c r="L1540">
        <v>3365101313</v>
      </c>
      <c r="M1540">
        <v>2005249265</v>
      </c>
      <c r="N1540">
        <v>1627563520</v>
      </c>
      <c r="O1540">
        <v>1328925507</v>
      </c>
      <c r="P1540">
        <v>475</v>
      </c>
      <c r="Q1540" t="s">
        <v>3388</v>
      </c>
    </row>
    <row r="1541" spans="1:17" x14ac:dyDescent="0.3">
      <c r="A1541" t="s">
        <v>17</v>
      </c>
      <c r="B1541" t="str">
        <f>"603886"</f>
        <v>603886</v>
      </c>
      <c r="C1541" t="s">
        <v>3389</v>
      </c>
      <c r="D1541" t="s">
        <v>2488</v>
      </c>
      <c r="F1541">
        <v>1596699931</v>
      </c>
      <c r="G1541">
        <v>1497690354</v>
      </c>
      <c r="H1541">
        <v>1491835546</v>
      </c>
      <c r="I1541">
        <v>1351632515</v>
      </c>
      <c r="J1541">
        <v>1219028342</v>
      </c>
      <c r="K1541">
        <v>1068427073</v>
      </c>
      <c r="L1541">
        <v>438582834</v>
      </c>
      <c r="M1541">
        <v>373835459</v>
      </c>
      <c r="N1541">
        <v>417127480</v>
      </c>
      <c r="P1541">
        <v>3081</v>
      </c>
      <c r="Q1541" t="s">
        <v>3390</v>
      </c>
    </row>
    <row r="1542" spans="1:17" x14ac:dyDescent="0.3">
      <c r="A1542" t="s">
        <v>17</v>
      </c>
      <c r="B1542" t="str">
        <f>"603887"</f>
        <v>603887</v>
      </c>
      <c r="C1542" t="s">
        <v>3391</v>
      </c>
      <c r="D1542" t="s">
        <v>316</v>
      </c>
      <c r="F1542">
        <v>3089592033</v>
      </c>
      <c r="G1542">
        <v>3731864262</v>
      </c>
      <c r="H1542">
        <v>3313546861</v>
      </c>
      <c r="I1542">
        <v>860415194</v>
      </c>
      <c r="J1542">
        <v>754080666</v>
      </c>
      <c r="K1542">
        <v>682914321</v>
      </c>
      <c r="L1542">
        <v>351420098</v>
      </c>
      <c r="M1542">
        <v>295459198</v>
      </c>
      <c r="N1542">
        <v>245926921</v>
      </c>
      <c r="P1542">
        <v>241</v>
      </c>
      <c r="Q1542" t="s">
        <v>3392</v>
      </c>
    </row>
    <row r="1543" spans="1:17" x14ac:dyDescent="0.3">
      <c r="A1543" t="s">
        <v>17</v>
      </c>
      <c r="B1543" t="str">
        <f>"603888"</f>
        <v>603888</v>
      </c>
      <c r="C1543" t="s">
        <v>3393</v>
      </c>
      <c r="D1543" t="s">
        <v>522</v>
      </c>
      <c r="F1543">
        <v>3156054660</v>
      </c>
      <c r="G1543">
        <v>3005039147</v>
      </c>
      <c r="H1543">
        <v>2963556481</v>
      </c>
      <c r="I1543">
        <v>2833597458</v>
      </c>
      <c r="J1543">
        <v>2729190531</v>
      </c>
      <c r="K1543">
        <v>2358058085</v>
      </c>
      <c r="L1543">
        <v>1065210257</v>
      </c>
      <c r="M1543">
        <v>823465830</v>
      </c>
      <c r="N1543">
        <v>685547252</v>
      </c>
      <c r="P1543">
        <v>227</v>
      </c>
      <c r="Q1543" t="s">
        <v>3394</v>
      </c>
    </row>
    <row r="1544" spans="1:17" x14ac:dyDescent="0.3">
      <c r="A1544" t="s">
        <v>17</v>
      </c>
      <c r="B1544" t="str">
        <f>"603889"</f>
        <v>603889</v>
      </c>
      <c r="C1544" t="s">
        <v>3395</v>
      </c>
      <c r="D1544" t="s">
        <v>366</v>
      </c>
      <c r="F1544">
        <v>2717728027</v>
      </c>
      <c r="G1544">
        <v>2529264253</v>
      </c>
      <c r="H1544">
        <v>2369739712</v>
      </c>
      <c r="I1544">
        <v>2344080520</v>
      </c>
      <c r="J1544">
        <v>2226233927</v>
      </c>
      <c r="K1544">
        <v>1187176562</v>
      </c>
      <c r="L1544">
        <v>1065925814</v>
      </c>
      <c r="M1544">
        <v>967843793</v>
      </c>
      <c r="N1544">
        <v>453958553</v>
      </c>
      <c r="O1544">
        <v>375605962</v>
      </c>
      <c r="P1544">
        <v>121</v>
      </c>
      <c r="Q1544" t="s">
        <v>3396</v>
      </c>
    </row>
    <row r="1545" spans="1:17" x14ac:dyDescent="0.3">
      <c r="A1545" t="s">
        <v>17</v>
      </c>
      <c r="B1545" t="str">
        <f>"603890"</f>
        <v>603890</v>
      </c>
      <c r="C1545" t="s">
        <v>3397</v>
      </c>
      <c r="D1545" t="s">
        <v>313</v>
      </c>
      <c r="F1545">
        <v>2575949501</v>
      </c>
      <c r="G1545">
        <v>1752701068</v>
      </c>
      <c r="H1545">
        <v>1525856889</v>
      </c>
      <c r="I1545">
        <v>1410644398</v>
      </c>
      <c r="J1545">
        <v>1329425242</v>
      </c>
      <c r="K1545">
        <v>428785103</v>
      </c>
      <c r="L1545">
        <v>148884150</v>
      </c>
      <c r="M1545">
        <v>200674548</v>
      </c>
      <c r="P1545">
        <v>155</v>
      </c>
      <c r="Q1545" t="s">
        <v>3398</v>
      </c>
    </row>
    <row r="1546" spans="1:17" x14ac:dyDescent="0.3">
      <c r="A1546" t="s">
        <v>17</v>
      </c>
      <c r="B1546" t="str">
        <f>"603893"</f>
        <v>603893</v>
      </c>
      <c r="C1546" t="s">
        <v>3399</v>
      </c>
      <c r="D1546" t="s">
        <v>461</v>
      </c>
      <c r="F1546">
        <v>2850578034</v>
      </c>
      <c r="G1546">
        <v>2260803296</v>
      </c>
      <c r="H1546">
        <v>1715960219</v>
      </c>
      <c r="I1546">
        <v>1511117903</v>
      </c>
      <c r="J1546">
        <v>1339430944</v>
      </c>
      <c r="K1546">
        <v>756990526</v>
      </c>
      <c r="P1546">
        <v>444</v>
      </c>
      <c r="Q1546" t="s">
        <v>3400</v>
      </c>
    </row>
    <row r="1547" spans="1:17" x14ac:dyDescent="0.3">
      <c r="A1547" t="s">
        <v>17</v>
      </c>
      <c r="B1547" t="str">
        <f>"603895"</f>
        <v>603895</v>
      </c>
      <c r="C1547" t="s">
        <v>3401</v>
      </c>
      <c r="D1547" t="s">
        <v>741</v>
      </c>
      <c r="F1547">
        <v>599946538</v>
      </c>
      <c r="G1547">
        <v>594890482</v>
      </c>
      <c r="H1547">
        <v>583721740</v>
      </c>
      <c r="I1547">
        <v>630485125</v>
      </c>
      <c r="J1547">
        <v>291728554</v>
      </c>
      <c r="K1547">
        <v>229717710</v>
      </c>
      <c r="L1547">
        <v>166626081</v>
      </c>
      <c r="M1547">
        <v>121172707</v>
      </c>
      <c r="P1547">
        <v>65</v>
      </c>
      <c r="Q1547" t="s">
        <v>3402</v>
      </c>
    </row>
    <row r="1548" spans="1:17" x14ac:dyDescent="0.3">
      <c r="A1548" t="s">
        <v>17</v>
      </c>
      <c r="B1548" t="str">
        <f>"603896"</f>
        <v>603896</v>
      </c>
      <c r="C1548" t="s">
        <v>3403</v>
      </c>
      <c r="D1548" t="s">
        <v>188</v>
      </c>
      <c r="F1548">
        <v>1600701165</v>
      </c>
      <c r="G1548">
        <v>1282796635</v>
      </c>
      <c r="H1548">
        <v>1172469504</v>
      </c>
      <c r="I1548">
        <v>984738470</v>
      </c>
      <c r="J1548">
        <v>869748260</v>
      </c>
      <c r="K1548">
        <v>436925642</v>
      </c>
      <c r="L1548">
        <v>368529825</v>
      </c>
      <c r="M1548">
        <v>320564963</v>
      </c>
      <c r="P1548">
        <v>230</v>
      </c>
      <c r="Q1548" t="s">
        <v>3404</v>
      </c>
    </row>
    <row r="1549" spans="1:17" x14ac:dyDescent="0.3">
      <c r="A1549" t="s">
        <v>17</v>
      </c>
      <c r="B1549" t="str">
        <f>"603897"</f>
        <v>603897</v>
      </c>
      <c r="C1549" t="s">
        <v>3405</v>
      </c>
      <c r="D1549" t="s">
        <v>1164</v>
      </c>
      <c r="F1549">
        <v>2712447820</v>
      </c>
      <c r="G1549">
        <v>1880954869</v>
      </c>
      <c r="H1549">
        <v>1810155640</v>
      </c>
      <c r="I1549">
        <v>1681037158</v>
      </c>
      <c r="J1549">
        <v>796862185</v>
      </c>
      <c r="K1549">
        <v>619439295</v>
      </c>
      <c r="L1549">
        <v>469142339</v>
      </c>
      <c r="P1549">
        <v>137</v>
      </c>
      <c r="Q1549" t="s">
        <v>3406</v>
      </c>
    </row>
    <row r="1550" spans="1:17" x14ac:dyDescent="0.3">
      <c r="A1550" t="s">
        <v>17</v>
      </c>
      <c r="B1550" t="str">
        <f>"603898"</f>
        <v>603898</v>
      </c>
      <c r="C1550" t="s">
        <v>3407</v>
      </c>
      <c r="D1550" t="s">
        <v>2664</v>
      </c>
      <c r="F1550">
        <v>2545928172</v>
      </c>
      <c r="G1550">
        <v>2540225731</v>
      </c>
      <c r="H1550">
        <v>2446414243</v>
      </c>
      <c r="I1550">
        <v>2310113126</v>
      </c>
      <c r="J1550">
        <v>2058703541</v>
      </c>
      <c r="K1550">
        <v>1158668082</v>
      </c>
      <c r="L1550">
        <v>947958220</v>
      </c>
      <c r="M1550">
        <v>380562310</v>
      </c>
      <c r="N1550">
        <v>279660613</v>
      </c>
      <c r="O1550">
        <v>193805142</v>
      </c>
      <c r="P1550">
        <v>835</v>
      </c>
      <c r="Q1550" t="s">
        <v>3408</v>
      </c>
    </row>
    <row r="1551" spans="1:17" x14ac:dyDescent="0.3">
      <c r="A1551" t="s">
        <v>17</v>
      </c>
      <c r="B1551" t="str">
        <f>"603899"</f>
        <v>603899</v>
      </c>
      <c r="C1551" t="s">
        <v>3409</v>
      </c>
      <c r="D1551" t="s">
        <v>3410</v>
      </c>
      <c r="F1551">
        <v>6194891978</v>
      </c>
      <c r="G1551">
        <v>5193568712</v>
      </c>
      <c r="H1551">
        <v>4201500385</v>
      </c>
      <c r="I1551">
        <v>3410808445</v>
      </c>
      <c r="J1551">
        <v>2833961137</v>
      </c>
      <c r="K1551">
        <v>2429920146</v>
      </c>
      <c r="L1551">
        <v>2167000201</v>
      </c>
      <c r="M1551">
        <v>1236493474</v>
      </c>
      <c r="N1551">
        <v>896923467</v>
      </c>
      <c r="O1551">
        <v>687453926</v>
      </c>
      <c r="P1551">
        <v>25827</v>
      </c>
      <c r="Q1551" t="s">
        <v>3411</v>
      </c>
    </row>
    <row r="1552" spans="1:17" x14ac:dyDescent="0.3">
      <c r="A1552" t="s">
        <v>17</v>
      </c>
      <c r="B1552" t="str">
        <f>"603900"</f>
        <v>603900</v>
      </c>
      <c r="C1552" t="s">
        <v>3412</v>
      </c>
      <c r="D1552" t="s">
        <v>1238</v>
      </c>
      <c r="F1552">
        <v>2253441238</v>
      </c>
      <c r="G1552">
        <v>2317329313</v>
      </c>
      <c r="H1552">
        <v>2341167030</v>
      </c>
      <c r="I1552">
        <v>2400505327</v>
      </c>
      <c r="J1552">
        <v>2285453345</v>
      </c>
      <c r="K1552">
        <v>2024349756</v>
      </c>
      <c r="L1552">
        <v>1074398007</v>
      </c>
      <c r="M1552">
        <v>953379309</v>
      </c>
      <c r="N1552">
        <v>816381183</v>
      </c>
      <c r="P1552">
        <v>137</v>
      </c>
      <c r="Q1552" t="s">
        <v>3413</v>
      </c>
    </row>
    <row r="1553" spans="1:17" x14ac:dyDescent="0.3">
      <c r="A1553" t="s">
        <v>17</v>
      </c>
      <c r="B1553" t="str">
        <f>"603901"</f>
        <v>603901</v>
      </c>
      <c r="C1553" t="s">
        <v>3414</v>
      </c>
      <c r="D1553" t="s">
        <v>3415</v>
      </c>
      <c r="F1553">
        <v>2170129017</v>
      </c>
      <c r="G1553">
        <v>1402577181</v>
      </c>
      <c r="H1553">
        <v>1310881699</v>
      </c>
      <c r="I1553">
        <v>1292772017</v>
      </c>
      <c r="J1553">
        <v>944121542</v>
      </c>
      <c r="K1553">
        <v>895704398</v>
      </c>
      <c r="L1553">
        <v>819681045</v>
      </c>
      <c r="M1553">
        <v>401492921</v>
      </c>
      <c r="N1553">
        <v>341965811</v>
      </c>
      <c r="O1553">
        <v>284137574</v>
      </c>
      <c r="P1553">
        <v>140</v>
      </c>
      <c r="Q1553" t="s">
        <v>3416</v>
      </c>
    </row>
    <row r="1554" spans="1:17" x14ac:dyDescent="0.3">
      <c r="A1554" t="s">
        <v>17</v>
      </c>
      <c r="B1554" t="str">
        <f>"603903"</f>
        <v>603903</v>
      </c>
      <c r="C1554" t="s">
        <v>3417</v>
      </c>
      <c r="D1554" t="s">
        <v>33</v>
      </c>
      <c r="F1554">
        <v>1171655279</v>
      </c>
      <c r="G1554">
        <v>1034586563</v>
      </c>
      <c r="H1554">
        <v>899106205</v>
      </c>
      <c r="I1554">
        <v>807595835</v>
      </c>
      <c r="J1554">
        <v>716696530</v>
      </c>
      <c r="K1554">
        <v>433330070</v>
      </c>
      <c r="L1554">
        <v>386578739</v>
      </c>
      <c r="M1554">
        <v>261560890</v>
      </c>
      <c r="P1554">
        <v>119</v>
      </c>
      <c r="Q1554" t="s">
        <v>3418</v>
      </c>
    </row>
    <row r="1555" spans="1:17" x14ac:dyDescent="0.3">
      <c r="A1555" t="s">
        <v>17</v>
      </c>
      <c r="B1555" t="str">
        <f>"603906"</f>
        <v>603906</v>
      </c>
      <c r="C1555" t="s">
        <v>3419</v>
      </c>
      <c r="D1555" t="s">
        <v>386</v>
      </c>
      <c r="F1555">
        <v>2222058970</v>
      </c>
      <c r="G1555">
        <v>1924098703</v>
      </c>
      <c r="H1555">
        <v>1354524571</v>
      </c>
      <c r="I1555">
        <v>1250592083</v>
      </c>
      <c r="J1555">
        <v>1186623266</v>
      </c>
      <c r="K1555">
        <v>646371550</v>
      </c>
      <c r="L1555">
        <v>556697973</v>
      </c>
      <c r="M1555">
        <v>498909393</v>
      </c>
      <c r="P1555">
        <v>185</v>
      </c>
      <c r="Q1555" t="s">
        <v>3420</v>
      </c>
    </row>
    <row r="1556" spans="1:17" x14ac:dyDescent="0.3">
      <c r="A1556" t="s">
        <v>17</v>
      </c>
      <c r="B1556" t="str">
        <f>"603908"</f>
        <v>603908</v>
      </c>
      <c r="C1556" t="s">
        <v>3421</v>
      </c>
      <c r="D1556" t="s">
        <v>330</v>
      </c>
      <c r="F1556">
        <v>468536441</v>
      </c>
      <c r="G1556">
        <v>439939952</v>
      </c>
      <c r="H1556">
        <v>443982784</v>
      </c>
      <c r="I1556">
        <v>453213823</v>
      </c>
      <c r="J1556">
        <v>445366945</v>
      </c>
      <c r="K1556">
        <v>193850428</v>
      </c>
      <c r="L1556">
        <v>171363537</v>
      </c>
      <c r="M1556">
        <v>141620490</v>
      </c>
      <c r="P1556">
        <v>114</v>
      </c>
      <c r="Q1556" t="s">
        <v>3422</v>
      </c>
    </row>
    <row r="1557" spans="1:17" x14ac:dyDescent="0.3">
      <c r="A1557" t="s">
        <v>17</v>
      </c>
      <c r="B1557" t="str">
        <f>"603909"</f>
        <v>603909</v>
      </c>
      <c r="C1557" t="s">
        <v>3423</v>
      </c>
      <c r="D1557" t="s">
        <v>1272</v>
      </c>
      <c r="F1557">
        <v>880343494</v>
      </c>
      <c r="G1557">
        <v>853570465</v>
      </c>
      <c r="H1557">
        <v>792468735</v>
      </c>
      <c r="I1557">
        <v>702097020</v>
      </c>
      <c r="J1557">
        <v>630772096</v>
      </c>
      <c r="K1557">
        <v>576619074</v>
      </c>
      <c r="L1557">
        <v>298569955</v>
      </c>
      <c r="M1557">
        <v>251110402</v>
      </c>
      <c r="N1557">
        <v>205436047</v>
      </c>
      <c r="P1557">
        <v>65</v>
      </c>
      <c r="Q1557" t="s">
        <v>3424</v>
      </c>
    </row>
    <row r="1558" spans="1:17" x14ac:dyDescent="0.3">
      <c r="A1558" t="s">
        <v>17</v>
      </c>
      <c r="B1558" t="str">
        <f>"603912"</f>
        <v>603912</v>
      </c>
      <c r="C1558" t="s">
        <v>3425</v>
      </c>
      <c r="D1558" t="s">
        <v>988</v>
      </c>
      <c r="F1558">
        <v>970148726</v>
      </c>
      <c r="G1558">
        <v>904865768</v>
      </c>
      <c r="H1558">
        <v>788974386</v>
      </c>
      <c r="I1558">
        <v>701653296</v>
      </c>
      <c r="J1558">
        <v>622873508</v>
      </c>
      <c r="K1558">
        <v>276148741</v>
      </c>
      <c r="L1558">
        <v>187231761</v>
      </c>
      <c r="M1558">
        <v>220587310</v>
      </c>
      <c r="P1558">
        <v>286</v>
      </c>
      <c r="Q1558" t="s">
        <v>3426</v>
      </c>
    </row>
    <row r="1559" spans="1:17" x14ac:dyDescent="0.3">
      <c r="A1559" t="s">
        <v>17</v>
      </c>
      <c r="B1559" t="str">
        <f>"603915"</f>
        <v>603915</v>
      </c>
      <c r="C1559" t="s">
        <v>3427</v>
      </c>
      <c r="D1559" t="s">
        <v>274</v>
      </c>
      <c r="F1559">
        <v>2953715137</v>
      </c>
      <c r="G1559">
        <v>2533179312</v>
      </c>
      <c r="H1559">
        <v>2249993168</v>
      </c>
      <c r="I1559">
        <v>1165961256</v>
      </c>
      <c r="J1559">
        <v>947899143</v>
      </c>
      <c r="K1559">
        <v>814317563</v>
      </c>
      <c r="P1559">
        <v>160</v>
      </c>
      <c r="Q1559" t="s">
        <v>3428</v>
      </c>
    </row>
    <row r="1560" spans="1:17" x14ac:dyDescent="0.3">
      <c r="A1560" t="s">
        <v>17</v>
      </c>
      <c r="B1560" t="str">
        <f>"603916"</f>
        <v>603916</v>
      </c>
      <c r="C1560" t="s">
        <v>3429</v>
      </c>
      <c r="D1560" t="s">
        <v>386</v>
      </c>
      <c r="F1560">
        <v>3930585384</v>
      </c>
      <c r="G1560">
        <v>3463291866</v>
      </c>
      <c r="H1560">
        <v>2391183204</v>
      </c>
      <c r="I1560">
        <v>2085054119</v>
      </c>
      <c r="J1560">
        <v>1874021711</v>
      </c>
      <c r="K1560">
        <v>1111301158</v>
      </c>
      <c r="L1560">
        <v>1038335014</v>
      </c>
      <c r="M1560">
        <v>783208923</v>
      </c>
      <c r="P1560">
        <v>273</v>
      </c>
      <c r="Q1560" t="s">
        <v>3430</v>
      </c>
    </row>
    <row r="1561" spans="1:17" x14ac:dyDescent="0.3">
      <c r="A1561" t="s">
        <v>17</v>
      </c>
      <c r="B1561" t="str">
        <f>"603917"</f>
        <v>603917</v>
      </c>
      <c r="C1561" t="s">
        <v>3431</v>
      </c>
      <c r="D1561" t="s">
        <v>985</v>
      </c>
      <c r="F1561">
        <v>1033524808</v>
      </c>
      <c r="G1561">
        <v>1028715112</v>
      </c>
      <c r="H1561">
        <v>970908995</v>
      </c>
      <c r="I1561">
        <v>911207642</v>
      </c>
      <c r="J1561">
        <v>829657716</v>
      </c>
      <c r="K1561">
        <v>402720468</v>
      </c>
      <c r="L1561">
        <v>334901925</v>
      </c>
      <c r="M1561">
        <v>270130686</v>
      </c>
      <c r="P1561">
        <v>73</v>
      </c>
      <c r="Q1561" t="s">
        <v>3432</v>
      </c>
    </row>
    <row r="1562" spans="1:17" x14ac:dyDescent="0.3">
      <c r="A1562" t="s">
        <v>17</v>
      </c>
      <c r="B1562" t="str">
        <f>"603918"</f>
        <v>603918</v>
      </c>
      <c r="C1562" t="s">
        <v>3433</v>
      </c>
      <c r="D1562" t="s">
        <v>316</v>
      </c>
      <c r="F1562">
        <v>1126419858</v>
      </c>
      <c r="G1562">
        <v>722959555</v>
      </c>
      <c r="H1562">
        <v>639771299</v>
      </c>
      <c r="I1562">
        <v>572937696</v>
      </c>
      <c r="J1562">
        <v>514768053</v>
      </c>
      <c r="K1562">
        <v>481683311</v>
      </c>
      <c r="L1562">
        <v>463820179</v>
      </c>
      <c r="M1562">
        <v>265493561</v>
      </c>
      <c r="N1562">
        <v>237262590</v>
      </c>
      <c r="O1562">
        <v>210121689</v>
      </c>
      <c r="P1562">
        <v>142</v>
      </c>
      <c r="Q1562" t="s">
        <v>3434</v>
      </c>
    </row>
    <row r="1563" spans="1:17" x14ac:dyDescent="0.3">
      <c r="A1563" t="s">
        <v>17</v>
      </c>
      <c r="B1563" t="str">
        <f>"603919"</f>
        <v>603919</v>
      </c>
      <c r="C1563" t="s">
        <v>3435</v>
      </c>
      <c r="D1563" t="s">
        <v>458</v>
      </c>
      <c r="F1563">
        <v>2981357840</v>
      </c>
      <c r="G1563">
        <v>2778257219</v>
      </c>
      <c r="H1563">
        <v>2541368286</v>
      </c>
      <c r="I1563">
        <v>1998652281</v>
      </c>
      <c r="J1563">
        <v>1827395986</v>
      </c>
      <c r="K1563">
        <v>1641634624</v>
      </c>
      <c r="L1563">
        <v>768166689</v>
      </c>
      <c r="M1563">
        <v>640160875</v>
      </c>
      <c r="N1563">
        <v>547996780</v>
      </c>
      <c r="P1563">
        <v>446</v>
      </c>
      <c r="Q1563" t="s">
        <v>3436</v>
      </c>
    </row>
    <row r="1564" spans="1:17" x14ac:dyDescent="0.3">
      <c r="A1564" t="s">
        <v>17</v>
      </c>
      <c r="B1564" t="str">
        <f>"603920"</f>
        <v>603920</v>
      </c>
      <c r="C1564" t="s">
        <v>3437</v>
      </c>
      <c r="D1564" t="s">
        <v>425</v>
      </c>
      <c r="F1564">
        <v>2690172074</v>
      </c>
      <c r="G1564">
        <v>2699035742</v>
      </c>
      <c r="H1564">
        <v>2587922256</v>
      </c>
      <c r="I1564">
        <v>2392497984</v>
      </c>
      <c r="J1564">
        <v>2343249156</v>
      </c>
      <c r="K1564">
        <v>916834855</v>
      </c>
      <c r="L1564">
        <v>771107341</v>
      </c>
      <c r="M1564">
        <v>731116074</v>
      </c>
      <c r="P1564">
        <v>267</v>
      </c>
      <c r="Q1564" t="s">
        <v>3438</v>
      </c>
    </row>
    <row r="1565" spans="1:17" x14ac:dyDescent="0.3">
      <c r="A1565" t="s">
        <v>17</v>
      </c>
      <c r="B1565" t="str">
        <f>"603922"</f>
        <v>603922</v>
      </c>
      <c r="C1565" t="s">
        <v>3439</v>
      </c>
      <c r="D1565" t="s">
        <v>985</v>
      </c>
      <c r="F1565">
        <v>1055729917</v>
      </c>
      <c r="G1565">
        <v>1039144827</v>
      </c>
      <c r="H1565">
        <v>1031570207</v>
      </c>
      <c r="I1565">
        <v>1137989795</v>
      </c>
      <c r="J1565">
        <v>1113752440</v>
      </c>
      <c r="K1565">
        <v>506984686</v>
      </c>
      <c r="L1565">
        <v>400600144</v>
      </c>
      <c r="M1565">
        <v>391249413</v>
      </c>
      <c r="P1565">
        <v>54</v>
      </c>
      <c r="Q1565" t="s">
        <v>3440</v>
      </c>
    </row>
    <row r="1566" spans="1:17" x14ac:dyDescent="0.3">
      <c r="A1566" t="s">
        <v>17</v>
      </c>
      <c r="B1566" t="str">
        <f>"603926"</f>
        <v>603926</v>
      </c>
      <c r="C1566" t="s">
        <v>3441</v>
      </c>
      <c r="D1566" t="s">
        <v>348</v>
      </c>
      <c r="F1566">
        <v>1527697591</v>
      </c>
      <c r="G1566">
        <v>1265964707</v>
      </c>
      <c r="H1566">
        <v>1133381871</v>
      </c>
      <c r="I1566">
        <v>1120428166</v>
      </c>
      <c r="J1566">
        <v>1168399296</v>
      </c>
      <c r="K1566">
        <v>498917473</v>
      </c>
      <c r="L1566">
        <v>413532249</v>
      </c>
      <c r="M1566">
        <v>347299289</v>
      </c>
      <c r="P1566">
        <v>104</v>
      </c>
      <c r="Q1566" t="s">
        <v>3442</v>
      </c>
    </row>
    <row r="1567" spans="1:17" x14ac:dyDescent="0.3">
      <c r="A1567" t="s">
        <v>17</v>
      </c>
      <c r="B1567" t="str">
        <f>"603927"</f>
        <v>603927</v>
      </c>
      <c r="C1567" t="s">
        <v>3443</v>
      </c>
      <c r="D1567" t="s">
        <v>945</v>
      </c>
      <c r="F1567">
        <v>2616234631</v>
      </c>
      <c r="G1567">
        <v>2272672735</v>
      </c>
      <c r="H1567">
        <v>2024477867</v>
      </c>
      <c r="I1567">
        <v>1191120368</v>
      </c>
      <c r="J1567">
        <v>1003205700</v>
      </c>
      <c r="K1567">
        <v>883648864</v>
      </c>
      <c r="P1567">
        <v>821</v>
      </c>
      <c r="Q1567" t="s">
        <v>3444</v>
      </c>
    </row>
    <row r="1568" spans="1:17" x14ac:dyDescent="0.3">
      <c r="A1568" t="s">
        <v>17</v>
      </c>
      <c r="B1568" t="str">
        <f>"603928"</f>
        <v>603928</v>
      </c>
      <c r="C1568" t="s">
        <v>3445</v>
      </c>
      <c r="D1568" t="s">
        <v>3377</v>
      </c>
      <c r="F1568">
        <v>1522886431</v>
      </c>
      <c r="G1568">
        <v>1400226781</v>
      </c>
      <c r="H1568">
        <v>1320858767</v>
      </c>
      <c r="I1568">
        <v>1240234888</v>
      </c>
      <c r="J1568">
        <v>1136291678</v>
      </c>
      <c r="K1568">
        <v>1041080490</v>
      </c>
      <c r="L1568">
        <v>534588758</v>
      </c>
      <c r="M1568">
        <v>475157103</v>
      </c>
      <c r="N1568">
        <v>431101782</v>
      </c>
      <c r="P1568">
        <v>102</v>
      </c>
      <c r="Q1568" t="s">
        <v>3446</v>
      </c>
    </row>
    <row r="1569" spans="1:17" x14ac:dyDescent="0.3">
      <c r="A1569" t="s">
        <v>17</v>
      </c>
      <c r="B1569" t="str">
        <f>"603929"</f>
        <v>603929</v>
      </c>
      <c r="C1569" t="s">
        <v>3447</v>
      </c>
      <c r="D1569" t="s">
        <v>1992</v>
      </c>
      <c r="F1569">
        <v>1036943649</v>
      </c>
      <c r="G1569">
        <v>1034810530</v>
      </c>
      <c r="H1569">
        <v>1149565105</v>
      </c>
      <c r="I1569">
        <v>1100127182</v>
      </c>
      <c r="J1569">
        <v>980056400</v>
      </c>
      <c r="K1569">
        <v>888126916</v>
      </c>
      <c r="L1569">
        <v>543817005</v>
      </c>
      <c r="M1569">
        <v>479784994</v>
      </c>
      <c r="N1569">
        <v>453960993</v>
      </c>
      <c r="P1569">
        <v>109</v>
      </c>
      <c r="Q1569" t="s">
        <v>3448</v>
      </c>
    </row>
    <row r="1570" spans="1:17" x14ac:dyDescent="0.3">
      <c r="A1570" t="s">
        <v>17</v>
      </c>
      <c r="B1570" t="str">
        <f>"603931"</f>
        <v>603931</v>
      </c>
      <c r="C1570" t="s">
        <v>3449</v>
      </c>
      <c r="D1570" t="s">
        <v>2408</v>
      </c>
      <c r="F1570">
        <v>1218100659</v>
      </c>
      <c r="G1570">
        <v>1104787542</v>
      </c>
      <c r="H1570">
        <v>522978029</v>
      </c>
      <c r="I1570">
        <v>440799026</v>
      </c>
      <c r="J1570">
        <v>366658001</v>
      </c>
      <c r="P1570">
        <v>88</v>
      </c>
      <c r="Q1570" t="s">
        <v>3450</v>
      </c>
    </row>
    <row r="1571" spans="1:17" x14ac:dyDescent="0.3">
      <c r="A1571" t="s">
        <v>17</v>
      </c>
      <c r="B1571" t="str">
        <f>"603933"</f>
        <v>603933</v>
      </c>
      <c r="C1571" t="s">
        <v>3451</v>
      </c>
      <c r="D1571" t="s">
        <v>651</v>
      </c>
      <c r="F1571">
        <v>1138737780</v>
      </c>
      <c r="G1571">
        <v>1030502892</v>
      </c>
      <c r="H1571">
        <v>1039712930</v>
      </c>
      <c r="I1571">
        <v>1049567712</v>
      </c>
      <c r="J1571">
        <v>971032517</v>
      </c>
      <c r="K1571">
        <v>385976753</v>
      </c>
      <c r="L1571">
        <v>298514767</v>
      </c>
      <c r="M1571">
        <v>248491102</v>
      </c>
      <c r="P1571">
        <v>122</v>
      </c>
      <c r="Q1571" t="s">
        <v>3452</v>
      </c>
    </row>
    <row r="1572" spans="1:17" x14ac:dyDescent="0.3">
      <c r="A1572" t="s">
        <v>17</v>
      </c>
      <c r="B1572" t="str">
        <f>"603936"</f>
        <v>603936</v>
      </c>
      <c r="C1572" t="s">
        <v>3453</v>
      </c>
      <c r="D1572" t="s">
        <v>425</v>
      </c>
      <c r="F1572">
        <v>3615559573</v>
      </c>
      <c r="G1572">
        <v>3501542420</v>
      </c>
      <c r="H1572">
        <v>2466081254</v>
      </c>
      <c r="I1572">
        <v>2273683663</v>
      </c>
      <c r="J1572">
        <v>990362817</v>
      </c>
      <c r="K1572">
        <v>934263511</v>
      </c>
      <c r="L1572">
        <v>889239424</v>
      </c>
      <c r="M1572">
        <v>527830164</v>
      </c>
      <c r="N1572">
        <v>458608607</v>
      </c>
      <c r="O1572">
        <v>387483493</v>
      </c>
      <c r="P1572">
        <v>222</v>
      </c>
      <c r="Q1572" t="s">
        <v>3454</v>
      </c>
    </row>
    <row r="1573" spans="1:17" x14ac:dyDescent="0.3">
      <c r="A1573" t="s">
        <v>17</v>
      </c>
      <c r="B1573" t="str">
        <f>"603937"</f>
        <v>603937</v>
      </c>
      <c r="C1573" t="s">
        <v>3455</v>
      </c>
      <c r="D1573" t="s">
        <v>504</v>
      </c>
      <c r="F1573">
        <v>1525354205</v>
      </c>
      <c r="G1573">
        <v>1497659554</v>
      </c>
      <c r="H1573">
        <v>1418403663</v>
      </c>
      <c r="I1573">
        <v>1319464212</v>
      </c>
      <c r="J1573">
        <v>1215120322</v>
      </c>
      <c r="K1573">
        <v>699118945</v>
      </c>
      <c r="L1573">
        <v>611204345</v>
      </c>
      <c r="M1573">
        <v>554688154</v>
      </c>
      <c r="P1573">
        <v>61</v>
      </c>
      <c r="Q1573" t="s">
        <v>3456</v>
      </c>
    </row>
    <row r="1574" spans="1:17" x14ac:dyDescent="0.3">
      <c r="A1574" t="s">
        <v>17</v>
      </c>
      <c r="B1574" t="str">
        <f>"603938"</f>
        <v>603938</v>
      </c>
      <c r="C1574" t="s">
        <v>3457</v>
      </c>
      <c r="D1574" t="s">
        <v>3458</v>
      </c>
      <c r="F1574">
        <v>1555148893</v>
      </c>
      <c r="G1574">
        <v>1227809467</v>
      </c>
      <c r="H1574">
        <v>1147080170</v>
      </c>
      <c r="I1574">
        <v>1059968997</v>
      </c>
      <c r="J1574">
        <v>977661301</v>
      </c>
      <c r="K1574">
        <v>540653270</v>
      </c>
      <c r="L1574">
        <v>513226850</v>
      </c>
      <c r="M1574">
        <v>427008409</v>
      </c>
      <c r="P1574">
        <v>102</v>
      </c>
      <c r="Q1574" t="s">
        <v>3459</v>
      </c>
    </row>
    <row r="1575" spans="1:17" x14ac:dyDescent="0.3">
      <c r="A1575" t="s">
        <v>17</v>
      </c>
      <c r="B1575" t="str">
        <f>"603939"</f>
        <v>603939</v>
      </c>
      <c r="C1575" t="s">
        <v>3460</v>
      </c>
      <c r="D1575" t="s">
        <v>1686</v>
      </c>
      <c r="F1575">
        <v>7481306065</v>
      </c>
      <c r="G1575">
        <v>5253003640</v>
      </c>
      <c r="H1575">
        <v>4508308158</v>
      </c>
      <c r="I1575">
        <v>4058760931</v>
      </c>
      <c r="J1575">
        <v>3167203182</v>
      </c>
      <c r="K1575">
        <v>2962508018</v>
      </c>
      <c r="L1575">
        <v>1411696830</v>
      </c>
      <c r="M1575">
        <v>590383867</v>
      </c>
      <c r="N1575">
        <v>497822663</v>
      </c>
      <c r="O1575">
        <v>422634920</v>
      </c>
      <c r="P1575">
        <v>1482</v>
      </c>
      <c r="Q1575" t="s">
        <v>3461</v>
      </c>
    </row>
    <row r="1576" spans="1:17" x14ac:dyDescent="0.3">
      <c r="A1576" t="s">
        <v>17</v>
      </c>
      <c r="B1576" t="str">
        <f>"603948"</f>
        <v>603948</v>
      </c>
      <c r="C1576" t="s">
        <v>3462</v>
      </c>
      <c r="D1576" t="s">
        <v>386</v>
      </c>
      <c r="F1576">
        <v>1665432784</v>
      </c>
      <c r="G1576">
        <v>1407410432</v>
      </c>
      <c r="H1576">
        <v>825180091</v>
      </c>
      <c r="I1576">
        <v>682646598</v>
      </c>
      <c r="J1576">
        <v>534958431</v>
      </c>
      <c r="P1576">
        <v>60</v>
      </c>
      <c r="Q1576" t="s">
        <v>3463</v>
      </c>
    </row>
    <row r="1577" spans="1:17" x14ac:dyDescent="0.3">
      <c r="A1577" t="s">
        <v>17</v>
      </c>
      <c r="B1577" t="str">
        <f>"603949"</f>
        <v>603949</v>
      </c>
      <c r="C1577" t="s">
        <v>3464</v>
      </c>
      <c r="D1577" t="s">
        <v>348</v>
      </c>
      <c r="F1577">
        <v>1026752982</v>
      </c>
      <c r="G1577">
        <v>961457335</v>
      </c>
      <c r="H1577">
        <v>428792732</v>
      </c>
      <c r="I1577">
        <v>328909182</v>
      </c>
      <c r="J1577">
        <v>270742970</v>
      </c>
      <c r="K1577">
        <v>165883452</v>
      </c>
      <c r="P1577">
        <v>158</v>
      </c>
      <c r="Q1577" t="s">
        <v>3465</v>
      </c>
    </row>
    <row r="1578" spans="1:17" x14ac:dyDescent="0.3">
      <c r="A1578" t="s">
        <v>17</v>
      </c>
      <c r="B1578" t="str">
        <f>"603950"</f>
        <v>603950</v>
      </c>
      <c r="C1578" t="s">
        <v>3466</v>
      </c>
      <c r="D1578" t="s">
        <v>348</v>
      </c>
      <c r="F1578">
        <v>2253439390</v>
      </c>
      <c r="G1578">
        <v>2010827770</v>
      </c>
      <c r="H1578">
        <v>1090588514</v>
      </c>
      <c r="I1578">
        <v>821782259</v>
      </c>
      <c r="J1578">
        <v>740260608</v>
      </c>
      <c r="P1578">
        <v>97</v>
      </c>
      <c r="Q1578" t="s">
        <v>3467</v>
      </c>
    </row>
    <row r="1579" spans="1:17" x14ac:dyDescent="0.3">
      <c r="A1579" t="s">
        <v>17</v>
      </c>
      <c r="B1579" t="str">
        <f>"603955"</f>
        <v>603955</v>
      </c>
      <c r="C1579" t="s">
        <v>3468</v>
      </c>
      <c r="D1579" t="s">
        <v>2417</v>
      </c>
      <c r="F1579">
        <v>1609802335</v>
      </c>
      <c r="G1579">
        <v>1551110376</v>
      </c>
      <c r="H1579">
        <v>1217103797</v>
      </c>
      <c r="I1579">
        <v>1125172589</v>
      </c>
      <c r="J1579">
        <v>1043750401</v>
      </c>
      <c r="K1579">
        <v>687083854</v>
      </c>
      <c r="L1579">
        <v>682670256</v>
      </c>
      <c r="M1579">
        <v>622383664</v>
      </c>
      <c r="N1579">
        <v>381397332</v>
      </c>
      <c r="P1579">
        <v>60</v>
      </c>
      <c r="Q1579" t="s">
        <v>3469</v>
      </c>
    </row>
    <row r="1580" spans="1:17" x14ac:dyDescent="0.3">
      <c r="A1580" t="s">
        <v>17</v>
      </c>
      <c r="B1580" t="str">
        <f>"603956"</f>
        <v>603956</v>
      </c>
      <c r="C1580" t="s">
        <v>3470</v>
      </c>
      <c r="D1580" t="s">
        <v>741</v>
      </c>
      <c r="F1580">
        <v>1237400657</v>
      </c>
      <c r="G1580">
        <v>1226270491</v>
      </c>
      <c r="H1580">
        <v>1120944411</v>
      </c>
      <c r="I1580">
        <v>839264605</v>
      </c>
      <c r="J1580">
        <v>724208213</v>
      </c>
      <c r="K1580">
        <v>619696918</v>
      </c>
      <c r="L1580">
        <v>315450412</v>
      </c>
      <c r="P1580">
        <v>181</v>
      </c>
      <c r="Q1580" t="s">
        <v>3471</v>
      </c>
    </row>
    <row r="1581" spans="1:17" x14ac:dyDescent="0.3">
      <c r="A1581" t="s">
        <v>17</v>
      </c>
      <c r="B1581" t="str">
        <f>"603958"</f>
        <v>603958</v>
      </c>
      <c r="C1581" t="s">
        <v>3472</v>
      </c>
      <c r="D1581" t="s">
        <v>330</v>
      </c>
      <c r="F1581">
        <v>954160015</v>
      </c>
      <c r="G1581">
        <v>973353231</v>
      </c>
      <c r="H1581">
        <v>1023407084</v>
      </c>
      <c r="I1581">
        <v>1013376149</v>
      </c>
      <c r="J1581">
        <v>1132271305</v>
      </c>
      <c r="K1581">
        <v>1170623997</v>
      </c>
      <c r="L1581">
        <v>640902709</v>
      </c>
      <c r="M1581">
        <v>538064782</v>
      </c>
      <c r="N1581">
        <v>482612328</v>
      </c>
      <c r="P1581">
        <v>67</v>
      </c>
      <c r="Q1581" t="s">
        <v>3473</v>
      </c>
    </row>
    <row r="1582" spans="1:17" x14ac:dyDescent="0.3">
      <c r="A1582" t="s">
        <v>17</v>
      </c>
      <c r="B1582" t="str">
        <f>"603959"</f>
        <v>603959</v>
      </c>
      <c r="C1582" t="s">
        <v>3474</v>
      </c>
      <c r="D1582" t="s">
        <v>2025</v>
      </c>
      <c r="F1582">
        <v>649491735</v>
      </c>
      <c r="G1582">
        <v>620266613</v>
      </c>
      <c r="H1582">
        <v>450856493</v>
      </c>
      <c r="I1582">
        <v>1104748313</v>
      </c>
      <c r="J1582">
        <v>958495306</v>
      </c>
      <c r="K1582">
        <v>875295263</v>
      </c>
      <c r="L1582">
        <v>460993525</v>
      </c>
      <c r="M1582">
        <v>386119060</v>
      </c>
      <c r="N1582">
        <v>331433486</v>
      </c>
      <c r="O1582">
        <v>263863415</v>
      </c>
      <c r="P1582">
        <v>80</v>
      </c>
      <c r="Q1582" t="s">
        <v>3475</v>
      </c>
    </row>
    <row r="1583" spans="1:17" x14ac:dyDescent="0.3">
      <c r="A1583" t="s">
        <v>17</v>
      </c>
      <c r="B1583" t="str">
        <f>"603960"</f>
        <v>603960</v>
      </c>
      <c r="C1583" t="s">
        <v>3476</v>
      </c>
      <c r="D1583" t="s">
        <v>3477</v>
      </c>
      <c r="F1583">
        <v>967781546</v>
      </c>
      <c r="G1583">
        <v>956844247</v>
      </c>
      <c r="H1583">
        <v>575635340</v>
      </c>
      <c r="I1583">
        <v>488755013</v>
      </c>
      <c r="J1583">
        <v>438478653</v>
      </c>
      <c r="K1583">
        <v>234088803</v>
      </c>
      <c r="L1583">
        <v>198292953</v>
      </c>
      <c r="M1583">
        <v>167668111</v>
      </c>
      <c r="P1583">
        <v>383</v>
      </c>
      <c r="Q1583" t="s">
        <v>3478</v>
      </c>
    </row>
    <row r="1584" spans="1:17" x14ac:dyDescent="0.3">
      <c r="A1584" t="s">
        <v>17</v>
      </c>
      <c r="B1584" t="str">
        <f>"603963"</f>
        <v>603963</v>
      </c>
      <c r="C1584" t="s">
        <v>3479</v>
      </c>
      <c r="D1584" t="s">
        <v>188</v>
      </c>
      <c r="F1584">
        <v>418857905</v>
      </c>
      <c r="G1584">
        <v>470854665</v>
      </c>
      <c r="H1584">
        <v>467622999</v>
      </c>
      <c r="I1584">
        <v>464127506</v>
      </c>
      <c r="J1584">
        <v>463427041</v>
      </c>
      <c r="K1584">
        <v>211975356</v>
      </c>
      <c r="L1584">
        <v>241309680</v>
      </c>
      <c r="M1584">
        <v>270516998</v>
      </c>
      <c r="P1584">
        <v>109</v>
      </c>
      <c r="Q1584" t="s">
        <v>3480</v>
      </c>
    </row>
    <row r="1585" spans="1:17" x14ac:dyDescent="0.3">
      <c r="A1585" t="s">
        <v>17</v>
      </c>
      <c r="B1585" t="str">
        <f>"603966"</f>
        <v>603966</v>
      </c>
      <c r="C1585" t="s">
        <v>3481</v>
      </c>
      <c r="D1585" t="s">
        <v>395</v>
      </c>
      <c r="F1585">
        <v>1246390741</v>
      </c>
      <c r="G1585">
        <v>1112442248</v>
      </c>
      <c r="H1585">
        <v>1009546421</v>
      </c>
      <c r="I1585">
        <v>882673843</v>
      </c>
      <c r="J1585">
        <v>821617721</v>
      </c>
      <c r="K1585">
        <v>515884057</v>
      </c>
      <c r="L1585">
        <v>472078136</v>
      </c>
      <c r="M1585">
        <v>425508491</v>
      </c>
      <c r="N1585">
        <v>373755425</v>
      </c>
      <c r="P1585">
        <v>122</v>
      </c>
      <c r="Q1585" t="s">
        <v>3482</v>
      </c>
    </row>
    <row r="1586" spans="1:17" x14ac:dyDescent="0.3">
      <c r="A1586" t="s">
        <v>17</v>
      </c>
      <c r="B1586" t="str">
        <f>"603967"</f>
        <v>603967</v>
      </c>
      <c r="C1586" t="s">
        <v>3483</v>
      </c>
      <c r="D1586" t="s">
        <v>287</v>
      </c>
      <c r="F1586">
        <v>2085018419</v>
      </c>
      <c r="G1586">
        <v>1977679674</v>
      </c>
      <c r="H1586">
        <v>1900991538</v>
      </c>
      <c r="I1586">
        <v>880940062</v>
      </c>
      <c r="J1586">
        <v>765826168</v>
      </c>
      <c r="K1586">
        <v>654966352</v>
      </c>
      <c r="P1586">
        <v>85</v>
      </c>
      <c r="Q1586" t="s">
        <v>3484</v>
      </c>
    </row>
    <row r="1587" spans="1:17" x14ac:dyDescent="0.3">
      <c r="A1587" t="s">
        <v>17</v>
      </c>
      <c r="B1587" t="str">
        <f>"603968"</f>
        <v>603968</v>
      </c>
      <c r="C1587" t="s">
        <v>3485</v>
      </c>
      <c r="D1587" t="s">
        <v>677</v>
      </c>
      <c r="F1587">
        <v>1789744226</v>
      </c>
      <c r="G1587">
        <v>1703573481</v>
      </c>
      <c r="H1587">
        <v>1573987416</v>
      </c>
      <c r="I1587">
        <v>1445603034</v>
      </c>
      <c r="J1587">
        <v>1332876623</v>
      </c>
      <c r="K1587">
        <v>1262958267</v>
      </c>
      <c r="L1587">
        <v>1085119330</v>
      </c>
      <c r="M1587">
        <v>521990411</v>
      </c>
      <c r="N1587">
        <v>469792037</v>
      </c>
      <c r="O1587">
        <v>437005668</v>
      </c>
      <c r="P1587">
        <v>244</v>
      </c>
      <c r="Q1587" t="s">
        <v>3486</v>
      </c>
    </row>
    <row r="1588" spans="1:17" x14ac:dyDescent="0.3">
      <c r="A1588" t="s">
        <v>17</v>
      </c>
      <c r="B1588" t="str">
        <f>"603969"</f>
        <v>603969</v>
      </c>
      <c r="C1588" t="s">
        <v>3487</v>
      </c>
      <c r="D1588" t="s">
        <v>274</v>
      </c>
      <c r="F1588">
        <v>1996342756</v>
      </c>
      <c r="G1588">
        <v>1898918923</v>
      </c>
      <c r="H1588">
        <v>1818028786</v>
      </c>
      <c r="I1588">
        <v>1726725876</v>
      </c>
      <c r="J1588">
        <v>1627509684</v>
      </c>
      <c r="K1588">
        <v>1593714390</v>
      </c>
      <c r="L1588">
        <v>1508863126</v>
      </c>
      <c r="M1588">
        <v>775132770</v>
      </c>
      <c r="N1588">
        <v>643751747</v>
      </c>
      <c r="O1588">
        <v>539012953</v>
      </c>
      <c r="P1588">
        <v>94</v>
      </c>
      <c r="Q1588" t="s">
        <v>3488</v>
      </c>
    </row>
    <row r="1589" spans="1:17" x14ac:dyDescent="0.3">
      <c r="A1589" t="s">
        <v>17</v>
      </c>
      <c r="B1589" t="str">
        <f>"603970"</f>
        <v>603970</v>
      </c>
      <c r="C1589" t="s">
        <v>3489</v>
      </c>
      <c r="D1589" t="s">
        <v>853</v>
      </c>
      <c r="F1589">
        <v>1171141107</v>
      </c>
      <c r="G1589">
        <v>1025272662</v>
      </c>
      <c r="H1589">
        <v>956091798</v>
      </c>
      <c r="I1589">
        <v>865258143</v>
      </c>
      <c r="J1589">
        <v>783225037</v>
      </c>
      <c r="K1589">
        <v>345065798</v>
      </c>
      <c r="L1589">
        <v>303045917</v>
      </c>
      <c r="M1589">
        <v>244778920</v>
      </c>
      <c r="P1589">
        <v>90</v>
      </c>
      <c r="Q1589" t="s">
        <v>3490</v>
      </c>
    </row>
    <row r="1590" spans="1:17" x14ac:dyDescent="0.3">
      <c r="A1590" t="s">
        <v>17</v>
      </c>
      <c r="B1590" t="str">
        <f>"603976"</f>
        <v>603976</v>
      </c>
      <c r="C1590" t="s">
        <v>3491</v>
      </c>
      <c r="D1590" t="s">
        <v>1077</v>
      </c>
      <c r="F1590">
        <v>1141618751</v>
      </c>
      <c r="G1590">
        <v>1040404262</v>
      </c>
      <c r="H1590">
        <v>1035979940</v>
      </c>
      <c r="I1590">
        <v>987019274</v>
      </c>
      <c r="J1590">
        <v>953932645</v>
      </c>
      <c r="K1590">
        <v>515053315</v>
      </c>
      <c r="L1590">
        <v>460741988</v>
      </c>
      <c r="M1590">
        <v>440043006</v>
      </c>
      <c r="P1590">
        <v>216</v>
      </c>
      <c r="Q1590" t="s">
        <v>3492</v>
      </c>
    </row>
    <row r="1591" spans="1:17" x14ac:dyDescent="0.3">
      <c r="A1591" t="s">
        <v>17</v>
      </c>
      <c r="B1591" t="str">
        <f>"603977"</f>
        <v>603977</v>
      </c>
      <c r="C1591" t="s">
        <v>3493</v>
      </c>
      <c r="D1591" t="s">
        <v>2736</v>
      </c>
      <c r="F1591">
        <v>2573520090</v>
      </c>
      <c r="G1591">
        <v>2131721387</v>
      </c>
      <c r="H1591">
        <v>1974411533</v>
      </c>
      <c r="I1591">
        <v>1834454893</v>
      </c>
      <c r="J1591">
        <v>947591281</v>
      </c>
      <c r="K1591">
        <v>989514541</v>
      </c>
      <c r="L1591">
        <v>572195857</v>
      </c>
      <c r="M1591">
        <v>530320872</v>
      </c>
      <c r="N1591">
        <v>466987483</v>
      </c>
      <c r="P1591">
        <v>87</v>
      </c>
      <c r="Q1591" t="s">
        <v>3494</v>
      </c>
    </row>
    <row r="1592" spans="1:17" x14ac:dyDescent="0.3">
      <c r="A1592" t="s">
        <v>17</v>
      </c>
      <c r="B1592" t="str">
        <f>"603978"</f>
        <v>603978</v>
      </c>
      <c r="C1592" t="s">
        <v>3495</v>
      </c>
      <c r="D1592" t="s">
        <v>581</v>
      </c>
      <c r="F1592">
        <v>1670541782</v>
      </c>
      <c r="G1592">
        <v>1520473049</v>
      </c>
      <c r="H1592">
        <v>1505576438</v>
      </c>
      <c r="I1592">
        <v>1411613293</v>
      </c>
      <c r="J1592">
        <v>1318739635</v>
      </c>
      <c r="K1592">
        <v>662799588</v>
      </c>
      <c r="L1592">
        <v>530031931</v>
      </c>
      <c r="M1592">
        <v>447313520</v>
      </c>
      <c r="P1592">
        <v>112</v>
      </c>
      <c r="Q1592" t="s">
        <v>3496</v>
      </c>
    </row>
    <row r="1593" spans="1:17" x14ac:dyDescent="0.3">
      <c r="A1593" t="s">
        <v>17</v>
      </c>
      <c r="B1593" t="str">
        <f>"603979"</f>
        <v>603979</v>
      </c>
      <c r="C1593" t="s">
        <v>3497</v>
      </c>
      <c r="D1593" t="s">
        <v>1992</v>
      </c>
      <c r="F1593">
        <v>5083601632</v>
      </c>
      <c r="G1593">
        <v>4506974277</v>
      </c>
      <c r="H1593">
        <v>4261953902</v>
      </c>
      <c r="I1593">
        <v>4052737777</v>
      </c>
      <c r="J1593">
        <v>3828236430</v>
      </c>
      <c r="K1593">
        <v>3679013258</v>
      </c>
      <c r="L1593">
        <v>3518970639</v>
      </c>
      <c r="M1593">
        <v>1800479036</v>
      </c>
      <c r="N1593">
        <v>1549751781</v>
      </c>
      <c r="O1593">
        <v>1188434790</v>
      </c>
      <c r="P1593">
        <v>122</v>
      </c>
      <c r="Q1593" t="s">
        <v>3498</v>
      </c>
    </row>
    <row r="1594" spans="1:17" x14ac:dyDescent="0.3">
      <c r="A1594" t="s">
        <v>17</v>
      </c>
      <c r="B1594" t="str">
        <f>"603980"</f>
        <v>603980</v>
      </c>
      <c r="C1594" t="s">
        <v>3499</v>
      </c>
      <c r="D1594" t="s">
        <v>779</v>
      </c>
      <c r="F1594">
        <v>4488095692</v>
      </c>
      <c r="G1594">
        <v>4466489606</v>
      </c>
      <c r="H1594">
        <v>4552636834</v>
      </c>
      <c r="I1594">
        <v>4343360358</v>
      </c>
      <c r="J1594">
        <v>3971017055</v>
      </c>
      <c r="K1594">
        <v>2141123168</v>
      </c>
      <c r="L1594">
        <v>1958852746</v>
      </c>
      <c r="M1594">
        <v>1308183688</v>
      </c>
      <c r="P1594">
        <v>195</v>
      </c>
      <c r="Q1594" t="s">
        <v>3500</v>
      </c>
    </row>
    <row r="1595" spans="1:17" x14ac:dyDescent="0.3">
      <c r="A1595" t="s">
        <v>17</v>
      </c>
      <c r="B1595" t="str">
        <f>"603982"</f>
        <v>603982</v>
      </c>
      <c r="C1595" t="s">
        <v>3501</v>
      </c>
      <c r="D1595" t="s">
        <v>348</v>
      </c>
      <c r="F1595">
        <v>1675167917</v>
      </c>
      <c r="G1595">
        <v>1559749837</v>
      </c>
      <c r="H1595">
        <v>1464654926</v>
      </c>
      <c r="I1595">
        <v>926469609</v>
      </c>
      <c r="J1595">
        <v>834835309</v>
      </c>
      <c r="K1595">
        <v>534708095</v>
      </c>
      <c r="P1595">
        <v>122</v>
      </c>
      <c r="Q1595" t="s">
        <v>3502</v>
      </c>
    </row>
    <row r="1596" spans="1:17" x14ac:dyDescent="0.3">
      <c r="A1596" t="s">
        <v>17</v>
      </c>
      <c r="B1596" t="str">
        <f>"603983"</f>
        <v>603983</v>
      </c>
      <c r="C1596" t="s">
        <v>3503</v>
      </c>
      <c r="D1596" t="s">
        <v>709</v>
      </c>
      <c r="F1596">
        <v>3084096598</v>
      </c>
      <c r="G1596">
        <v>2977746402</v>
      </c>
      <c r="H1596">
        <v>2669920111</v>
      </c>
      <c r="I1596">
        <v>1375229095</v>
      </c>
      <c r="J1596">
        <v>959955863</v>
      </c>
      <c r="K1596">
        <v>828089920</v>
      </c>
      <c r="P1596">
        <v>898</v>
      </c>
      <c r="Q1596" t="s">
        <v>3504</v>
      </c>
    </row>
    <row r="1597" spans="1:17" x14ac:dyDescent="0.3">
      <c r="A1597" t="s">
        <v>17</v>
      </c>
      <c r="B1597" t="str">
        <f>"603985"</f>
        <v>603985</v>
      </c>
      <c r="C1597" t="s">
        <v>3505</v>
      </c>
      <c r="D1597" t="s">
        <v>274</v>
      </c>
      <c r="F1597">
        <v>3337236246</v>
      </c>
      <c r="G1597">
        <v>1522270992</v>
      </c>
      <c r="H1597">
        <v>1142793895</v>
      </c>
      <c r="I1597">
        <v>1101442691</v>
      </c>
      <c r="J1597">
        <v>1004649391</v>
      </c>
      <c r="K1597">
        <v>440492833</v>
      </c>
      <c r="L1597">
        <v>355772265</v>
      </c>
      <c r="M1597">
        <v>307201507</v>
      </c>
      <c r="P1597">
        <v>218</v>
      </c>
      <c r="Q1597" t="s">
        <v>3506</v>
      </c>
    </row>
    <row r="1598" spans="1:17" x14ac:dyDescent="0.3">
      <c r="A1598" t="s">
        <v>17</v>
      </c>
      <c r="B1598" t="str">
        <f>"603986"</f>
        <v>603986</v>
      </c>
      <c r="C1598" t="s">
        <v>3507</v>
      </c>
      <c r="D1598" t="s">
        <v>461</v>
      </c>
      <c r="F1598">
        <v>13483048314</v>
      </c>
      <c r="G1598">
        <v>10693979522</v>
      </c>
      <c r="H1598">
        <v>5225477100</v>
      </c>
      <c r="I1598">
        <v>1897177499</v>
      </c>
      <c r="J1598">
        <v>1756488319</v>
      </c>
      <c r="K1598">
        <v>1278535690</v>
      </c>
      <c r="L1598">
        <v>571278917</v>
      </c>
      <c r="M1598">
        <v>419867056</v>
      </c>
      <c r="N1598">
        <v>331476509</v>
      </c>
      <c r="P1598">
        <v>2706</v>
      </c>
      <c r="Q1598" t="s">
        <v>3508</v>
      </c>
    </row>
    <row r="1599" spans="1:17" x14ac:dyDescent="0.3">
      <c r="A1599" t="s">
        <v>17</v>
      </c>
      <c r="B1599" t="str">
        <f>"603987"</f>
        <v>603987</v>
      </c>
      <c r="C1599" t="s">
        <v>3509</v>
      </c>
      <c r="D1599" t="s">
        <v>1077</v>
      </c>
      <c r="F1599">
        <v>2077359147</v>
      </c>
      <c r="G1599">
        <v>1761340979</v>
      </c>
      <c r="H1599">
        <v>1604862363</v>
      </c>
      <c r="I1599">
        <v>1373538371</v>
      </c>
      <c r="J1599">
        <v>1230590983</v>
      </c>
      <c r="K1599">
        <v>1139030022</v>
      </c>
      <c r="L1599">
        <v>722072788</v>
      </c>
      <c r="M1599">
        <v>621909398</v>
      </c>
      <c r="N1599">
        <v>493591794</v>
      </c>
      <c r="P1599">
        <v>266</v>
      </c>
      <c r="Q1599" t="s">
        <v>3510</v>
      </c>
    </row>
    <row r="1600" spans="1:17" x14ac:dyDescent="0.3">
      <c r="A1600" t="s">
        <v>17</v>
      </c>
      <c r="B1600" t="str">
        <f>"603988"</f>
        <v>603988</v>
      </c>
      <c r="C1600" t="s">
        <v>3511</v>
      </c>
      <c r="D1600" t="s">
        <v>1171</v>
      </c>
      <c r="F1600">
        <v>591734066</v>
      </c>
      <c r="G1600">
        <v>756683997</v>
      </c>
      <c r="H1600">
        <v>694837738</v>
      </c>
      <c r="I1600">
        <v>671916497</v>
      </c>
      <c r="J1600">
        <v>667127427</v>
      </c>
      <c r="K1600">
        <v>646045120</v>
      </c>
      <c r="L1600">
        <v>635754303</v>
      </c>
      <c r="M1600">
        <v>608983832</v>
      </c>
      <c r="N1600">
        <v>287424587</v>
      </c>
      <c r="O1600">
        <v>227581433</v>
      </c>
      <c r="P1600">
        <v>192</v>
      </c>
      <c r="Q1600" t="s">
        <v>3512</v>
      </c>
    </row>
    <row r="1601" spans="1:17" x14ac:dyDescent="0.3">
      <c r="A1601" t="s">
        <v>17</v>
      </c>
      <c r="B1601" t="str">
        <f>"603989"</f>
        <v>603989</v>
      </c>
      <c r="C1601" t="s">
        <v>3513</v>
      </c>
      <c r="D1601" t="s">
        <v>546</v>
      </c>
      <c r="F1601">
        <v>2951656241</v>
      </c>
      <c r="G1601">
        <v>2528147397</v>
      </c>
      <c r="H1601">
        <v>2117956588</v>
      </c>
      <c r="I1601">
        <v>1892160931</v>
      </c>
      <c r="J1601">
        <v>1833431938</v>
      </c>
      <c r="K1601">
        <v>1781657849</v>
      </c>
      <c r="L1601">
        <v>1727254014</v>
      </c>
      <c r="M1601">
        <v>772903806</v>
      </c>
      <c r="N1601">
        <v>682458748</v>
      </c>
      <c r="O1601">
        <v>569892701</v>
      </c>
      <c r="P1601">
        <v>12177</v>
      </c>
      <c r="Q1601" t="s">
        <v>3514</v>
      </c>
    </row>
    <row r="1602" spans="1:17" x14ac:dyDescent="0.3">
      <c r="A1602" t="s">
        <v>17</v>
      </c>
      <c r="B1602" t="str">
        <f>"603990"</f>
        <v>603990</v>
      </c>
      <c r="C1602" t="s">
        <v>3515</v>
      </c>
      <c r="D1602" t="s">
        <v>945</v>
      </c>
      <c r="F1602">
        <v>1094759358</v>
      </c>
      <c r="G1602">
        <v>1226498335</v>
      </c>
      <c r="H1602">
        <v>498765111</v>
      </c>
      <c r="I1602">
        <v>472361472</v>
      </c>
      <c r="J1602">
        <v>433785709</v>
      </c>
      <c r="K1602">
        <v>394970958</v>
      </c>
      <c r="L1602">
        <v>186634584</v>
      </c>
      <c r="M1602">
        <v>147678608</v>
      </c>
      <c r="N1602">
        <v>108432145</v>
      </c>
      <c r="P1602">
        <v>143</v>
      </c>
      <c r="Q1602" t="s">
        <v>3516</v>
      </c>
    </row>
    <row r="1603" spans="1:17" x14ac:dyDescent="0.3">
      <c r="A1603" t="s">
        <v>17</v>
      </c>
      <c r="B1603" t="str">
        <f>"603991"</f>
        <v>603991</v>
      </c>
      <c r="C1603" t="s">
        <v>3517</v>
      </c>
      <c r="D1603" t="s">
        <v>1192</v>
      </c>
      <c r="F1603">
        <v>317585888</v>
      </c>
      <c r="G1603">
        <v>371015218</v>
      </c>
      <c r="H1603">
        <v>419094818</v>
      </c>
      <c r="I1603">
        <v>488074651</v>
      </c>
      <c r="J1603">
        <v>461319137</v>
      </c>
      <c r="K1603">
        <v>246151634</v>
      </c>
      <c r="L1603">
        <v>208696843</v>
      </c>
      <c r="M1603">
        <v>175034676</v>
      </c>
      <c r="P1603">
        <v>96</v>
      </c>
      <c r="Q1603" t="s">
        <v>3518</v>
      </c>
    </row>
    <row r="1604" spans="1:17" x14ac:dyDescent="0.3">
      <c r="A1604" t="s">
        <v>17</v>
      </c>
      <c r="B1604" t="str">
        <f>"603992"</f>
        <v>603992</v>
      </c>
      <c r="C1604" t="s">
        <v>3519</v>
      </c>
      <c r="D1604" t="s">
        <v>2912</v>
      </c>
      <c r="F1604">
        <v>2226277968</v>
      </c>
      <c r="G1604">
        <v>2006350870</v>
      </c>
      <c r="H1604">
        <v>1806450412</v>
      </c>
      <c r="I1604">
        <v>1146195914</v>
      </c>
      <c r="J1604">
        <v>942400701</v>
      </c>
      <c r="K1604">
        <v>1177712088</v>
      </c>
      <c r="P1604">
        <v>120</v>
      </c>
      <c r="Q1604" t="s">
        <v>3520</v>
      </c>
    </row>
    <row r="1605" spans="1:17" x14ac:dyDescent="0.3">
      <c r="A1605" t="s">
        <v>17</v>
      </c>
      <c r="B1605" t="str">
        <f>"603993"</f>
        <v>603993</v>
      </c>
      <c r="C1605" t="s">
        <v>3521</v>
      </c>
      <c r="D1605" t="s">
        <v>2363</v>
      </c>
      <c r="F1605">
        <v>39845286626</v>
      </c>
      <c r="G1605">
        <v>38891780788</v>
      </c>
      <c r="H1605">
        <v>40802774134</v>
      </c>
      <c r="I1605">
        <v>40948873571</v>
      </c>
      <c r="J1605">
        <v>38157183127</v>
      </c>
      <c r="K1605">
        <v>18738058224</v>
      </c>
      <c r="L1605">
        <v>17353481191</v>
      </c>
      <c r="M1605">
        <v>14633573883</v>
      </c>
      <c r="N1605">
        <v>12178275529</v>
      </c>
      <c r="O1605">
        <v>11541534976</v>
      </c>
      <c r="P1605">
        <v>1125</v>
      </c>
      <c r="Q1605" t="s">
        <v>3522</v>
      </c>
    </row>
    <row r="1606" spans="1:17" x14ac:dyDescent="0.3">
      <c r="A1606" t="s">
        <v>17</v>
      </c>
      <c r="B1606" t="str">
        <f>"603995"</f>
        <v>603995</v>
      </c>
      <c r="C1606" t="s">
        <v>3523</v>
      </c>
      <c r="D1606" t="s">
        <v>281</v>
      </c>
      <c r="F1606">
        <v>3595907381</v>
      </c>
      <c r="G1606">
        <v>3146796370</v>
      </c>
      <c r="H1606">
        <v>2897477028</v>
      </c>
      <c r="I1606">
        <v>1440658122</v>
      </c>
      <c r="J1606">
        <v>1143910825</v>
      </c>
      <c r="K1606">
        <v>926903573</v>
      </c>
      <c r="P1606">
        <v>128</v>
      </c>
      <c r="Q1606" t="s">
        <v>3524</v>
      </c>
    </row>
    <row r="1607" spans="1:17" x14ac:dyDescent="0.3">
      <c r="A1607" t="s">
        <v>17</v>
      </c>
      <c r="B1607" t="str">
        <f>"603996"</f>
        <v>603996</v>
      </c>
      <c r="C1607" t="s">
        <v>3525</v>
      </c>
      <c r="D1607" t="s">
        <v>3526</v>
      </c>
      <c r="F1607">
        <v>-2389063906</v>
      </c>
      <c r="G1607">
        <v>-1959962893</v>
      </c>
      <c r="H1607">
        <v>-548706452</v>
      </c>
      <c r="I1607">
        <v>1402890662</v>
      </c>
      <c r="J1607">
        <v>1496365239</v>
      </c>
      <c r="K1607">
        <v>1395342715</v>
      </c>
      <c r="L1607">
        <v>1357764354</v>
      </c>
      <c r="M1607">
        <v>764991636</v>
      </c>
      <c r="N1607">
        <v>662348249</v>
      </c>
      <c r="O1607">
        <v>551154239</v>
      </c>
      <c r="P1607">
        <v>71</v>
      </c>
      <c r="Q1607" t="s">
        <v>3527</v>
      </c>
    </row>
    <row r="1608" spans="1:17" x14ac:dyDescent="0.3">
      <c r="A1608" t="s">
        <v>17</v>
      </c>
      <c r="B1608" t="str">
        <f>"603997"</f>
        <v>603997</v>
      </c>
      <c r="C1608" t="s">
        <v>3528</v>
      </c>
      <c r="D1608" t="s">
        <v>191</v>
      </c>
      <c r="F1608">
        <v>4653748796</v>
      </c>
      <c r="G1608">
        <v>4292346739</v>
      </c>
      <c r="H1608">
        <v>4548619656</v>
      </c>
      <c r="I1608">
        <v>1869324768</v>
      </c>
      <c r="J1608">
        <v>1723101033</v>
      </c>
      <c r="K1608">
        <v>1528494558</v>
      </c>
      <c r="L1608">
        <v>1333590702</v>
      </c>
      <c r="M1608">
        <v>781282817</v>
      </c>
      <c r="N1608">
        <v>680887837</v>
      </c>
      <c r="O1608">
        <v>496898721</v>
      </c>
      <c r="P1608">
        <v>248</v>
      </c>
      <c r="Q1608" t="s">
        <v>3529</v>
      </c>
    </row>
    <row r="1609" spans="1:17" x14ac:dyDescent="0.3">
      <c r="A1609" t="s">
        <v>17</v>
      </c>
      <c r="B1609" t="str">
        <f>"603998"</f>
        <v>603998</v>
      </c>
      <c r="C1609" t="s">
        <v>3530</v>
      </c>
      <c r="D1609" t="s">
        <v>188</v>
      </c>
      <c r="F1609">
        <v>1196044863</v>
      </c>
      <c r="G1609">
        <v>1151744241</v>
      </c>
      <c r="H1609">
        <v>1126907635</v>
      </c>
      <c r="I1609">
        <v>1053990780</v>
      </c>
      <c r="J1609">
        <v>984652637</v>
      </c>
      <c r="K1609">
        <v>928443458</v>
      </c>
      <c r="L1609">
        <v>885436852</v>
      </c>
      <c r="M1609">
        <v>807843504</v>
      </c>
      <c r="N1609">
        <v>357165531</v>
      </c>
      <c r="O1609">
        <v>293752870</v>
      </c>
      <c r="P1609">
        <v>126</v>
      </c>
      <c r="Q1609" t="s">
        <v>3531</v>
      </c>
    </row>
    <row r="1610" spans="1:17" x14ac:dyDescent="0.3">
      <c r="A1610" t="s">
        <v>17</v>
      </c>
      <c r="B1610" t="str">
        <f>"603999"</f>
        <v>603999</v>
      </c>
      <c r="C1610" t="s">
        <v>3532</v>
      </c>
      <c r="D1610" t="s">
        <v>525</v>
      </c>
      <c r="F1610">
        <v>1859653772</v>
      </c>
      <c r="G1610">
        <v>1751462134</v>
      </c>
      <c r="H1610">
        <v>1694399793</v>
      </c>
      <c r="I1610">
        <v>1679838144</v>
      </c>
      <c r="J1610">
        <v>1690071876</v>
      </c>
      <c r="K1610">
        <v>1643590936</v>
      </c>
      <c r="L1610">
        <v>1590538473</v>
      </c>
      <c r="M1610">
        <v>979033266</v>
      </c>
      <c r="N1610">
        <v>873753306</v>
      </c>
      <c r="O1610">
        <v>736855106</v>
      </c>
      <c r="P1610">
        <v>85</v>
      </c>
      <c r="Q1610" t="s">
        <v>3533</v>
      </c>
    </row>
    <row r="1611" spans="1:17" x14ac:dyDescent="0.3">
      <c r="A1611" t="s">
        <v>17</v>
      </c>
      <c r="B1611" t="str">
        <f>"605001"</f>
        <v>605001</v>
      </c>
      <c r="C1611" t="s">
        <v>3534</v>
      </c>
      <c r="D1611" t="s">
        <v>1012</v>
      </c>
      <c r="F1611">
        <v>2607236344</v>
      </c>
      <c r="G1611">
        <v>2874353375</v>
      </c>
      <c r="H1611">
        <v>1577261783</v>
      </c>
      <c r="I1611">
        <v>1341740500</v>
      </c>
      <c r="J1611">
        <v>877336692</v>
      </c>
      <c r="P1611">
        <v>48</v>
      </c>
      <c r="Q1611" t="s">
        <v>3535</v>
      </c>
    </row>
    <row r="1612" spans="1:17" x14ac:dyDescent="0.3">
      <c r="A1612" t="s">
        <v>17</v>
      </c>
      <c r="B1612" t="str">
        <f>"605003"</f>
        <v>605003</v>
      </c>
      <c r="C1612" t="s">
        <v>3536</v>
      </c>
      <c r="D1612" t="s">
        <v>2889</v>
      </c>
      <c r="F1612">
        <v>1085772322</v>
      </c>
      <c r="G1612">
        <v>982553876</v>
      </c>
      <c r="H1612">
        <v>341649068</v>
      </c>
      <c r="I1612">
        <v>268867275</v>
      </c>
      <c r="J1612">
        <v>178542200</v>
      </c>
      <c r="P1612">
        <v>75</v>
      </c>
      <c r="Q1612" t="s">
        <v>3537</v>
      </c>
    </row>
    <row r="1613" spans="1:17" x14ac:dyDescent="0.3">
      <c r="A1613" t="s">
        <v>17</v>
      </c>
      <c r="B1613" t="str">
        <f>"605005"</f>
        <v>605005</v>
      </c>
      <c r="C1613" t="s">
        <v>3538</v>
      </c>
      <c r="D1613" t="s">
        <v>1415</v>
      </c>
      <c r="F1613">
        <v>1434152789</v>
      </c>
      <c r="G1613">
        <v>1090487460</v>
      </c>
      <c r="H1613">
        <v>925102957</v>
      </c>
      <c r="I1613">
        <v>925102957</v>
      </c>
      <c r="J1613">
        <v>611869857</v>
      </c>
      <c r="P1613">
        <v>62</v>
      </c>
      <c r="Q1613" t="s">
        <v>3539</v>
      </c>
    </row>
    <row r="1614" spans="1:17" x14ac:dyDescent="0.3">
      <c r="A1614" t="s">
        <v>17</v>
      </c>
      <c r="B1614" t="str">
        <f>"605006"</f>
        <v>605006</v>
      </c>
      <c r="C1614" t="s">
        <v>3540</v>
      </c>
      <c r="D1614" t="s">
        <v>411</v>
      </c>
      <c r="F1614">
        <v>2252490474</v>
      </c>
      <c r="G1614">
        <v>1781461060</v>
      </c>
      <c r="H1614">
        <v>1357567820</v>
      </c>
      <c r="I1614">
        <v>1211285828</v>
      </c>
      <c r="J1614">
        <v>1042466787</v>
      </c>
      <c r="P1614">
        <v>121</v>
      </c>
      <c r="Q1614" t="s">
        <v>3541</v>
      </c>
    </row>
    <row r="1615" spans="1:17" x14ac:dyDescent="0.3">
      <c r="A1615" t="s">
        <v>17</v>
      </c>
      <c r="B1615" t="str">
        <f>"605007"</f>
        <v>605007</v>
      </c>
      <c r="C1615" t="s">
        <v>3542</v>
      </c>
      <c r="D1615" t="s">
        <v>244</v>
      </c>
      <c r="F1615">
        <v>1957705576</v>
      </c>
      <c r="G1615">
        <v>1687548080</v>
      </c>
      <c r="H1615">
        <v>1008640094</v>
      </c>
      <c r="I1615">
        <v>809388522</v>
      </c>
      <c r="J1615">
        <v>461034636</v>
      </c>
      <c r="K1615">
        <v>301319390</v>
      </c>
      <c r="P1615">
        <v>81</v>
      </c>
      <c r="Q1615" t="s">
        <v>3543</v>
      </c>
    </row>
    <row r="1616" spans="1:17" x14ac:dyDescent="0.3">
      <c r="A1616" t="s">
        <v>17</v>
      </c>
      <c r="B1616" t="str">
        <f>"605008"</f>
        <v>605008</v>
      </c>
      <c r="C1616" t="s">
        <v>3544</v>
      </c>
      <c r="D1616" t="s">
        <v>1192</v>
      </c>
      <c r="F1616">
        <v>1822924885</v>
      </c>
      <c r="G1616">
        <v>1752652704</v>
      </c>
      <c r="H1616">
        <v>1005555055</v>
      </c>
      <c r="I1616">
        <v>790380477</v>
      </c>
      <c r="J1616">
        <v>608886465</v>
      </c>
      <c r="P1616">
        <v>66</v>
      </c>
      <c r="Q1616" t="s">
        <v>3545</v>
      </c>
    </row>
    <row r="1617" spans="1:17" x14ac:dyDescent="0.3">
      <c r="A1617" t="s">
        <v>17</v>
      </c>
      <c r="B1617" t="str">
        <f>"605009"</f>
        <v>605009</v>
      </c>
      <c r="C1617" t="s">
        <v>3546</v>
      </c>
      <c r="D1617" t="s">
        <v>2751</v>
      </c>
      <c r="F1617">
        <v>2993489796</v>
      </c>
      <c r="G1617">
        <v>2787340408</v>
      </c>
      <c r="H1617">
        <v>638574501</v>
      </c>
      <c r="I1617">
        <v>352071248</v>
      </c>
      <c r="J1617">
        <v>196970448</v>
      </c>
      <c r="P1617">
        <v>355</v>
      </c>
      <c r="Q1617" t="s">
        <v>3547</v>
      </c>
    </row>
    <row r="1618" spans="1:17" x14ac:dyDescent="0.3">
      <c r="A1618" t="s">
        <v>17</v>
      </c>
      <c r="B1618" t="str">
        <f>"605011"</f>
        <v>605011</v>
      </c>
      <c r="C1618" t="s">
        <v>3548</v>
      </c>
      <c r="D1618" t="s">
        <v>351</v>
      </c>
      <c r="F1618">
        <v>1895824600</v>
      </c>
      <c r="G1618">
        <v>1530311743</v>
      </c>
      <c r="H1618">
        <v>1358645662</v>
      </c>
      <c r="I1618">
        <v>1200014908</v>
      </c>
      <c r="J1618">
        <v>920591533</v>
      </c>
      <c r="P1618">
        <v>27</v>
      </c>
      <c r="Q1618" t="s">
        <v>3549</v>
      </c>
    </row>
    <row r="1619" spans="1:17" x14ac:dyDescent="0.3">
      <c r="A1619" t="s">
        <v>17</v>
      </c>
      <c r="B1619" t="str">
        <f>"605016"</f>
        <v>605016</v>
      </c>
      <c r="C1619" t="s">
        <v>3550</v>
      </c>
      <c r="D1619" t="s">
        <v>677</v>
      </c>
      <c r="F1619">
        <v>1203461306</v>
      </c>
      <c r="G1619">
        <v>691092743</v>
      </c>
      <c r="H1619">
        <v>597070040</v>
      </c>
      <c r="I1619">
        <v>501711646</v>
      </c>
      <c r="J1619">
        <v>436407300</v>
      </c>
      <c r="P1619">
        <v>65</v>
      </c>
      <c r="Q1619" t="s">
        <v>3551</v>
      </c>
    </row>
    <row r="1620" spans="1:17" x14ac:dyDescent="0.3">
      <c r="A1620" t="s">
        <v>17</v>
      </c>
      <c r="B1620" t="str">
        <f>"605018"</f>
        <v>605018</v>
      </c>
      <c r="C1620" t="s">
        <v>3552</v>
      </c>
      <c r="D1620" t="s">
        <v>985</v>
      </c>
      <c r="F1620">
        <v>2018199417</v>
      </c>
      <c r="G1620">
        <v>1945646398</v>
      </c>
      <c r="H1620">
        <v>1400042941</v>
      </c>
      <c r="I1620">
        <v>1218418562</v>
      </c>
      <c r="J1620">
        <v>973213064</v>
      </c>
      <c r="P1620">
        <v>48</v>
      </c>
      <c r="Q1620" t="s">
        <v>3553</v>
      </c>
    </row>
    <row r="1621" spans="1:17" x14ac:dyDescent="0.3">
      <c r="A1621" t="s">
        <v>17</v>
      </c>
      <c r="B1621" t="str">
        <f>"605020"</f>
        <v>605020</v>
      </c>
      <c r="C1621" t="s">
        <v>3554</v>
      </c>
      <c r="D1621" t="s">
        <v>375</v>
      </c>
      <c r="F1621">
        <v>2036892273</v>
      </c>
      <c r="G1621">
        <v>1332877496</v>
      </c>
      <c r="H1621">
        <v>1224424452</v>
      </c>
      <c r="I1621">
        <v>979361049</v>
      </c>
      <c r="J1621">
        <v>628770128</v>
      </c>
      <c r="P1621">
        <v>33</v>
      </c>
      <c r="Q1621" t="s">
        <v>3555</v>
      </c>
    </row>
    <row r="1622" spans="1:17" x14ac:dyDescent="0.3">
      <c r="A1622" t="s">
        <v>17</v>
      </c>
      <c r="B1622" t="str">
        <f>"605028"</f>
        <v>605028</v>
      </c>
      <c r="C1622" t="s">
        <v>3556</v>
      </c>
      <c r="D1622" t="s">
        <v>351</v>
      </c>
      <c r="F1622">
        <v>1033288986</v>
      </c>
      <c r="G1622">
        <v>435412579</v>
      </c>
      <c r="H1622">
        <v>314206434</v>
      </c>
      <c r="I1622">
        <v>228695209</v>
      </c>
      <c r="J1622">
        <v>197411487</v>
      </c>
      <c r="P1622">
        <v>46</v>
      </c>
      <c r="Q1622" t="s">
        <v>3557</v>
      </c>
    </row>
    <row r="1623" spans="1:17" x14ac:dyDescent="0.3">
      <c r="A1623" t="s">
        <v>17</v>
      </c>
      <c r="B1623" t="str">
        <f>"605033"</f>
        <v>605033</v>
      </c>
      <c r="C1623" t="s">
        <v>3558</v>
      </c>
      <c r="D1623" t="s">
        <v>853</v>
      </c>
      <c r="F1623">
        <v>966952383</v>
      </c>
      <c r="G1623">
        <v>449366110</v>
      </c>
      <c r="H1623">
        <v>370631818</v>
      </c>
      <c r="I1623">
        <v>276374849</v>
      </c>
      <c r="J1623">
        <v>180427934</v>
      </c>
      <c r="P1623">
        <v>14</v>
      </c>
      <c r="Q1623" t="s">
        <v>3559</v>
      </c>
    </row>
    <row r="1624" spans="1:17" x14ac:dyDescent="0.3">
      <c r="A1624" t="s">
        <v>17</v>
      </c>
      <c r="B1624" t="str">
        <f>"605050"</f>
        <v>605050</v>
      </c>
      <c r="C1624" t="s">
        <v>3560</v>
      </c>
      <c r="D1624" t="s">
        <v>128</v>
      </c>
      <c r="F1624">
        <v>3143169497</v>
      </c>
      <c r="G1624">
        <v>2900675691</v>
      </c>
      <c r="H1624">
        <v>1823902003</v>
      </c>
      <c r="I1624">
        <v>1544735864</v>
      </c>
      <c r="J1624">
        <v>1250172401</v>
      </c>
      <c r="K1624">
        <v>763386066</v>
      </c>
      <c r="P1624">
        <v>37</v>
      </c>
      <c r="Q1624" t="s">
        <v>3561</v>
      </c>
    </row>
    <row r="1625" spans="1:17" x14ac:dyDescent="0.3">
      <c r="A1625" t="s">
        <v>17</v>
      </c>
      <c r="B1625" t="str">
        <f>"605055"</f>
        <v>605055</v>
      </c>
      <c r="C1625" t="s">
        <v>3562</v>
      </c>
      <c r="D1625" t="s">
        <v>817</v>
      </c>
      <c r="F1625">
        <v>1150351298</v>
      </c>
      <c r="G1625">
        <v>740116448</v>
      </c>
      <c r="H1625">
        <v>659473962</v>
      </c>
      <c r="I1625">
        <v>545492028</v>
      </c>
      <c r="J1625">
        <v>392206343</v>
      </c>
      <c r="K1625">
        <v>238761011</v>
      </c>
      <c r="P1625">
        <v>38</v>
      </c>
      <c r="Q1625" t="s">
        <v>3563</v>
      </c>
    </row>
    <row r="1626" spans="1:17" x14ac:dyDescent="0.3">
      <c r="A1626" t="s">
        <v>17</v>
      </c>
      <c r="B1626" t="str">
        <f>"605056"</f>
        <v>605056</v>
      </c>
      <c r="C1626" t="s">
        <v>3564</v>
      </c>
      <c r="D1626" t="s">
        <v>2566</v>
      </c>
      <c r="F1626">
        <v>1480610348</v>
      </c>
      <c r="G1626">
        <v>950845624</v>
      </c>
      <c r="H1626">
        <v>814741122</v>
      </c>
      <c r="I1626">
        <v>705659552</v>
      </c>
      <c r="J1626">
        <v>616324211</v>
      </c>
      <c r="P1626">
        <v>21</v>
      </c>
      <c r="Q1626" t="s">
        <v>3565</v>
      </c>
    </row>
    <row r="1627" spans="1:17" x14ac:dyDescent="0.3">
      <c r="A1627" t="s">
        <v>17</v>
      </c>
      <c r="B1627" t="str">
        <f>"605058"</f>
        <v>605058</v>
      </c>
      <c r="C1627" t="s">
        <v>3566</v>
      </c>
      <c r="D1627" t="s">
        <v>425</v>
      </c>
      <c r="F1627">
        <v>1431077489</v>
      </c>
      <c r="G1627">
        <v>1303368194</v>
      </c>
      <c r="H1627">
        <v>586636398</v>
      </c>
      <c r="I1627">
        <v>462321518</v>
      </c>
      <c r="J1627">
        <v>535108480</v>
      </c>
      <c r="K1627">
        <v>522941657</v>
      </c>
      <c r="P1627">
        <v>48</v>
      </c>
      <c r="Q1627" t="s">
        <v>3567</v>
      </c>
    </row>
    <row r="1628" spans="1:17" x14ac:dyDescent="0.3">
      <c r="A1628" t="s">
        <v>17</v>
      </c>
      <c r="B1628" t="str">
        <f>"605060"</f>
        <v>605060</v>
      </c>
      <c r="C1628" t="s">
        <v>3568</v>
      </c>
      <c r="D1628" t="s">
        <v>560</v>
      </c>
      <c r="F1628">
        <v>1875761401</v>
      </c>
      <c r="G1628">
        <v>935764709</v>
      </c>
      <c r="H1628">
        <v>777888470</v>
      </c>
      <c r="I1628">
        <v>604502582</v>
      </c>
      <c r="J1628">
        <v>487440114</v>
      </c>
      <c r="P1628">
        <v>43</v>
      </c>
      <c r="Q1628" t="s">
        <v>3569</v>
      </c>
    </row>
    <row r="1629" spans="1:17" x14ac:dyDescent="0.3">
      <c r="A1629" t="s">
        <v>17</v>
      </c>
      <c r="B1629" t="str">
        <f>"605066"</f>
        <v>605066</v>
      </c>
      <c r="C1629" t="s">
        <v>3570</v>
      </c>
      <c r="D1629" t="s">
        <v>657</v>
      </c>
      <c r="F1629">
        <v>1722988920</v>
      </c>
      <c r="G1629">
        <v>1734347143</v>
      </c>
      <c r="H1629">
        <v>827165856</v>
      </c>
      <c r="I1629">
        <v>611342858</v>
      </c>
      <c r="J1629">
        <v>472875809</v>
      </c>
      <c r="P1629">
        <v>54</v>
      </c>
      <c r="Q1629" t="s">
        <v>3571</v>
      </c>
    </row>
    <row r="1630" spans="1:17" x14ac:dyDescent="0.3">
      <c r="A1630" t="s">
        <v>17</v>
      </c>
      <c r="B1630" t="str">
        <f>"605068"</f>
        <v>605068</v>
      </c>
      <c r="C1630" t="s">
        <v>3572</v>
      </c>
      <c r="D1630" t="s">
        <v>191</v>
      </c>
      <c r="F1630">
        <v>1746078162</v>
      </c>
      <c r="G1630">
        <v>1705984475</v>
      </c>
      <c r="H1630">
        <v>613587488</v>
      </c>
      <c r="I1630">
        <v>434318392</v>
      </c>
      <c r="J1630">
        <v>363553464</v>
      </c>
      <c r="K1630">
        <v>203399060</v>
      </c>
      <c r="P1630">
        <v>89</v>
      </c>
      <c r="Q1630" t="s">
        <v>3573</v>
      </c>
    </row>
    <row r="1631" spans="1:17" x14ac:dyDescent="0.3">
      <c r="A1631" t="s">
        <v>17</v>
      </c>
      <c r="B1631" t="str">
        <f>"605069"</f>
        <v>605069</v>
      </c>
      <c r="C1631" t="s">
        <v>3574</v>
      </c>
      <c r="D1631" t="s">
        <v>3575</v>
      </c>
      <c r="F1631">
        <v>1849412417</v>
      </c>
      <c r="G1631">
        <v>1212888963</v>
      </c>
      <c r="H1631">
        <v>1102108991</v>
      </c>
      <c r="I1631">
        <v>1021102754</v>
      </c>
      <c r="J1631">
        <v>861876800</v>
      </c>
      <c r="P1631">
        <v>16</v>
      </c>
      <c r="Q1631" t="s">
        <v>3576</v>
      </c>
    </row>
    <row r="1632" spans="1:17" x14ac:dyDescent="0.3">
      <c r="A1632" t="s">
        <v>17</v>
      </c>
      <c r="B1632" t="str">
        <f>"605077"</f>
        <v>605077</v>
      </c>
      <c r="C1632" t="s">
        <v>3577</v>
      </c>
      <c r="D1632" t="s">
        <v>677</v>
      </c>
      <c r="F1632">
        <v>2434438785</v>
      </c>
      <c r="G1632">
        <v>939521623</v>
      </c>
      <c r="H1632">
        <v>684805208</v>
      </c>
      <c r="I1632">
        <v>440917844</v>
      </c>
      <c r="J1632">
        <v>187796823</v>
      </c>
      <c r="P1632">
        <v>88</v>
      </c>
      <c r="Q1632" t="s">
        <v>3578</v>
      </c>
    </row>
    <row r="1633" spans="1:17" x14ac:dyDescent="0.3">
      <c r="A1633" t="s">
        <v>17</v>
      </c>
      <c r="B1633" t="str">
        <f>"605080"</f>
        <v>605080</v>
      </c>
      <c r="C1633" t="s">
        <v>3579</v>
      </c>
      <c r="D1633" t="s">
        <v>2931</v>
      </c>
      <c r="F1633">
        <v>1619549054</v>
      </c>
      <c r="G1633">
        <v>675540109</v>
      </c>
      <c r="H1633">
        <v>515996330</v>
      </c>
      <c r="I1633">
        <v>381438854</v>
      </c>
      <c r="J1633">
        <v>178766512</v>
      </c>
      <c r="P1633">
        <v>47</v>
      </c>
      <c r="Q1633" t="s">
        <v>3580</v>
      </c>
    </row>
    <row r="1634" spans="1:17" x14ac:dyDescent="0.3">
      <c r="A1634" t="s">
        <v>17</v>
      </c>
      <c r="B1634" t="str">
        <f>"605081"</f>
        <v>605081</v>
      </c>
      <c r="C1634" t="s">
        <v>3581</v>
      </c>
      <c r="D1634" t="s">
        <v>33</v>
      </c>
      <c r="F1634">
        <v>1837966294</v>
      </c>
      <c r="G1634">
        <v>968912567</v>
      </c>
      <c r="H1634">
        <v>817496100</v>
      </c>
      <c r="I1634">
        <v>716450904</v>
      </c>
      <c r="J1634">
        <v>378566622</v>
      </c>
      <c r="K1634">
        <v>304812458</v>
      </c>
      <c r="P1634">
        <v>30</v>
      </c>
      <c r="Q1634" t="s">
        <v>3582</v>
      </c>
    </row>
    <row r="1635" spans="1:17" x14ac:dyDescent="0.3">
      <c r="A1635" t="s">
        <v>17</v>
      </c>
      <c r="B1635" t="str">
        <f>"605086"</f>
        <v>605086</v>
      </c>
      <c r="C1635" t="s">
        <v>3583</v>
      </c>
      <c r="D1635" t="s">
        <v>2762</v>
      </c>
      <c r="F1635">
        <v>1048088148</v>
      </c>
      <c r="G1635">
        <v>581795626</v>
      </c>
      <c r="H1635">
        <v>505473781</v>
      </c>
      <c r="I1635">
        <v>424595602</v>
      </c>
      <c r="J1635">
        <v>307651624</v>
      </c>
      <c r="P1635">
        <v>29</v>
      </c>
      <c r="Q1635" t="s">
        <v>3584</v>
      </c>
    </row>
    <row r="1636" spans="1:17" x14ac:dyDescent="0.3">
      <c r="A1636" t="s">
        <v>17</v>
      </c>
      <c r="B1636" t="str">
        <f>"605088"</f>
        <v>605088</v>
      </c>
      <c r="C1636" t="s">
        <v>3585</v>
      </c>
      <c r="D1636" t="s">
        <v>348</v>
      </c>
      <c r="F1636">
        <v>1479201479</v>
      </c>
      <c r="G1636">
        <v>1372891423</v>
      </c>
      <c r="H1636">
        <v>765893073</v>
      </c>
      <c r="I1636">
        <v>645337916</v>
      </c>
      <c r="J1636">
        <v>550774790</v>
      </c>
      <c r="P1636">
        <v>47</v>
      </c>
      <c r="Q1636" t="s">
        <v>3586</v>
      </c>
    </row>
    <row r="1637" spans="1:17" x14ac:dyDescent="0.3">
      <c r="A1637" t="s">
        <v>17</v>
      </c>
      <c r="B1637" t="str">
        <f>"605089"</f>
        <v>605089</v>
      </c>
      <c r="C1637" t="s">
        <v>3587</v>
      </c>
      <c r="D1637" t="s">
        <v>2865</v>
      </c>
      <c r="F1637">
        <v>1170585368</v>
      </c>
      <c r="G1637">
        <v>391332310</v>
      </c>
      <c r="H1637">
        <v>266279635</v>
      </c>
      <c r="I1637">
        <v>180036357</v>
      </c>
      <c r="J1637">
        <v>106046394</v>
      </c>
      <c r="P1637">
        <v>131</v>
      </c>
      <c r="Q1637" t="s">
        <v>3588</v>
      </c>
    </row>
    <row r="1638" spans="1:17" x14ac:dyDescent="0.3">
      <c r="A1638" t="s">
        <v>17</v>
      </c>
      <c r="B1638" t="str">
        <f>"605090"</f>
        <v>605090</v>
      </c>
      <c r="C1638" t="s">
        <v>3589</v>
      </c>
      <c r="D1638" t="s">
        <v>749</v>
      </c>
      <c r="F1638">
        <v>5738200132</v>
      </c>
      <c r="G1638">
        <v>2513124850</v>
      </c>
      <c r="H1638">
        <v>1982405181</v>
      </c>
      <c r="I1638">
        <v>1613343861</v>
      </c>
      <c r="J1638">
        <v>1606768856</v>
      </c>
      <c r="P1638">
        <v>51</v>
      </c>
      <c r="Q1638" t="s">
        <v>3590</v>
      </c>
    </row>
    <row r="1639" spans="1:17" x14ac:dyDescent="0.3">
      <c r="A1639" t="s">
        <v>17</v>
      </c>
      <c r="B1639" t="str">
        <f>"605098"</f>
        <v>605098</v>
      </c>
      <c r="C1639" t="s">
        <v>3591</v>
      </c>
      <c r="D1639" t="s">
        <v>1336</v>
      </c>
      <c r="F1639">
        <v>1077811541</v>
      </c>
      <c r="G1639">
        <v>446788870</v>
      </c>
      <c r="H1639">
        <v>376539019</v>
      </c>
      <c r="I1639">
        <v>274348750</v>
      </c>
      <c r="J1639">
        <v>202886027</v>
      </c>
      <c r="P1639">
        <v>53</v>
      </c>
      <c r="Q1639" t="s">
        <v>3592</v>
      </c>
    </row>
    <row r="1640" spans="1:17" x14ac:dyDescent="0.3">
      <c r="A1640" t="s">
        <v>17</v>
      </c>
      <c r="B1640" t="str">
        <f>"605099"</f>
        <v>605099</v>
      </c>
      <c r="C1640" t="s">
        <v>3593</v>
      </c>
      <c r="D1640" t="s">
        <v>2445</v>
      </c>
      <c r="F1640">
        <v>1998801865</v>
      </c>
      <c r="G1640">
        <v>1818038400</v>
      </c>
      <c r="H1640">
        <v>917989412</v>
      </c>
      <c r="I1640">
        <v>682183215</v>
      </c>
      <c r="J1640">
        <v>415382623</v>
      </c>
      <c r="P1640">
        <v>166</v>
      </c>
      <c r="Q1640" t="s">
        <v>3594</v>
      </c>
    </row>
    <row r="1641" spans="1:17" x14ac:dyDescent="0.3">
      <c r="A1641" t="s">
        <v>17</v>
      </c>
      <c r="B1641" t="str">
        <f>"605100"</f>
        <v>605100</v>
      </c>
      <c r="C1641" t="s">
        <v>3595</v>
      </c>
      <c r="D1641" t="s">
        <v>274</v>
      </c>
      <c r="F1641">
        <v>1831717821</v>
      </c>
      <c r="G1641">
        <v>1737192179</v>
      </c>
      <c r="H1641">
        <v>807404472</v>
      </c>
      <c r="I1641">
        <v>696877982</v>
      </c>
      <c r="J1641">
        <v>584232227</v>
      </c>
      <c r="P1641">
        <v>60</v>
      </c>
      <c r="Q1641" t="s">
        <v>3596</v>
      </c>
    </row>
    <row r="1642" spans="1:17" x14ac:dyDescent="0.3">
      <c r="A1642" t="s">
        <v>17</v>
      </c>
      <c r="B1642" t="str">
        <f>"605108"</f>
        <v>605108</v>
      </c>
      <c r="C1642" t="s">
        <v>3597</v>
      </c>
      <c r="D1642" t="s">
        <v>3598</v>
      </c>
      <c r="F1642">
        <v>1965278598</v>
      </c>
      <c r="G1642">
        <v>1905958372</v>
      </c>
      <c r="H1642">
        <v>985548757</v>
      </c>
      <c r="I1642">
        <v>787955301</v>
      </c>
      <c r="J1642">
        <v>587650389</v>
      </c>
      <c r="P1642">
        <v>104</v>
      </c>
      <c r="Q1642" t="s">
        <v>3599</v>
      </c>
    </row>
    <row r="1643" spans="1:17" x14ac:dyDescent="0.3">
      <c r="A1643" t="s">
        <v>17</v>
      </c>
      <c r="B1643" t="str">
        <f>"605111"</f>
        <v>605111</v>
      </c>
      <c r="C1643" t="s">
        <v>3600</v>
      </c>
      <c r="D1643" t="s">
        <v>795</v>
      </c>
      <c r="F1643">
        <v>1530306958</v>
      </c>
      <c r="G1643">
        <v>1159961364</v>
      </c>
      <c r="H1643">
        <v>571619174</v>
      </c>
      <c r="I1643">
        <v>473409688</v>
      </c>
      <c r="J1643">
        <v>352028386</v>
      </c>
      <c r="K1643">
        <v>170416552</v>
      </c>
      <c r="P1643">
        <v>332</v>
      </c>
      <c r="Q1643" t="s">
        <v>3601</v>
      </c>
    </row>
    <row r="1644" spans="1:17" x14ac:dyDescent="0.3">
      <c r="A1644" t="s">
        <v>17</v>
      </c>
      <c r="B1644" t="str">
        <f>"605116"</f>
        <v>605116</v>
      </c>
      <c r="C1644" t="s">
        <v>3602</v>
      </c>
      <c r="D1644" t="s">
        <v>496</v>
      </c>
      <c r="F1644">
        <v>1506246880</v>
      </c>
      <c r="G1644">
        <v>1385232437</v>
      </c>
      <c r="H1644">
        <v>977283199</v>
      </c>
      <c r="I1644">
        <v>787540904</v>
      </c>
      <c r="J1644">
        <v>683946712</v>
      </c>
      <c r="K1644">
        <v>552082067</v>
      </c>
      <c r="P1644">
        <v>81</v>
      </c>
      <c r="Q1644" t="s">
        <v>3603</v>
      </c>
    </row>
    <row r="1645" spans="1:17" x14ac:dyDescent="0.3">
      <c r="A1645" t="s">
        <v>17</v>
      </c>
      <c r="B1645" t="str">
        <f>"605117"</f>
        <v>605117</v>
      </c>
      <c r="C1645" t="s">
        <v>3604</v>
      </c>
      <c r="D1645" t="s">
        <v>1253</v>
      </c>
      <c r="F1645">
        <v>2640205550</v>
      </c>
      <c r="G1645">
        <v>867273808</v>
      </c>
      <c r="H1645">
        <v>548826440</v>
      </c>
      <c r="I1645">
        <v>327528452</v>
      </c>
      <c r="J1645">
        <v>229340647</v>
      </c>
      <c r="P1645">
        <v>141</v>
      </c>
      <c r="Q1645" t="s">
        <v>3605</v>
      </c>
    </row>
    <row r="1646" spans="1:17" x14ac:dyDescent="0.3">
      <c r="A1646" t="s">
        <v>17</v>
      </c>
      <c r="B1646" t="str">
        <f>"605118"</f>
        <v>605118</v>
      </c>
      <c r="C1646" t="s">
        <v>3606</v>
      </c>
      <c r="D1646" t="s">
        <v>2980</v>
      </c>
      <c r="F1646">
        <v>1213445898</v>
      </c>
      <c r="G1646">
        <v>1123357569</v>
      </c>
      <c r="H1646">
        <v>617018117</v>
      </c>
      <c r="I1646">
        <v>436798670</v>
      </c>
      <c r="J1646">
        <v>234415126</v>
      </c>
      <c r="P1646">
        <v>114</v>
      </c>
      <c r="Q1646" t="s">
        <v>3607</v>
      </c>
    </row>
    <row r="1647" spans="1:17" x14ac:dyDescent="0.3">
      <c r="A1647" t="s">
        <v>17</v>
      </c>
      <c r="B1647" t="str">
        <f>"605122"</f>
        <v>605122</v>
      </c>
      <c r="C1647" t="s">
        <v>3608</v>
      </c>
      <c r="D1647" t="s">
        <v>3098</v>
      </c>
      <c r="F1647">
        <v>2312686066</v>
      </c>
      <c r="G1647">
        <v>1020513609</v>
      </c>
      <c r="H1647">
        <v>774494696</v>
      </c>
      <c r="I1647">
        <v>536284590</v>
      </c>
      <c r="J1647">
        <v>387449513</v>
      </c>
      <c r="K1647">
        <v>269919273</v>
      </c>
      <c r="P1647">
        <v>36</v>
      </c>
      <c r="Q1647" t="s">
        <v>3609</v>
      </c>
    </row>
    <row r="1648" spans="1:17" x14ac:dyDescent="0.3">
      <c r="A1648" t="s">
        <v>17</v>
      </c>
      <c r="B1648" t="str">
        <f>"605123"</f>
        <v>605123</v>
      </c>
      <c r="C1648" t="s">
        <v>3610</v>
      </c>
      <c r="D1648" t="s">
        <v>98</v>
      </c>
      <c r="F1648">
        <v>1824350454</v>
      </c>
      <c r="G1648">
        <v>1575373822</v>
      </c>
      <c r="H1648">
        <v>651023012</v>
      </c>
      <c r="I1648">
        <v>489117658</v>
      </c>
      <c r="J1648">
        <v>380095476</v>
      </c>
      <c r="P1648">
        <v>143</v>
      </c>
      <c r="Q1648" t="s">
        <v>3611</v>
      </c>
    </row>
    <row r="1649" spans="1:17" x14ac:dyDescent="0.3">
      <c r="A1649" t="s">
        <v>17</v>
      </c>
      <c r="B1649" t="str">
        <f>"605128"</f>
        <v>605128</v>
      </c>
      <c r="C1649" t="s">
        <v>3612</v>
      </c>
      <c r="D1649" t="s">
        <v>191</v>
      </c>
      <c r="F1649">
        <v>1027733176</v>
      </c>
      <c r="G1649">
        <v>1007252090</v>
      </c>
      <c r="H1649">
        <v>511939523</v>
      </c>
      <c r="I1649">
        <v>423555287</v>
      </c>
      <c r="J1649">
        <v>343089231</v>
      </c>
      <c r="P1649">
        <v>53</v>
      </c>
      <c r="Q1649" t="s">
        <v>3613</v>
      </c>
    </row>
    <row r="1650" spans="1:17" x14ac:dyDescent="0.3">
      <c r="A1650" t="s">
        <v>17</v>
      </c>
      <c r="B1650" t="str">
        <f>"605133"</f>
        <v>605133</v>
      </c>
      <c r="C1650" t="s">
        <v>3614</v>
      </c>
      <c r="D1650" t="s">
        <v>348</v>
      </c>
      <c r="F1650">
        <v>1650084719</v>
      </c>
      <c r="G1650">
        <v>852275073</v>
      </c>
      <c r="H1650">
        <v>752588211</v>
      </c>
      <c r="I1650">
        <v>584367659</v>
      </c>
      <c r="J1650">
        <v>612828029</v>
      </c>
      <c r="P1650">
        <v>36</v>
      </c>
      <c r="Q1650" t="s">
        <v>3615</v>
      </c>
    </row>
    <row r="1651" spans="1:17" x14ac:dyDescent="0.3">
      <c r="A1651" t="s">
        <v>17</v>
      </c>
      <c r="B1651" t="str">
        <f>"605136"</f>
        <v>605136</v>
      </c>
      <c r="C1651" t="s">
        <v>3616</v>
      </c>
      <c r="D1651" t="s">
        <v>3617</v>
      </c>
      <c r="F1651">
        <v>2691035907</v>
      </c>
      <c r="G1651">
        <v>2339032219</v>
      </c>
      <c r="H1651">
        <v>1584104919</v>
      </c>
      <c r="I1651">
        <v>1298116880</v>
      </c>
      <c r="J1651">
        <v>1043608002</v>
      </c>
      <c r="K1651">
        <v>818124694</v>
      </c>
      <c r="P1651">
        <v>99</v>
      </c>
      <c r="Q1651" t="s">
        <v>3618</v>
      </c>
    </row>
    <row r="1652" spans="1:17" x14ac:dyDescent="0.3">
      <c r="A1652" t="s">
        <v>17</v>
      </c>
      <c r="B1652" t="str">
        <f>"605138"</f>
        <v>605138</v>
      </c>
      <c r="C1652" t="s">
        <v>3619</v>
      </c>
      <c r="D1652" t="s">
        <v>255</v>
      </c>
      <c r="F1652">
        <v>2051831200</v>
      </c>
      <c r="G1652">
        <v>1432593158</v>
      </c>
      <c r="H1652">
        <v>1321681228</v>
      </c>
      <c r="I1652">
        <v>1129358673</v>
      </c>
      <c r="J1652">
        <v>965745100</v>
      </c>
      <c r="P1652">
        <v>27</v>
      </c>
      <c r="Q1652" t="s">
        <v>3620</v>
      </c>
    </row>
    <row r="1653" spans="1:17" x14ac:dyDescent="0.3">
      <c r="A1653" t="s">
        <v>17</v>
      </c>
      <c r="B1653" t="str">
        <f>"605151"</f>
        <v>605151</v>
      </c>
      <c r="C1653" t="s">
        <v>3621</v>
      </c>
      <c r="D1653" t="s">
        <v>2368</v>
      </c>
      <c r="F1653">
        <v>1204167170</v>
      </c>
      <c r="G1653">
        <v>1138575802</v>
      </c>
      <c r="H1653">
        <v>551465125</v>
      </c>
      <c r="I1653">
        <v>454168440</v>
      </c>
      <c r="J1653">
        <v>375428527</v>
      </c>
      <c r="K1653">
        <v>287097800</v>
      </c>
      <c r="P1653">
        <v>55</v>
      </c>
      <c r="Q1653" t="s">
        <v>3622</v>
      </c>
    </row>
    <row r="1654" spans="1:17" x14ac:dyDescent="0.3">
      <c r="A1654" t="s">
        <v>17</v>
      </c>
      <c r="B1654" t="str">
        <f>"605155"</f>
        <v>605155</v>
      </c>
      <c r="C1654" t="s">
        <v>3623</v>
      </c>
      <c r="D1654" t="s">
        <v>2445</v>
      </c>
      <c r="F1654">
        <v>1077223873</v>
      </c>
      <c r="G1654">
        <v>1011719246</v>
      </c>
      <c r="H1654">
        <v>495971787</v>
      </c>
      <c r="I1654">
        <v>421985668</v>
      </c>
      <c r="J1654">
        <v>281650829</v>
      </c>
      <c r="K1654">
        <v>232864638</v>
      </c>
      <c r="P1654">
        <v>45</v>
      </c>
      <c r="Q1654" t="s">
        <v>3624</v>
      </c>
    </row>
    <row r="1655" spans="1:17" x14ac:dyDescent="0.3">
      <c r="A1655" t="s">
        <v>17</v>
      </c>
      <c r="B1655" t="str">
        <f>"605158"</f>
        <v>605158</v>
      </c>
      <c r="C1655" t="s">
        <v>3625</v>
      </c>
      <c r="D1655" t="s">
        <v>38</v>
      </c>
      <c r="F1655">
        <v>2014718707</v>
      </c>
      <c r="G1655">
        <v>1965179327</v>
      </c>
      <c r="H1655">
        <v>939967200</v>
      </c>
      <c r="I1655">
        <v>748675435</v>
      </c>
      <c r="J1655">
        <v>624911902</v>
      </c>
      <c r="P1655">
        <v>91</v>
      </c>
      <c r="Q1655" t="s">
        <v>3626</v>
      </c>
    </row>
    <row r="1656" spans="1:17" x14ac:dyDescent="0.3">
      <c r="A1656" t="s">
        <v>17</v>
      </c>
      <c r="B1656" t="str">
        <f>"605162"</f>
        <v>605162</v>
      </c>
      <c r="C1656" t="s">
        <v>3627</v>
      </c>
      <c r="D1656" t="s">
        <v>351</v>
      </c>
      <c r="F1656">
        <v>1139789793</v>
      </c>
      <c r="G1656">
        <v>593883705</v>
      </c>
      <c r="H1656">
        <v>516636035</v>
      </c>
      <c r="I1656">
        <v>440476528</v>
      </c>
      <c r="J1656">
        <v>326957325</v>
      </c>
      <c r="P1656">
        <v>27</v>
      </c>
      <c r="Q1656" t="s">
        <v>3628</v>
      </c>
    </row>
    <row r="1657" spans="1:17" x14ac:dyDescent="0.3">
      <c r="A1657" t="s">
        <v>17</v>
      </c>
      <c r="B1657" t="str">
        <f>"605166"</f>
        <v>605166</v>
      </c>
      <c r="C1657" t="s">
        <v>3629</v>
      </c>
      <c r="D1657" t="s">
        <v>1638</v>
      </c>
      <c r="F1657">
        <v>1374179831</v>
      </c>
      <c r="G1657">
        <v>1166894562</v>
      </c>
      <c r="H1657">
        <v>558873681</v>
      </c>
      <c r="I1657">
        <v>458657497</v>
      </c>
      <c r="J1657">
        <v>279756046</v>
      </c>
      <c r="K1657">
        <v>245410419</v>
      </c>
      <c r="P1657">
        <v>68</v>
      </c>
      <c r="Q1657" t="s">
        <v>3630</v>
      </c>
    </row>
    <row r="1658" spans="1:17" x14ac:dyDescent="0.3">
      <c r="A1658" t="s">
        <v>17</v>
      </c>
      <c r="B1658" t="str">
        <f>"605167"</f>
        <v>605167</v>
      </c>
      <c r="C1658" t="s">
        <v>3631</v>
      </c>
      <c r="D1658" t="s">
        <v>2025</v>
      </c>
      <c r="F1658">
        <v>1346039364</v>
      </c>
      <c r="G1658">
        <v>801687349</v>
      </c>
      <c r="H1658">
        <v>739270745</v>
      </c>
      <c r="I1658">
        <v>639611097</v>
      </c>
      <c r="J1658">
        <v>561628859</v>
      </c>
      <c r="P1658">
        <v>22</v>
      </c>
      <c r="Q1658" t="s">
        <v>3632</v>
      </c>
    </row>
    <row r="1659" spans="1:17" x14ac:dyDescent="0.3">
      <c r="A1659" t="s">
        <v>17</v>
      </c>
      <c r="B1659" t="str">
        <f>"605168"</f>
        <v>605168</v>
      </c>
      <c r="C1659" t="s">
        <v>3633</v>
      </c>
      <c r="D1659" t="s">
        <v>207</v>
      </c>
      <c r="F1659">
        <v>2007180657</v>
      </c>
      <c r="G1659">
        <v>1689929864</v>
      </c>
      <c r="H1659">
        <v>376395739</v>
      </c>
      <c r="I1659">
        <v>260472685</v>
      </c>
      <c r="J1659">
        <v>188242135</v>
      </c>
      <c r="P1659">
        <v>317</v>
      </c>
      <c r="Q1659" t="s">
        <v>3634</v>
      </c>
    </row>
    <row r="1660" spans="1:17" x14ac:dyDescent="0.3">
      <c r="A1660" t="s">
        <v>17</v>
      </c>
      <c r="B1660" t="str">
        <f>"605169"</f>
        <v>605169</v>
      </c>
      <c r="C1660" t="s">
        <v>3635</v>
      </c>
      <c r="D1660" t="s">
        <v>749</v>
      </c>
      <c r="F1660">
        <v>1669703090</v>
      </c>
      <c r="G1660">
        <v>1566079287</v>
      </c>
      <c r="H1660">
        <v>599278821</v>
      </c>
      <c r="I1660">
        <v>585720760</v>
      </c>
      <c r="J1660">
        <v>458795127</v>
      </c>
      <c r="P1660">
        <v>62</v>
      </c>
      <c r="Q1660" t="s">
        <v>3636</v>
      </c>
    </row>
    <row r="1661" spans="1:17" x14ac:dyDescent="0.3">
      <c r="A1661" t="s">
        <v>17</v>
      </c>
      <c r="B1661" t="str">
        <f>"605177"</f>
        <v>605177</v>
      </c>
      <c r="C1661" t="s">
        <v>3637</v>
      </c>
      <c r="D1661" t="s">
        <v>496</v>
      </c>
      <c r="F1661">
        <v>1758085393</v>
      </c>
      <c r="G1661">
        <v>1729565949</v>
      </c>
      <c r="H1661">
        <v>848042406</v>
      </c>
      <c r="I1661">
        <v>710899590</v>
      </c>
      <c r="J1661">
        <v>632128661</v>
      </c>
      <c r="K1661">
        <v>426329300</v>
      </c>
      <c r="P1661">
        <v>38</v>
      </c>
      <c r="Q1661" t="s">
        <v>3638</v>
      </c>
    </row>
    <row r="1662" spans="1:17" x14ac:dyDescent="0.3">
      <c r="A1662" t="s">
        <v>17</v>
      </c>
      <c r="B1662" t="str">
        <f>"605178"</f>
        <v>605178</v>
      </c>
      <c r="C1662" t="s">
        <v>3639</v>
      </c>
      <c r="D1662" t="s">
        <v>450</v>
      </c>
      <c r="F1662">
        <v>2035290196</v>
      </c>
      <c r="G1662">
        <v>2063973130</v>
      </c>
      <c r="H1662">
        <v>908274421</v>
      </c>
      <c r="I1662">
        <v>598933294</v>
      </c>
      <c r="J1662">
        <v>367711457</v>
      </c>
      <c r="P1662">
        <v>49</v>
      </c>
      <c r="Q1662" t="s">
        <v>3640</v>
      </c>
    </row>
    <row r="1663" spans="1:17" x14ac:dyDescent="0.3">
      <c r="A1663" t="s">
        <v>17</v>
      </c>
      <c r="B1663" t="str">
        <f>"605179"</f>
        <v>605179</v>
      </c>
      <c r="C1663" t="s">
        <v>3641</v>
      </c>
      <c r="D1663" t="s">
        <v>900</v>
      </c>
      <c r="F1663">
        <v>1212538884</v>
      </c>
      <c r="G1663">
        <v>1289822545</v>
      </c>
      <c r="H1663">
        <v>661227018</v>
      </c>
      <c r="I1663">
        <v>487489445</v>
      </c>
      <c r="J1663">
        <v>398906098</v>
      </c>
      <c r="P1663">
        <v>84</v>
      </c>
      <c r="Q1663" t="s">
        <v>3642</v>
      </c>
    </row>
    <row r="1664" spans="1:17" x14ac:dyDescent="0.3">
      <c r="A1664" t="s">
        <v>17</v>
      </c>
      <c r="B1664" t="str">
        <f>"605180"</f>
        <v>605180</v>
      </c>
      <c r="C1664" t="s">
        <v>3643</v>
      </c>
      <c r="D1664" t="s">
        <v>366</v>
      </c>
      <c r="F1664">
        <v>1143958957</v>
      </c>
      <c r="G1664">
        <v>481922445</v>
      </c>
      <c r="H1664">
        <v>399390885</v>
      </c>
      <c r="I1664">
        <v>337812652</v>
      </c>
      <c r="J1664">
        <v>237934833</v>
      </c>
      <c r="P1664">
        <v>40</v>
      </c>
      <c r="Q1664" t="s">
        <v>3644</v>
      </c>
    </row>
    <row r="1665" spans="1:17" x14ac:dyDescent="0.3">
      <c r="A1665" t="s">
        <v>17</v>
      </c>
      <c r="B1665" t="str">
        <f>"605183"</f>
        <v>605183</v>
      </c>
      <c r="C1665" t="s">
        <v>3645</v>
      </c>
      <c r="D1665" t="s">
        <v>3646</v>
      </c>
      <c r="F1665">
        <v>2468573321</v>
      </c>
      <c r="G1665">
        <v>2399810266</v>
      </c>
      <c r="H1665">
        <v>1675112637</v>
      </c>
      <c r="I1665">
        <v>1471680260</v>
      </c>
      <c r="J1665">
        <v>1247019639</v>
      </c>
      <c r="K1665">
        <v>1057164673</v>
      </c>
      <c r="P1665">
        <v>63</v>
      </c>
      <c r="Q1665" t="s">
        <v>3647</v>
      </c>
    </row>
    <row r="1666" spans="1:17" x14ac:dyDescent="0.3">
      <c r="A1666" t="s">
        <v>17</v>
      </c>
      <c r="B1666" t="str">
        <f>"605186"</f>
        <v>605186</v>
      </c>
      <c r="C1666" t="s">
        <v>3648</v>
      </c>
      <c r="D1666" t="s">
        <v>3477</v>
      </c>
      <c r="F1666">
        <v>901524915</v>
      </c>
      <c r="G1666">
        <v>813146777</v>
      </c>
      <c r="H1666">
        <v>287634685</v>
      </c>
      <c r="I1666">
        <v>195732163</v>
      </c>
      <c r="J1666">
        <v>121095812</v>
      </c>
      <c r="K1666">
        <v>117302193</v>
      </c>
      <c r="P1666">
        <v>47</v>
      </c>
      <c r="Q1666" t="s">
        <v>3649</v>
      </c>
    </row>
    <row r="1667" spans="1:17" x14ac:dyDescent="0.3">
      <c r="A1667" t="s">
        <v>17</v>
      </c>
      <c r="B1667" t="str">
        <f>"605188"</f>
        <v>605188</v>
      </c>
      <c r="C1667" t="s">
        <v>3650</v>
      </c>
      <c r="D1667" t="s">
        <v>798</v>
      </c>
      <c r="F1667">
        <v>1100396476</v>
      </c>
      <c r="G1667">
        <v>1107379249</v>
      </c>
      <c r="H1667">
        <v>814070712</v>
      </c>
      <c r="I1667">
        <v>699600219</v>
      </c>
      <c r="J1667">
        <v>284721991</v>
      </c>
      <c r="P1667">
        <v>43</v>
      </c>
      <c r="Q1667" t="s">
        <v>3651</v>
      </c>
    </row>
    <row r="1668" spans="1:17" x14ac:dyDescent="0.3">
      <c r="A1668" t="s">
        <v>17</v>
      </c>
      <c r="B1668" t="str">
        <f>"605189"</f>
        <v>605189</v>
      </c>
      <c r="C1668" t="s">
        <v>3652</v>
      </c>
      <c r="D1668" t="s">
        <v>817</v>
      </c>
      <c r="F1668">
        <v>1497334594</v>
      </c>
      <c r="G1668">
        <v>781008332</v>
      </c>
      <c r="H1668">
        <v>685634950</v>
      </c>
      <c r="I1668">
        <v>615173827</v>
      </c>
      <c r="J1668">
        <v>537333527</v>
      </c>
      <c r="P1668">
        <v>44</v>
      </c>
      <c r="Q1668" t="s">
        <v>3653</v>
      </c>
    </row>
    <row r="1669" spans="1:17" x14ac:dyDescent="0.3">
      <c r="A1669" t="s">
        <v>17</v>
      </c>
      <c r="B1669" t="str">
        <f>"605196"</f>
        <v>605196</v>
      </c>
      <c r="C1669" t="s">
        <v>3654</v>
      </c>
      <c r="D1669" t="s">
        <v>1164</v>
      </c>
      <c r="F1669">
        <v>2192176948</v>
      </c>
      <c r="G1669">
        <v>1756263564</v>
      </c>
      <c r="H1669">
        <v>1614271834</v>
      </c>
      <c r="I1669">
        <v>1489926366</v>
      </c>
      <c r="J1669">
        <v>1105221700</v>
      </c>
      <c r="P1669">
        <v>27</v>
      </c>
      <c r="Q1669" t="s">
        <v>3655</v>
      </c>
    </row>
    <row r="1670" spans="1:17" x14ac:dyDescent="0.3">
      <c r="A1670" t="s">
        <v>17</v>
      </c>
      <c r="B1670" t="str">
        <f>"605198"</f>
        <v>605198</v>
      </c>
      <c r="C1670" t="s">
        <v>3656</v>
      </c>
      <c r="D1670" t="s">
        <v>574</v>
      </c>
      <c r="F1670">
        <v>2225568698</v>
      </c>
      <c r="G1670">
        <v>2107791121</v>
      </c>
      <c r="H1670">
        <v>1912472557</v>
      </c>
      <c r="I1670">
        <v>1779003834</v>
      </c>
      <c r="J1670">
        <v>1677467988</v>
      </c>
      <c r="K1670">
        <v>1651228569</v>
      </c>
      <c r="P1670">
        <v>47</v>
      </c>
      <c r="Q1670" t="s">
        <v>3657</v>
      </c>
    </row>
    <row r="1671" spans="1:17" x14ac:dyDescent="0.3">
      <c r="A1671" t="s">
        <v>17</v>
      </c>
      <c r="B1671" t="str">
        <f>"605199"</f>
        <v>605199</v>
      </c>
      <c r="C1671" t="s">
        <v>3658</v>
      </c>
      <c r="D1671" t="s">
        <v>188</v>
      </c>
      <c r="F1671">
        <v>928205925</v>
      </c>
      <c r="G1671">
        <v>916477802</v>
      </c>
      <c r="H1671">
        <v>643935668</v>
      </c>
      <c r="I1671">
        <v>604608321</v>
      </c>
      <c r="J1671">
        <v>351378303</v>
      </c>
      <c r="K1671">
        <v>128691080</v>
      </c>
      <c r="P1671">
        <v>136</v>
      </c>
      <c r="Q1671" t="s">
        <v>3659</v>
      </c>
    </row>
    <row r="1672" spans="1:17" x14ac:dyDescent="0.3">
      <c r="A1672" t="s">
        <v>17</v>
      </c>
      <c r="B1672" t="str">
        <f>"605208"</f>
        <v>605208</v>
      </c>
      <c r="C1672" t="s">
        <v>3660</v>
      </c>
      <c r="D1672" t="s">
        <v>504</v>
      </c>
      <c r="F1672">
        <v>2007711911</v>
      </c>
      <c r="G1672">
        <v>1243190300</v>
      </c>
      <c r="H1672">
        <v>1066037318</v>
      </c>
      <c r="I1672">
        <v>939740006</v>
      </c>
      <c r="J1672">
        <v>824046659</v>
      </c>
      <c r="P1672">
        <v>40</v>
      </c>
      <c r="Q1672" t="s">
        <v>3661</v>
      </c>
    </row>
    <row r="1673" spans="1:17" x14ac:dyDescent="0.3">
      <c r="A1673" t="s">
        <v>17</v>
      </c>
      <c r="B1673" t="str">
        <f>"605218"</f>
        <v>605218</v>
      </c>
      <c r="C1673" t="s">
        <v>3662</v>
      </c>
      <c r="D1673" t="s">
        <v>1117</v>
      </c>
      <c r="F1673">
        <v>1140822969</v>
      </c>
      <c r="G1673">
        <v>1113342450</v>
      </c>
      <c r="H1673">
        <v>497573488</v>
      </c>
      <c r="I1673">
        <v>393501148</v>
      </c>
      <c r="J1673">
        <v>277190083</v>
      </c>
      <c r="K1673">
        <v>395419767</v>
      </c>
      <c r="P1673">
        <v>56</v>
      </c>
      <c r="Q1673" t="s">
        <v>3663</v>
      </c>
    </row>
    <row r="1674" spans="1:17" x14ac:dyDescent="0.3">
      <c r="A1674" t="s">
        <v>17</v>
      </c>
      <c r="B1674" t="str">
        <f>"605222"</f>
        <v>605222</v>
      </c>
      <c r="C1674" t="s">
        <v>3664</v>
      </c>
      <c r="D1674" t="s">
        <v>1164</v>
      </c>
      <c r="F1674">
        <v>3507288379</v>
      </c>
      <c r="G1674">
        <v>2770514967</v>
      </c>
      <c r="H1674">
        <v>1558860731</v>
      </c>
      <c r="I1674">
        <v>1225511985</v>
      </c>
      <c r="J1674">
        <v>854221548</v>
      </c>
      <c r="P1674">
        <v>110</v>
      </c>
      <c r="Q1674" t="s">
        <v>3665</v>
      </c>
    </row>
    <row r="1675" spans="1:17" x14ac:dyDescent="0.3">
      <c r="A1675" t="s">
        <v>17</v>
      </c>
      <c r="B1675" t="str">
        <f>"605228"</f>
        <v>605228</v>
      </c>
      <c r="C1675" t="s">
        <v>3666</v>
      </c>
      <c r="D1675" t="s">
        <v>191</v>
      </c>
      <c r="F1675">
        <v>1451716602</v>
      </c>
      <c r="G1675">
        <v>979620385</v>
      </c>
      <c r="H1675">
        <v>861672780</v>
      </c>
      <c r="I1675">
        <v>747206277</v>
      </c>
      <c r="J1675">
        <v>681049840</v>
      </c>
      <c r="P1675">
        <v>30</v>
      </c>
      <c r="Q1675" t="s">
        <v>3667</v>
      </c>
    </row>
    <row r="1676" spans="1:17" x14ac:dyDescent="0.3">
      <c r="A1676" t="s">
        <v>17</v>
      </c>
      <c r="B1676" t="str">
        <f>"605255"</f>
        <v>605255</v>
      </c>
      <c r="C1676" t="s">
        <v>3668</v>
      </c>
      <c r="D1676" t="s">
        <v>348</v>
      </c>
      <c r="F1676">
        <v>876007706</v>
      </c>
      <c r="G1676">
        <v>936476501</v>
      </c>
      <c r="H1676">
        <v>511652975</v>
      </c>
      <c r="I1676">
        <v>433582886</v>
      </c>
      <c r="J1676">
        <v>406343170</v>
      </c>
      <c r="P1676">
        <v>51</v>
      </c>
      <c r="Q1676" t="s">
        <v>3669</v>
      </c>
    </row>
    <row r="1677" spans="1:17" x14ac:dyDescent="0.3">
      <c r="A1677" t="s">
        <v>17</v>
      </c>
      <c r="B1677" t="str">
        <f>"605258"</f>
        <v>605258</v>
      </c>
      <c r="C1677" t="s">
        <v>3670</v>
      </c>
      <c r="D1677" t="s">
        <v>425</v>
      </c>
      <c r="F1677">
        <v>1126384584</v>
      </c>
      <c r="G1677">
        <v>1092243586</v>
      </c>
      <c r="H1677">
        <v>483055410</v>
      </c>
      <c r="I1677">
        <v>393824107</v>
      </c>
      <c r="J1677">
        <v>283068184</v>
      </c>
      <c r="K1677">
        <v>121801986</v>
      </c>
      <c r="P1677">
        <v>51</v>
      </c>
      <c r="Q1677" t="s">
        <v>3671</v>
      </c>
    </row>
    <row r="1678" spans="1:17" x14ac:dyDescent="0.3">
      <c r="A1678" t="s">
        <v>17</v>
      </c>
      <c r="B1678" t="str">
        <f>"605259"</f>
        <v>605259</v>
      </c>
      <c r="C1678" t="s">
        <v>3672</v>
      </c>
      <c r="D1678" t="s">
        <v>741</v>
      </c>
      <c r="F1678">
        <v>1350765825</v>
      </c>
      <c r="G1678">
        <v>664682354</v>
      </c>
      <c r="H1678">
        <v>547380728</v>
      </c>
      <c r="I1678">
        <v>457374119</v>
      </c>
      <c r="J1678">
        <v>420998466</v>
      </c>
      <c r="P1678">
        <v>17</v>
      </c>
      <c r="Q1678" t="s">
        <v>3673</v>
      </c>
    </row>
    <row r="1679" spans="1:17" x14ac:dyDescent="0.3">
      <c r="A1679" t="s">
        <v>17</v>
      </c>
      <c r="B1679" t="str">
        <f>"605266"</f>
        <v>605266</v>
      </c>
      <c r="C1679" t="s">
        <v>3674</v>
      </c>
      <c r="D1679" t="s">
        <v>1686</v>
      </c>
      <c r="F1679">
        <v>1909745632</v>
      </c>
      <c r="G1679">
        <v>1717158435</v>
      </c>
      <c r="H1679">
        <v>591508599</v>
      </c>
      <c r="I1679">
        <v>459358819</v>
      </c>
      <c r="J1679">
        <v>351619408</v>
      </c>
      <c r="K1679">
        <v>255980659</v>
      </c>
      <c r="P1679">
        <v>105</v>
      </c>
      <c r="Q1679" t="s">
        <v>3675</v>
      </c>
    </row>
    <row r="1680" spans="1:17" x14ac:dyDescent="0.3">
      <c r="A1680" t="s">
        <v>17</v>
      </c>
      <c r="B1680" t="str">
        <f>"605268"</f>
        <v>605268</v>
      </c>
      <c r="C1680" t="s">
        <v>3676</v>
      </c>
      <c r="D1680" t="s">
        <v>2664</v>
      </c>
      <c r="F1680">
        <v>1727331886</v>
      </c>
      <c r="G1680">
        <v>1100358365</v>
      </c>
      <c r="H1680">
        <v>860610961</v>
      </c>
      <c r="I1680">
        <v>832587978</v>
      </c>
      <c r="J1680">
        <v>791825882</v>
      </c>
      <c r="K1680">
        <v>583818900</v>
      </c>
      <c r="P1680">
        <v>60</v>
      </c>
      <c r="Q1680" t="s">
        <v>3677</v>
      </c>
    </row>
    <row r="1681" spans="1:17" x14ac:dyDescent="0.3">
      <c r="A1681" t="s">
        <v>17</v>
      </c>
      <c r="B1681" t="str">
        <f>"605277"</f>
        <v>605277</v>
      </c>
      <c r="C1681" t="s">
        <v>3678</v>
      </c>
      <c r="D1681" t="s">
        <v>313</v>
      </c>
      <c r="F1681">
        <v>1155916249</v>
      </c>
      <c r="G1681">
        <v>1016104739</v>
      </c>
      <c r="H1681">
        <v>374415520</v>
      </c>
      <c r="I1681">
        <v>286120181</v>
      </c>
      <c r="J1681">
        <v>229641827</v>
      </c>
      <c r="K1681">
        <v>158770989</v>
      </c>
      <c r="P1681">
        <v>68</v>
      </c>
      <c r="Q1681" t="s">
        <v>3679</v>
      </c>
    </row>
    <row r="1682" spans="1:17" x14ac:dyDescent="0.3">
      <c r="A1682" t="s">
        <v>17</v>
      </c>
      <c r="B1682" t="str">
        <f>"605286"</f>
        <v>605286</v>
      </c>
      <c r="C1682" t="s">
        <v>3680</v>
      </c>
      <c r="D1682" t="s">
        <v>1691</v>
      </c>
      <c r="F1682">
        <v>1474149184</v>
      </c>
      <c r="G1682">
        <v>753140668</v>
      </c>
      <c r="H1682">
        <v>605811268</v>
      </c>
      <c r="I1682">
        <v>491398192</v>
      </c>
      <c r="J1682">
        <v>329759483</v>
      </c>
      <c r="P1682">
        <v>27</v>
      </c>
      <c r="Q1682" t="s">
        <v>3681</v>
      </c>
    </row>
    <row r="1683" spans="1:17" x14ac:dyDescent="0.3">
      <c r="A1683" t="s">
        <v>17</v>
      </c>
      <c r="B1683" t="str">
        <f>"605287"</f>
        <v>605287</v>
      </c>
      <c r="C1683" t="s">
        <v>3682</v>
      </c>
      <c r="D1683" t="s">
        <v>450</v>
      </c>
      <c r="F1683">
        <v>1522275446</v>
      </c>
      <c r="G1683">
        <v>671640536</v>
      </c>
      <c r="H1683">
        <v>564028617</v>
      </c>
      <c r="I1683">
        <v>411740489</v>
      </c>
      <c r="J1683">
        <v>321447330</v>
      </c>
      <c r="P1683">
        <v>21</v>
      </c>
      <c r="Q1683" t="s">
        <v>3683</v>
      </c>
    </row>
    <row r="1684" spans="1:17" x14ac:dyDescent="0.3">
      <c r="A1684" t="s">
        <v>17</v>
      </c>
      <c r="B1684" t="str">
        <f>"605288"</f>
        <v>605288</v>
      </c>
      <c r="C1684" t="s">
        <v>3684</v>
      </c>
      <c r="D1684" t="s">
        <v>2432</v>
      </c>
      <c r="F1684">
        <v>2054274248</v>
      </c>
      <c r="G1684">
        <v>1969191203</v>
      </c>
      <c r="H1684">
        <v>720781856</v>
      </c>
      <c r="I1684">
        <v>503081660</v>
      </c>
      <c r="J1684">
        <v>551328091</v>
      </c>
      <c r="P1684">
        <v>86</v>
      </c>
      <c r="Q1684" t="s">
        <v>3685</v>
      </c>
    </row>
    <row r="1685" spans="1:17" x14ac:dyDescent="0.3">
      <c r="A1685" t="s">
        <v>17</v>
      </c>
      <c r="B1685" t="str">
        <f>"605289"</f>
        <v>605289</v>
      </c>
      <c r="C1685" t="s">
        <v>3686</v>
      </c>
      <c r="D1685" t="s">
        <v>1992</v>
      </c>
      <c r="F1685">
        <v>1304925712</v>
      </c>
      <c r="G1685">
        <v>659608722</v>
      </c>
      <c r="H1685">
        <v>552793606</v>
      </c>
      <c r="I1685">
        <v>406957499</v>
      </c>
      <c r="J1685">
        <v>286011173</v>
      </c>
      <c r="K1685">
        <v>155232568</v>
      </c>
      <c r="P1685">
        <v>29</v>
      </c>
      <c r="Q1685" t="s">
        <v>3687</v>
      </c>
    </row>
    <row r="1686" spans="1:17" x14ac:dyDescent="0.3">
      <c r="A1686" t="s">
        <v>17</v>
      </c>
      <c r="B1686" t="str">
        <f>"605296"</f>
        <v>605296</v>
      </c>
      <c r="C1686" t="s">
        <v>3688</v>
      </c>
      <c r="D1686" t="s">
        <v>1900</v>
      </c>
      <c r="F1686">
        <v>4496212352</v>
      </c>
      <c r="G1686">
        <v>2259542959</v>
      </c>
      <c r="H1686">
        <v>1221759526</v>
      </c>
      <c r="I1686">
        <v>723703259</v>
      </c>
      <c r="J1686">
        <v>722972534</v>
      </c>
      <c r="P1686">
        <v>59</v>
      </c>
      <c r="Q1686" t="s">
        <v>3689</v>
      </c>
    </row>
    <row r="1687" spans="1:17" x14ac:dyDescent="0.3">
      <c r="A1687" t="s">
        <v>17</v>
      </c>
      <c r="B1687" t="str">
        <f>"605298"</f>
        <v>605298</v>
      </c>
      <c r="C1687" t="s">
        <v>3690</v>
      </c>
      <c r="D1687" t="s">
        <v>1012</v>
      </c>
      <c r="F1687">
        <v>967510934</v>
      </c>
      <c r="G1687">
        <v>534278727</v>
      </c>
      <c r="H1687">
        <v>470280921</v>
      </c>
      <c r="I1687">
        <v>400651712</v>
      </c>
      <c r="J1687">
        <v>318998630</v>
      </c>
      <c r="P1687">
        <v>46</v>
      </c>
      <c r="Q1687" t="s">
        <v>3691</v>
      </c>
    </row>
    <row r="1688" spans="1:17" x14ac:dyDescent="0.3">
      <c r="A1688" t="s">
        <v>17</v>
      </c>
      <c r="B1688" t="str">
        <f>"605299"</f>
        <v>605299</v>
      </c>
      <c r="C1688" t="s">
        <v>3692</v>
      </c>
      <c r="D1688" t="s">
        <v>2931</v>
      </c>
      <c r="F1688">
        <v>1284667113</v>
      </c>
      <c r="G1688">
        <v>1292264844</v>
      </c>
      <c r="H1688">
        <v>877074065</v>
      </c>
      <c r="I1688">
        <v>789654102</v>
      </c>
      <c r="J1688">
        <v>733522689</v>
      </c>
      <c r="K1688">
        <v>691646855</v>
      </c>
      <c r="P1688">
        <v>58</v>
      </c>
      <c r="Q1688" t="s">
        <v>3693</v>
      </c>
    </row>
    <row r="1689" spans="1:17" x14ac:dyDescent="0.3">
      <c r="A1689" t="s">
        <v>17</v>
      </c>
      <c r="B1689" t="str">
        <f>"605300"</f>
        <v>605300</v>
      </c>
      <c r="C1689" t="s">
        <v>3694</v>
      </c>
      <c r="D1689" t="s">
        <v>900</v>
      </c>
      <c r="F1689">
        <v>1954349888</v>
      </c>
      <c r="G1689">
        <v>1405234682</v>
      </c>
      <c r="H1689">
        <v>1190059392</v>
      </c>
      <c r="I1689">
        <v>918337498</v>
      </c>
      <c r="J1689">
        <v>608103857</v>
      </c>
      <c r="P1689">
        <v>56</v>
      </c>
      <c r="Q1689" t="s">
        <v>3695</v>
      </c>
    </row>
    <row r="1690" spans="1:17" x14ac:dyDescent="0.3">
      <c r="A1690" t="s">
        <v>17</v>
      </c>
      <c r="B1690" t="str">
        <f>"605303"</f>
        <v>605303</v>
      </c>
      <c r="C1690" t="s">
        <v>3696</v>
      </c>
      <c r="D1690" t="s">
        <v>2417</v>
      </c>
      <c r="F1690">
        <v>1675793505</v>
      </c>
      <c r="G1690">
        <v>1045377775</v>
      </c>
      <c r="H1690">
        <v>935185923</v>
      </c>
      <c r="I1690">
        <v>793625920</v>
      </c>
      <c r="J1690">
        <v>685163106</v>
      </c>
      <c r="P1690">
        <v>28</v>
      </c>
      <c r="Q1690" t="s">
        <v>3697</v>
      </c>
    </row>
    <row r="1691" spans="1:17" x14ac:dyDescent="0.3">
      <c r="A1691" t="s">
        <v>17</v>
      </c>
      <c r="B1691" t="str">
        <f>"605305"</f>
        <v>605305</v>
      </c>
      <c r="C1691" t="s">
        <v>3698</v>
      </c>
      <c r="D1691" t="s">
        <v>83</v>
      </c>
      <c r="F1691">
        <v>2060346321</v>
      </c>
      <c r="G1691">
        <v>915410380</v>
      </c>
      <c r="H1691">
        <v>776199133</v>
      </c>
      <c r="I1691">
        <v>660693749</v>
      </c>
      <c r="J1691">
        <v>584032913</v>
      </c>
      <c r="P1691">
        <v>81</v>
      </c>
      <c r="Q1691" t="s">
        <v>3699</v>
      </c>
    </row>
    <row r="1692" spans="1:17" x14ac:dyDescent="0.3">
      <c r="A1692" t="s">
        <v>17</v>
      </c>
      <c r="B1692" t="str">
        <f>"605318"</f>
        <v>605318</v>
      </c>
      <c r="C1692" t="s">
        <v>3700</v>
      </c>
      <c r="D1692" t="s">
        <v>722</v>
      </c>
      <c r="F1692">
        <v>808618260</v>
      </c>
      <c r="G1692">
        <v>850319448</v>
      </c>
      <c r="H1692">
        <v>422779221</v>
      </c>
      <c r="I1692">
        <v>337991140</v>
      </c>
      <c r="J1692">
        <v>179420105</v>
      </c>
      <c r="P1692">
        <v>58</v>
      </c>
      <c r="Q1692" t="s">
        <v>3701</v>
      </c>
    </row>
    <row r="1693" spans="1:17" x14ac:dyDescent="0.3">
      <c r="A1693" t="s">
        <v>17</v>
      </c>
      <c r="B1693" t="str">
        <f>"605319"</f>
        <v>605319</v>
      </c>
      <c r="C1693" t="s">
        <v>3702</v>
      </c>
      <c r="D1693" t="s">
        <v>985</v>
      </c>
      <c r="F1693">
        <v>1759464163</v>
      </c>
      <c r="G1693">
        <v>1164662100</v>
      </c>
      <c r="H1693">
        <v>1059235125</v>
      </c>
      <c r="I1693">
        <v>953430044</v>
      </c>
      <c r="J1693">
        <v>594013700</v>
      </c>
      <c r="P1693">
        <v>22</v>
      </c>
      <c r="Q1693" t="s">
        <v>3703</v>
      </c>
    </row>
    <row r="1694" spans="1:17" x14ac:dyDescent="0.3">
      <c r="A1694" t="s">
        <v>17</v>
      </c>
      <c r="B1694" t="str">
        <f>"605333"</f>
        <v>605333</v>
      </c>
      <c r="C1694" t="s">
        <v>3704</v>
      </c>
      <c r="D1694" t="s">
        <v>1415</v>
      </c>
      <c r="F1694">
        <v>751385290</v>
      </c>
      <c r="G1694">
        <v>780816332</v>
      </c>
      <c r="H1694">
        <v>537528997</v>
      </c>
      <c r="I1694">
        <v>466717038</v>
      </c>
      <c r="J1694">
        <v>365504045</v>
      </c>
      <c r="P1694">
        <v>85</v>
      </c>
      <c r="Q1694" t="s">
        <v>3705</v>
      </c>
    </row>
    <row r="1695" spans="1:17" x14ac:dyDescent="0.3">
      <c r="A1695" t="s">
        <v>17</v>
      </c>
      <c r="B1695" t="str">
        <f>"605336"</f>
        <v>605336</v>
      </c>
      <c r="C1695" t="s">
        <v>3706</v>
      </c>
      <c r="D1695" t="s">
        <v>3707</v>
      </c>
      <c r="F1695">
        <v>1892044697</v>
      </c>
      <c r="G1695">
        <v>1698892264</v>
      </c>
      <c r="H1695">
        <v>713384288</v>
      </c>
      <c r="I1695">
        <v>539417657</v>
      </c>
      <c r="J1695">
        <v>188981646</v>
      </c>
      <c r="K1695">
        <v>158536023</v>
      </c>
      <c r="P1695">
        <v>141</v>
      </c>
      <c r="Q1695" t="s">
        <v>3708</v>
      </c>
    </row>
    <row r="1696" spans="1:17" x14ac:dyDescent="0.3">
      <c r="A1696" t="s">
        <v>17</v>
      </c>
      <c r="B1696" t="str">
        <f>"605337"</f>
        <v>605337</v>
      </c>
      <c r="C1696" t="s">
        <v>3709</v>
      </c>
      <c r="D1696" t="s">
        <v>440</v>
      </c>
      <c r="F1696">
        <v>1605392478</v>
      </c>
      <c r="G1696">
        <v>729575455</v>
      </c>
      <c r="H1696">
        <v>515008830</v>
      </c>
      <c r="I1696">
        <v>470354375</v>
      </c>
      <c r="J1696">
        <v>330552897</v>
      </c>
      <c r="K1696">
        <v>239674375</v>
      </c>
      <c r="P1696">
        <v>146</v>
      </c>
      <c r="Q1696" t="s">
        <v>3710</v>
      </c>
    </row>
    <row r="1697" spans="1:17" x14ac:dyDescent="0.3">
      <c r="A1697" t="s">
        <v>17</v>
      </c>
      <c r="B1697" t="str">
        <f>"605338"</f>
        <v>605338</v>
      </c>
      <c r="C1697" t="s">
        <v>3711</v>
      </c>
      <c r="D1697" t="s">
        <v>2865</v>
      </c>
      <c r="F1697">
        <v>1908380486</v>
      </c>
      <c r="G1697">
        <v>1634111977</v>
      </c>
      <c r="H1697">
        <v>714936103</v>
      </c>
      <c r="I1697">
        <v>592754662</v>
      </c>
      <c r="J1697">
        <v>460618296</v>
      </c>
      <c r="K1697">
        <v>348087782</v>
      </c>
      <c r="P1697">
        <v>198</v>
      </c>
      <c r="Q1697" t="s">
        <v>3712</v>
      </c>
    </row>
    <row r="1698" spans="1:17" x14ac:dyDescent="0.3">
      <c r="A1698" t="s">
        <v>17</v>
      </c>
      <c r="B1698" t="str">
        <f>"605339"</f>
        <v>605339</v>
      </c>
      <c r="C1698" t="s">
        <v>3713</v>
      </c>
      <c r="D1698" t="s">
        <v>2488</v>
      </c>
      <c r="F1698">
        <v>3198592393</v>
      </c>
      <c r="G1698">
        <v>1944198958</v>
      </c>
      <c r="H1698">
        <v>1815484561</v>
      </c>
      <c r="I1698">
        <v>1566158881</v>
      </c>
      <c r="J1698">
        <v>1291676318</v>
      </c>
      <c r="K1698">
        <v>1229512067</v>
      </c>
      <c r="L1698">
        <v>1130547566</v>
      </c>
      <c r="P1698">
        <v>66</v>
      </c>
      <c r="Q1698" t="s">
        <v>3714</v>
      </c>
    </row>
    <row r="1699" spans="1:17" x14ac:dyDescent="0.3">
      <c r="A1699" t="s">
        <v>17</v>
      </c>
      <c r="B1699" t="str">
        <f>"605358"</f>
        <v>605358</v>
      </c>
      <c r="C1699" t="s">
        <v>3715</v>
      </c>
      <c r="D1699" t="s">
        <v>475</v>
      </c>
      <c r="F1699">
        <v>7542425466</v>
      </c>
      <c r="G1699">
        <v>1855328580</v>
      </c>
      <c r="H1699">
        <v>1513902401</v>
      </c>
      <c r="I1699">
        <v>1436114497</v>
      </c>
      <c r="J1699">
        <v>1298554741</v>
      </c>
      <c r="P1699">
        <v>289</v>
      </c>
      <c r="Q1699" t="s">
        <v>3716</v>
      </c>
    </row>
    <row r="1700" spans="1:17" x14ac:dyDescent="0.3">
      <c r="A1700" t="s">
        <v>17</v>
      </c>
      <c r="B1700" t="str">
        <f>"605365"</f>
        <v>605365</v>
      </c>
      <c r="C1700" t="s">
        <v>3717</v>
      </c>
      <c r="D1700" t="s">
        <v>598</v>
      </c>
      <c r="F1700">
        <v>2894356182</v>
      </c>
      <c r="G1700">
        <v>1824623615</v>
      </c>
      <c r="H1700">
        <v>1379061535</v>
      </c>
      <c r="I1700">
        <v>1008816464</v>
      </c>
      <c r="J1700">
        <v>827265319</v>
      </c>
      <c r="P1700">
        <v>28</v>
      </c>
      <c r="Q1700" t="s">
        <v>3718</v>
      </c>
    </row>
    <row r="1701" spans="1:17" x14ac:dyDescent="0.3">
      <c r="A1701" t="s">
        <v>17</v>
      </c>
      <c r="B1701" t="str">
        <f>"605366"</f>
        <v>605366</v>
      </c>
      <c r="C1701" t="s">
        <v>3719</v>
      </c>
      <c r="D1701" t="s">
        <v>386</v>
      </c>
      <c r="F1701">
        <v>1741253978</v>
      </c>
      <c r="G1701">
        <v>1683249746</v>
      </c>
      <c r="H1701">
        <v>808814817</v>
      </c>
      <c r="I1701">
        <v>648364756</v>
      </c>
      <c r="J1701">
        <v>476570171</v>
      </c>
      <c r="P1701">
        <v>59</v>
      </c>
      <c r="Q1701" t="s">
        <v>3720</v>
      </c>
    </row>
    <row r="1702" spans="1:17" x14ac:dyDescent="0.3">
      <c r="A1702" t="s">
        <v>17</v>
      </c>
      <c r="B1702" t="str">
        <f>"605368"</f>
        <v>605368</v>
      </c>
      <c r="C1702" t="s">
        <v>3721</v>
      </c>
      <c r="D1702" t="s">
        <v>749</v>
      </c>
      <c r="F1702">
        <v>2908887818</v>
      </c>
      <c r="G1702">
        <v>1849036197</v>
      </c>
      <c r="H1702">
        <v>1710841370</v>
      </c>
      <c r="I1702">
        <v>1539948914</v>
      </c>
      <c r="J1702">
        <v>1358956650</v>
      </c>
      <c r="K1702">
        <v>1258675635</v>
      </c>
      <c r="L1702">
        <v>1236945490</v>
      </c>
      <c r="P1702">
        <v>60</v>
      </c>
      <c r="Q1702" t="s">
        <v>3722</v>
      </c>
    </row>
    <row r="1703" spans="1:17" x14ac:dyDescent="0.3">
      <c r="A1703" t="s">
        <v>17</v>
      </c>
      <c r="B1703" t="str">
        <f>"605369"</f>
        <v>605369</v>
      </c>
      <c r="C1703" t="s">
        <v>3723</v>
      </c>
      <c r="D1703" t="s">
        <v>1077</v>
      </c>
      <c r="F1703">
        <v>1388034023</v>
      </c>
      <c r="G1703">
        <v>1207941078</v>
      </c>
      <c r="H1703">
        <v>405248148</v>
      </c>
      <c r="I1703">
        <v>341424997</v>
      </c>
      <c r="J1703">
        <v>252522132</v>
      </c>
      <c r="P1703">
        <v>177</v>
      </c>
      <c r="Q1703" t="s">
        <v>3724</v>
      </c>
    </row>
    <row r="1704" spans="1:17" x14ac:dyDescent="0.3">
      <c r="A1704" t="s">
        <v>17</v>
      </c>
      <c r="B1704" t="str">
        <f>"605376"</f>
        <v>605376</v>
      </c>
      <c r="C1704" t="s">
        <v>3725</v>
      </c>
      <c r="D1704" t="s">
        <v>636</v>
      </c>
      <c r="F1704">
        <v>1587879340</v>
      </c>
      <c r="G1704">
        <v>1423278777</v>
      </c>
      <c r="H1704">
        <v>564921391</v>
      </c>
      <c r="I1704">
        <v>430615977</v>
      </c>
      <c r="J1704">
        <v>275218814</v>
      </c>
      <c r="K1704">
        <v>107177200</v>
      </c>
      <c r="P1704">
        <v>110</v>
      </c>
      <c r="Q1704" t="s">
        <v>3726</v>
      </c>
    </row>
    <row r="1705" spans="1:17" x14ac:dyDescent="0.3">
      <c r="A1705" t="s">
        <v>17</v>
      </c>
      <c r="B1705" t="str">
        <f>"605377"</f>
        <v>605377</v>
      </c>
      <c r="C1705" t="s">
        <v>3727</v>
      </c>
      <c r="D1705" t="s">
        <v>244</v>
      </c>
      <c r="F1705">
        <v>2547813447</v>
      </c>
      <c r="G1705">
        <v>2219123543</v>
      </c>
      <c r="H1705">
        <v>1076352868</v>
      </c>
      <c r="I1705">
        <v>905462636</v>
      </c>
      <c r="J1705">
        <v>786944891</v>
      </c>
      <c r="K1705">
        <v>495664122</v>
      </c>
      <c r="P1705">
        <v>59</v>
      </c>
      <c r="Q1705" t="s">
        <v>3728</v>
      </c>
    </row>
    <row r="1706" spans="1:17" x14ac:dyDescent="0.3">
      <c r="A1706" t="s">
        <v>17</v>
      </c>
      <c r="B1706" t="str">
        <f>"605378"</f>
        <v>605378</v>
      </c>
      <c r="C1706" t="s">
        <v>3729</v>
      </c>
      <c r="D1706" t="s">
        <v>555</v>
      </c>
      <c r="F1706">
        <v>1137437347</v>
      </c>
      <c r="G1706">
        <v>583583015</v>
      </c>
      <c r="H1706">
        <v>505317163</v>
      </c>
      <c r="I1706">
        <v>450117075</v>
      </c>
      <c r="J1706">
        <v>348962645</v>
      </c>
      <c r="P1706">
        <v>32</v>
      </c>
      <c r="Q1706" t="s">
        <v>3730</v>
      </c>
    </row>
    <row r="1707" spans="1:17" x14ac:dyDescent="0.3">
      <c r="A1707" t="s">
        <v>17</v>
      </c>
      <c r="B1707" t="str">
        <f>"605388"</f>
        <v>605388</v>
      </c>
      <c r="C1707" t="s">
        <v>3731</v>
      </c>
      <c r="D1707" t="s">
        <v>900</v>
      </c>
      <c r="F1707">
        <v>1939160156</v>
      </c>
      <c r="G1707">
        <v>1930840673</v>
      </c>
      <c r="H1707">
        <v>941538496</v>
      </c>
      <c r="I1707">
        <v>738492575</v>
      </c>
      <c r="J1707">
        <v>536265422</v>
      </c>
      <c r="P1707">
        <v>103</v>
      </c>
      <c r="Q1707" t="s">
        <v>3732</v>
      </c>
    </row>
    <row r="1708" spans="1:17" x14ac:dyDescent="0.3">
      <c r="A1708" t="s">
        <v>17</v>
      </c>
      <c r="B1708" t="str">
        <f>"605389"</f>
        <v>605389</v>
      </c>
      <c r="C1708" t="s">
        <v>3733</v>
      </c>
      <c r="D1708" t="s">
        <v>2007</v>
      </c>
      <c r="F1708">
        <v>1781940068</v>
      </c>
      <c r="G1708">
        <v>714843095</v>
      </c>
      <c r="H1708">
        <v>538076795</v>
      </c>
      <c r="I1708">
        <v>365531635</v>
      </c>
      <c r="J1708">
        <v>305161239</v>
      </c>
      <c r="P1708">
        <v>64</v>
      </c>
      <c r="Q1708" t="s">
        <v>3734</v>
      </c>
    </row>
    <row r="1709" spans="1:17" x14ac:dyDescent="0.3">
      <c r="A1709" t="s">
        <v>17</v>
      </c>
      <c r="B1709" t="str">
        <f>"605398"</f>
        <v>605398</v>
      </c>
      <c r="C1709" t="s">
        <v>3735</v>
      </c>
      <c r="D1709" t="s">
        <v>316</v>
      </c>
      <c r="F1709">
        <v>976127215</v>
      </c>
      <c r="G1709">
        <v>415458791</v>
      </c>
      <c r="H1709">
        <v>326969553</v>
      </c>
      <c r="I1709">
        <v>239367441</v>
      </c>
      <c r="J1709">
        <v>188570144</v>
      </c>
      <c r="K1709">
        <v>120767568</v>
      </c>
      <c r="P1709">
        <v>39</v>
      </c>
      <c r="Q1709" t="s">
        <v>3736</v>
      </c>
    </row>
    <row r="1710" spans="1:17" x14ac:dyDescent="0.3">
      <c r="A1710" t="s">
        <v>17</v>
      </c>
      <c r="B1710" t="str">
        <f>"605399"</f>
        <v>605399</v>
      </c>
      <c r="C1710" t="s">
        <v>3737</v>
      </c>
      <c r="D1710" t="s">
        <v>1205</v>
      </c>
      <c r="F1710">
        <v>1633187315</v>
      </c>
      <c r="G1710">
        <v>1133975087</v>
      </c>
      <c r="H1710">
        <v>446235271</v>
      </c>
      <c r="I1710">
        <v>354686106</v>
      </c>
      <c r="J1710">
        <v>211296182</v>
      </c>
      <c r="P1710">
        <v>126</v>
      </c>
      <c r="Q1710" t="s">
        <v>3738</v>
      </c>
    </row>
    <row r="1711" spans="1:17" x14ac:dyDescent="0.3">
      <c r="A1711" t="s">
        <v>17</v>
      </c>
      <c r="B1711" t="str">
        <f>"605488"</f>
        <v>605488</v>
      </c>
      <c r="C1711" t="s">
        <v>3739</v>
      </c>
      <c r="D1711" t="s">
        <v>1192</v>
      </c>
      <c r="F1711">
        <v>1029995555</v>
      </c>
      <c r="G1711">
        <v>427778012</v>
      </c>
      <c r="H1711">
        <v>367417821</v>
      </c>
      <c r="I1711">
        <v>282699429</v>
      </c>
      <c r="J1711">
        <v>258848700</v>
      </c>
      <c r="P1711">
        <v>28</v>
      </c>
      <c r="Q1711" t="s">
        <v>3740</v>
      </c>
    </row>
    <row r="1712" spans="1:17" x14ac:dyDescent="0.3">
      <c r="A1712" t="s">
        <v>17</v>
      </c>
      <c r="B1712" t="str">
        <f>"605499"</f>
        <v>605499</v>
      </c>
      <c r="C1712" t="s">
        <v>3741</v>
      </c>
      <c r="D1712" t="s">
        <v>440</v>
      </c>
      <c r="F1712">
        <v>4238125541</v>
      </c>
      <c r="G1712">
        <v>1913253375</v>
      </c>
      <c r="H1712">
        <v>1635180864</v>
      </c>
      <c r="I1712">
        <v>1086943968</v>
      </c>
      <c r="J1712">
        <v>871113000</v>
      </c>
      <c r="P1712">
        <v>282</v>
      </c>
      <c r="Q1712" t="s">
        <v>3742</v>
      </c>
    </row>
    <row r="1713" spans="1:17" x14ac:dyDescent="0.3">
      <c r="A1713" t="s">
        <v>17</v>
      </c>
      <c r="B1713" t="str">
        <f>"605500"</f>
        <v>605500</v>
      </c>
      <c r="C1713" t="s">
        <v>3743</v>
      </c>
      <c r="D1713" t="s">
        <v>694</v>
      </c>
      <c r="F1713">
        <v>2288174400</v>
      </c>
      <c r="G1713">
        <v>2076074932</v>
      </c>
      <c r="H1713">
        <v>1002159902</v>
      </c>
      <c r="I1713">
        <v>811820498</v>
      </c>
      <c r="J1713">
        <v>638610816</v>
      </c>
      <c r="P1713">
        <v>37</v>
      </c>
      <c r="Q1713" t="s">
        <v>3744</v>
      </c>
    </row>
    <row r="1714" spans="1:17" x14ac:dyDescent="0.3">
      <c r="A1714" t="s">
        <v>17</v>
      </c>
      <c r="B1714" t="str">
        <f>"605507"</f>
        <v>605507</v>
      </c>
      <c r="C1714" t="s">
        <v>3745</v>
      </c>
      <c r="D1714" t="s">
        <v>496</v>
      </c>
      <c r="F1714">
        <v>6346079449</v>
      </c>
      <c r="G1714">
        <v>3274732832</v>
      </c>
      <c r="H1714">
        <v>2616732752</v>
      </c>
      <c r="I1714">
        <v>1248063175</v>
      </c>
      <c r="J1714">
        <v>1079479772</v>
      </c>
      <c r="P1714">
        <v>25</v>
      </c>
      <c r="Q1714" t="s">
        <v>3746</v>
      </c>
    </row>
    <row r="1715" spans="1:17" x14ac:dyDescent="0.3">
      <c r="A1715" t="s">
        <v>17</v>
      </c>
      <c r="B1715" t="str">
        <f>"605555"</f>
        <v>605555</v>
      </c>
      <c r="C1715" t="s">
        <v>3747</v>
      </c>
      <c r="D1715" t="s">
        <v>2720</v>
      </c>
      <c r="F1715">
        <v>2292201136</v>
      </c>
      <c r="G1715">
        <v>505312583</v>
      </c>
      <c r="H1715">
        <v>202839727</v>
      </c>
      <c r="I1715">
        <v>394422888</v>
      </c>
      <c r="J1715">
        <v>251605499</v>
      </c>
      <c r="P1715">
        <v>34</v>
      </c>
      <c r="Q1715" t="s">
        <v>3748</v>
      </c>
    </row>
    <row r="1716" spans="1:17" x14ac:dyDescent="0.3">
      <c r="A1716" t="s">
        <v>17</v>
      </c>
      <c r="B1716" t="str">
        <f>"605566"</f>
        <v>605566</v>
      </c>
      <c r="C1716" t="s">
        <v>3749</v>
      </c>
      <c r="D1716" t="s">
        <v>779</v>
      </c>
      <c r="F1716">
        <v>2038793474</v>
      </c>
      <c r="G1716">
        <v>890145626</v>
      </c>
      <c r="H1716">
        <v>696904706</v>
      </c>
      <c r="I1716">
        <v>495661366</v>
      </c>
      <c r="J1716">
        <v>367916323</v>
      </c>
      <c r="P1716">
        <v>22</v>
      </c>
      <c r="Q1716" t="s">
        <v>3750</v>
      </c>
    </row>
    <row r="1717" spans="1:17" x14ac:dyDescent="0.3">
      <c r="A1717" t="s">
        <v>17</v>
      </c>
      <c r="B1717" t="str">
        <f>"605567"</f>
        <v>605567</v>
      </c>
      <c r="C1717" t="s">
        <v>3751</v>
      </c>
      <c r="D1717" t="s">
        <v>2865</v>
      </c>
      <c r="F1717">
        <v>1090390340</v>
      </c>
      <c r="G1717">
        <v>492697651</v>
      </c>
      <c r="H1717">
        <v>364261953</v>
      </c>
      <c r="I1717">
        <v>266735426</v>
      </c>
      <c r="J1717">
        <v>194789481</v>
      </c>
      <c r="P1717">
        <v>32</v>
      </c>
      <c r="Q1717" t="s">
        <v>3752</v>
      </c>
    </row>
    <row r="1718" spans="1:17" x14ac:dyDescent="0.3">
      <c r="A1718" t="s">
        <v>17</v>
      </c>
      <c r="B1718" t="str">
        <f>"605577"</f>
        <v>605577</v>
      </c>
      <c r="C1718" t="s">
        <v>3753</v>
      </c>
      <c r="D1718" t="s">
        <v>1536</v>
      </c>
      <c r="F1718">
        <v>2970817155</v>
      </c>
      <c r="G1718">
        <v>2395539899</v>
      </c>
      <c r="H1718">
        <v>2182409662</v>
      </c>
      <c r="I1718">
        <v>2134720844</v>
      </c>
      <c r="J1718">
        <v>1845021600</v>
      </c>
      <c r="P1718">
        <v>19</v>
      </c>
      <c r="Q1718" t="s">
        <v>3754</v>
      </c>
    </row>
    <row r="1719" spans="1:17" x14ac:dyDescent="0.3">
      <c r="A1719" t="s">
        <v>17</v>
      </c>
      <c r="B1719" t="str">
        <f>"605580"</f>
        <v>605580</v>
      </c>
      <c r="C1719" t="s">
        <v>3755</v>
      </c>
      <c r="D1719" t="s">
        <v>351</v>
      </c>
      <c r="F1719">
        <v>847215935</v>
      </c>
      <c r="G1719">
        <v>358404803</v>
      </c>
      <c r="H1719">
        <v>301691347</v>
      </c>
      <c r="I1719">
        <v>252359446</v>
      </c>
      <c r="J1719">
        <v>171819664</v>
      </c>
      <c r="P1719">
        <v>30</v>
      </c>
      <c r="Q1719" t="s">
        <v>3756</v>
      </c>
    </row>
    <row r="1720" spans="1:17" x14ac:dyDescent="0.3">
      <c r="A1720" t="s">
        <v>17</v>
      </c>
      <c r="B1720" t="str">
        <f>"605588"</f>
        <v>605588</v>
      </c>
      <c r="C1720" t="s">
        <v>3757</v>
      </c>
      <c r="D1720" t="s">
        <v>164</v>
      </c>
      <c r="F1720">
        <v>932194780</v>
      </c>
      <c r="G1720">
        <v>375747584</v>
      </c>
      <c r="H1720">
        <v>283206570</v>
      </c>
      <c r="I1720">
        <v>263506270</v>
      </c>
      <c r="J1720">
        <v>192783519</v>
      </c>
      <c r="P1720">
        <v>16</v>
      </c>
      <c r="Q1720" t="s">
        <v>3758</v>
      </c>
    </row>
    <row r="1721" spans="1:17" x14ac:dyDescent="0.3">
      <c r="A1721" t="s">
        <v>17</v>
      </c>
      <c r="B1721" t="str">
        <f>"605589"</f>
        <v>605589</v>
      </c>
      <c r="C1721" t="s">
        <v>3759</v>
      </c>
      <c r="D1721" t="s">
        <v>3377</v>
      </c>
      <c r="F1721">
        <v>7943323060</v>
      </c>
      <c r="G1721">
        <v>5603168774</v>
      </c>
      <c r="H1721">
        <v>4819291148</v>
      </c>
      <c r="I1721">
        <v>4435343627</v>
      </c>
      <c r="J1721">
        <v>3585504646</v>
      </c>
      <c r="P1721">
        <v>40</v>
      </c>
      <c r="Q1721" t="s">
        <v>3760</v>
      </c>
    </row>
    <row r="1722" spans="1:17" x14ac:dyDescent="0.3">
      <c r="A1722" t="s">
        <v>17</v>
      </c>
      <c r="B1722" t="str">
        <f>"605598"</f>
        <v>605598</v>
      </c>
      <c r="C1722" t="s">
        <v>3761</v>
      </c>
      <c r="D1722" t="s">
        <v>1992</v>
      </c>
      <c r="F1722">
        <v>1404607953</v>
      </c>
      <c r="G1722">
        <v>845806933</v>
      </c>
      <c r="H1722">
        <v>788432686</v>
      </c>
      <c r="I1722">
        <v>611912197</v>
      </c>
      <c r="J1722">
        <v>511263229</v>
      </c>
      <c r="P1722">
        <v>18</v>
      </c>
      <c r="Q1722" t="s">
        <v>3762</v>
      </c>
    </row>
    <row r="1723" spans="1:17" x14ac:dyDescent="0.3">
      <c r="A1723" t="s">
        <v>17</v>
      </c>
      <c r="B1723" t="str">
        <f>"605599"</f>
        <v>605599</v>
      </c>
      <c r="C1723" t="s">
        <v>3763</v>
      </c>
      <c r="D1723" t="s">
        <v>1238</v>
      </c>
      <c r="F1723">
        <v>3208851675</v>
      </c>
      <c r="G1723">
        <v>2136339389</v>
      </c>
      <c r="H1723">
        <v>2138295556</v>
      </c>
      <c r="I1723">
        <v>1923812080</v>
      </c>
      <c r="J1723">
        <v>1846766266</v>
      </c>
      <c r="P1723">
        <v>21</v>
      </c>
      <c r="Q1723" t="s">
        <v>3764</v>
      </c>
    </row>
    <row r="1724" spans="1:17" x14ac:dyDescent="0.3">
      <c r="A1724" t="s">
        <v>17</v>
      </c>
      <c r="B1724" t="str">
        <f>"688001"</f>
        <v>688001</v>
      </c>
      <c r="C1724" t="s">
        <v>3765</v>
      </c>
      <c r="D1724" t="s">
        <v>2566</v>
      </c>
      <c r="F1724">
        <v>3448178605</v>
      </c>
      <c r="G1724">
        <v>3167883269</v>
      </c>
      <c r="H1724">
        <v>1897603655</v>
      </c>
      <c r="I1724">
        <v>911301061</v>
      </c>
      <c r="J1724">
        <v>667122164</v>
      </c>
      <c r="K1724">
        <v>633886543</v>
      </c>
      <c r="P1724">
        <v>169</v>
      </c>
      <c r="Q1724" t="s">
        <v>3766</v>
      </c>
    </row>
    <row r="1725" spans="1:17" x14ac:dyDescent="0.3">
      <c r="A1725" t="s">
        <v>17</v>
      </c>
      <c r="B1725" t="str">
        <f>"688002"</f>
        <v>688002</v>
      </c>
      <c r="C1725" t="s">
        <v>3767</v>
      </c>
      <c r="D1725" t="s">
        <v>1136</v>
      </c>
      <c r="F1725">
        <v>3484938311</v>
      </c>
      <c r="G1725">
        <v>2928777343</v>
      </c>
      <c r="H1725">
        <v>2341978767</v>
      </c>
      <c r="I1725">
        <v>1005939826</v>
      </c>
      <c r="J1725">
        <v>360771725</v>
      </c>
      <c r="K1725">
        <v>254920842</v>
      </c>
      <c r="P1725">
        <v>407</v>
      </c>
      <c r="Q1725" t="s">
        <v>3768</v>
      </c>
    </row>
    <row r="1726" spans="1:17" x14ac:dyDescent="0.3">
      <c r="A1726" t="s">
        <v>17</v>
      </c>
      <c r="B1726" t="str">
        <f>"688003"</f>
        <v>688003</v>
      </c>
      <c r="C1726" t="s">
        <v>3769</v>
      </c>
      <c r="D1726" t="s">
        <v>3477</v>
      </c>
      <c r="F1726">
        <v>1539875198</v>
      </c>
      <c r="G1726">
        <v>1546616686</v>
      </c>
      <c r="H1726">
        <v>1635751987</v>
      </c>
      <c r="I1726">
        <v>419304122</v>
      </c>
      <c r="J1726">
        <v>268610796</v>
      </c>
      <c r="K1726">
        <v>195563140</v>
      </c>
      <c r="P1726">
        <v>141</v>
      </c>
      <c r="Q1726" t="s">
        <v>3770</v>
      </c>
    </row>
    <row r="1727" spans="1:17" x14ac:dyDescent="0.3">
      <c r="A1727" t="s">
        <v>17</v>
      </c>
      <c r="B1727" t="str">
        <f>"688004"</f>
        <v>688004</v>
      </c>
      <c r="C1727" t="s">
        <v>3771</v>
      </c>
      <c r="D1727" t="s">
        <v>316</v>
      </c>
      <c r="F1727">
        <v>748135304</v>
      </c>
      <c r="G1727">
        <v>712744107</v>
      </c>
      <c r="H1727">
        <v>308751135</v>
      </c>
      <c r="I1727">
        <v>257840918</v>
      </c>
      <c r="J1727">
        <v>172903707</v>
      </c>
      <c r="K1727">
        <v>149221417</v>
      </c>
      <c r="P1727">
        <v>37</v>
      </c>
      <c r="Q1727" t="s">
        <v>3772</v>
      </c>
    </row>
    <row r="1728" spans="1:17" x14ac:dyDescent="0.3">
      <c r="A1728" t="s">
        <v>17</v>
      </c>
      <c r="B1728" t="str">
        <f>"688005"</f>
        <v>688005</v>
      </c>
      <c r="C1728" t="s">
        <v>3773</v>
      </c>
      <c r="D1728" t="s">
        <v>1790</v>
      </c>
      <c r="F1728">
        <v>5428982870</v>
      </c>
      <c r="G1728">
        <v>4483521664</v>
      </c>
      <c r="H1728">
        <v>4312789630</v>
      </c>
      <c r="I1728">
        <v>3130060267</v>
      </c>
      <c r="J1728">
        <v>1535900239</v>
      </c>
      <c r="K1728">
        <v>229812551</v>
      </c>
      <c r="P1728">
        <v>318</v>
      </c>
      <c r="Q1728" t="s">
        <v>3774</v>
      </c>
    </row>
    <row r="1729" spans="1:17" x14ac:dyDescent="0.3">
      <c r="A1729" t="s">
        <v>17</v>
      </c>
      <c r="B1729" t="str">
        <f>"688006"</f>
        <v>688006</v>
      </c>
      <c r="C1729" t="s">
        <v>3775</v>
      </c>
      <c r="D1729" t="s">
        <v>3776</v>
      </c>
      <c r="F1729">
        <v>2824618471</v>
      </c>
      <c r="G1729">
        <v>2567271445</v>
      </c>
      <c r="H1729">
        <v>2223114256</v>
      </c>
      <c r="I1729">
        <v>911539814</v>
      </c>
      <c r="J1729">
        <v>660326874</v>
      </c>
      <c r="K1729">
        <v>486207219</v>
      </c>
      <c r="P1729">
        <v>255</v>
      </c>
      <c r="Q1729" t="s">
        <v>3777</v>
      </c>
    </row>
    <row r="1730" spans="1:17" x14ac:dyDescent="0.3">
      <c r="A1730" t="s">
        <v>17</v>
      </c>
      <c r="B1730" t="str">
        <f>"688007"</f>
        <v>688007</v>
      </c>
      <c r="C1730" t="s">
        <v>3778</v>
      </c>
      <c r="D1730" t="s">
        <v>3526</v>
      </c>
      <c r="F1730">
        <v>2438064581</v>
      </c>
      <c r="G1730">
        <v>2091599672</v>
      </c>
      <c r="H1730">
        <v>1974559838</v>
      </c>
      <c r="I1730">
        <v>715913479</v>
      </c>
      <c r="J1730">
        <v>70572172</v>
      </c>
      <c r="K1730">
        <v>48536865</v>
      </c>
      <c r="P1730">
        <v>123</v>
      </c>
      <c r="Q1730" t="s">
        <v>3779</v>
      </c>
    </row>
    <row r="1731" spans="1:17" x14ac:dyDescent="0.3">
      <c r="A1731" t="s">
        <v>17</v>
      </c>
      <c r="B1731" t="str">
        <f>"688008"</f>
        <v>688008</v>
      </c>
      <c r="C1731" t="s">
        <v>3780</v>
      </c>
      <c r="D1731" t="s">
        <v>461</v>
      </c>
      <c r="F1731">
        <v>8390699376</v>
      </c>
      <c r="G1731">
        <v>8070250686</v>
      </c>
      <c r="H1731">
        <v>7329724351</v>
      </c>
      <c r="I1731">
        <v>3615749765</v>
      </c>
      <c r="J1731">
        <v>1187007653</v>
      </c>
      <c r="K1731">
        <v>883023904</v>
      </c>
      <c r="P1731">
        <v>522</v>
      </c>
      <c r="Q1731" t="s">
        <v>3781</v>
      </c>
    </row>
    <row r="1732" spans="1:17" x14ac:dyDescent="0.3">
      <c r="A1732" t="s">
        <v>17</v>
      </c>
      <c r="B1732" t="str">
        <f>"688009"</f>
        <v>688009</v>
      </c>
      <c r="C1732" t="s">
        <v>3782</v>
      </c>
      <c r="D1732" t="s">
        <v>1012</v>
      </c>
      <c r="F1732">
        <v>40757717094</v>
      </c>
      <c r="G1732">
        <v>39763468050</v>
      </c>
      <c r="H1732">
        <v>38319607363</v>
      </c>
      <c r="I1732">
        <v>26108396682</v>
      </c>
      <c r="J1732">
        <v>24019050920</v>
      </c>
      <c r="K1732">
        <v>21656637906</v>
      </c>
      <c r="P1732">
        <v>201</v>
      </c>
      <c r="Q1732" t="s">
        <v>3783</v>
      </c>
    </row>
    <row r="1733" spans="1:17" x14ac:dyDescent="0.3">
      <c r="A1733" t="s">
        <v>17</v>
      </c>
      <c r="B1733" t="str">
        <f>"688010"</f>
        <v>688010</v>
      </c>
      <c r="C1733" t="s">
        <v>3784</v>
      </c>
      <c r="D1733" t="s">
        <v>164</v>
      </c>
      <c r="F1733">
        <v>1774264270</v>
      </c>
      <c r="G1733">
        <v>1802142997</v>
      </c>
      <c r="H1733">
        <v>1781999441</v>
      </c>
      <c r="I1733">
        <v>772136688</v>
      </c>
      <c r="J1733">
        <v>680750240</v>
      </c>
      <c r="K1733">
        <v>638850513</v>
      </c>
      <c r="P1733">
        <v>125</v>
      </c>
      <c r="Q1733" t="s">
        <v>3785</v>
      </c>
    </row>
    <row r="1734" spans="1:17" x14ac:dyDescent="0.3">
      <c r="A1734" t="s">
        <v>17</v>
      </c>
      <c r="B1734" t="str">
        <f>"688011"</f>
        <v>688011</v>
      </c>
      <c r="C1734" t="s">
        <v>3786</v>
      </c>
      <c r="D1734" t="s">
        <v>1136</v>
      </c>
      <c r="F1734">
        <v>1230725683</v>
      </c>
      <c r="G1734">
        <v>1229974384</v>
      </c>
      <c r="H1734">
        <v>1223931505</v>
      </c>
      <c r="I1734">
        <v>298004824</v>
      </c>
      <c r="J1734">
        <v>414253488</v>
      </c>
      <c r="K1734">
        <v>202177629</v>
      </c>
      <c r="P1734">
        <v>88</v>
      </c>
      <c r="Q1734" t="s">
        <v>3787</v>
      </c>
    </row>
    <row r="1735" spans="1:17" x14ac:dyDescent="0.3">
      <c r="A1735" t="s">
        <v>17</v>
      </c>
      <c r="B1735" t="str">
        <f>"688012"</f>
        <v>688012</v>
      </c>
      <c r="C1735" t="s">
        <v>3788</v>
      </c>
      <c r="D1735" t="s">
        <v>3187</v>
      </c>
      <c r="F1735">
        <v>13940019843</v>
      </c>
      <c r="G1735">
        <v>4369057695</v>
      </c>
      <c r="H1735">
        <v>3751076960</v>
      </c>
      <c r="I1735">
        <v>2116405815</v>
      </c>
      <c r="J1735">
        <v>179693066</v>
      </c>
      <c r="K1735">
        <v>-957361060</v>
      </c>
      <c r="P1735">
        <v>620</v>
      </c>
      <c r="Q1735" t="s">
        <v>3789</v>
      </c>
    </row>
    <row r="1736" spans="1:17" x14ac:dyDescent="0.3">
      <c r="A1736" t="s">
        <v>17</v>
      </c>
      <c r="B1736" t="str">
        <f>"688013"</f>
        <v>688013</v>
      </c>
      <c r="C1736" t="s">
        <v>3790</v>
      </c>
      <c r="D1736" t="s">
        <v>1077</v>
      </c>
      <c r="F1736">
        <v>512126900</v>
      </c>
      <c r="G1736">
        <v>465892647</v>
      </c>
      <c r="H1736">
        <v>107184822</v>
      </c>
      <c r="I1736">
        <v>82901502</v>
      </c>
      <c r="J1736">
        <v>79840454</v>
      </c>
      <c r="P1736">
        <v>64</v>
      </c>
      <c r="Q1736" t="s">
        <v>3791</v>
      </c>
    </row>
    <row r="1737" spans="1:17" x14ac:dyDescent="0.3">
      <c r="A1737" t="s">
        <v>17</v>
      </c>
      <c r="B1737" t="str">
        <f>"688015"</f>
        <v>688015</v>
      </c>
      <c r="C1737" t="s">
        <v>3792</v>
      </c>
      <c r="D1737" t="s">
        <v>1012</v>
      </c>
      <c r="F1737">
        <v>2292171543</v>
      </c>
      <c r="G1737">
        <v>1294704512</v>
      </c>
      <c r="H1737">
        <v>1083567905</v>
      </c>
      <c r="I1737">
        <v>399165892</v>
      </c>
      <c r="J1737">
        <v>344612812</v>
      </c>
      <c r="K1737">
        <v>310398414</v>
      </c>
      <c r="P1737">
        <v>278</v>
      </c>
      <c r="Q1737" t="s">
        <v>3793</v>
      </c>
    </row>
    <row r="1738" spans="1:17" x14ac:dyDescent="0.3">
      <c r="A1738" t="s">
        <v>17</v>
      </c>
      <c r="B1738" t="str">
        <f>"688016"</f>
        <v>688016</v>
      </c>
      <c r="C1738" t="s">
        <v>3794</v>
      </c>
      <c r="D1738" t="s">
        <v>1077</v>
      </c>
      <c r="F1738">
        <v>1494285442</v>
      </c>
      <c r="G1738">
        <v>1233972172</v>
      </c>
      <c r="H1738">
        <v>1065969981</v>
      </c>
      <c r="I1738">
        <v>216155155</v>
      </c>
      <c r="J1738">
        <v>188016691</v>
      </c>
      <c r="K1738">
        <v>123377799</v>
      </c>
      <c r="P1738">
        <v>551</v>
      </c>
      <c r="Q1738" t="s">
        <v>3795</v>
      </c>
    </row>
    <row r="1739" spans="1:17" x14ac:dyDescent="0.3">
      <c r="A1739" t="s">
        <v>17</v>
      </c>
      <c r="B1739" t="str">
        <f>"688017"</f>
        <v>688017</v>
      </c>
      <c r="C1739" t="s">
        <v>3796</v>
      </c>
      <c r="D1739" t="s">
        <v>2938</v>
      </c>
      <c r="F1739">
        <v>1836964049</v>
      </c>
      <c r="G1739">
        <v>1676180806</v>
      </c>
      <c r="H1739">
        <v>631830471</v>
      </c>
      <c r="I1739">
        <v>573041067</v>
      </c>
      <c r="J1739">
        <v>296974160</v>
      </c>
      <c r="P1739">
        <v>152</v>
      </c>
      <c r="Q1739" t="s">
        <v>3797</v>
      </c>
    </row>
    <row r="1740" spans="1:17" x14ac:dyDescent="0.3">
      <c r="A1740" t="s">
        <v>17</v>
      </c>
      <c r="B1740" t="str">
        <f>"688018"</f>
        <v>688018</v>
      </c>
      <c r="C1740" t="s">
        <v>3798</v>
      </c>
      <c r="D1740" t="s">
        <v>461</v>
      </c>
      <c r="F1740">
        <v>1823017913</v>
      </c>
      <c r="G1740">
        <v>1641130356</v>
      </c>
      <c r="H1740">
        <v>1609822892</v>
      </c>
      <c r="I1740">
        <v>311242102</v>
      </c>
      <c r="J1740">
        <v>209775266</v>
      </c>
      <c r="K1740">
        <v>121207349</v>
      </c>
      <c r="P1740">
        <v>317</v>
      </c>
      <c r="Q1740" t="s">
        <v>3799</v>
      </c>
    </row>
    <row r="1741" spans="1:17" x14ac:dyDescent="0.3">
      <c r="A1741" t="s">
        <v>17</v>
      </c>
      <c r="B1741" t="str">
        <f>"688019"</f>
        <v>688019</v>
      </c>
      <c r="C1741" t="s">
        <v>3800</v>
      </c>
      <c r="D1741" t="s">
        <v>2408</v>
      </c>
      <c r="F1741">
        <v>1201160935</v>
      </c>
      <c r="G1741">
        <v>1048104787</v>
      </c>
      <c r="H1741">
        <v>887569641</v>
      </c>
      <c r="I1741">
        <v>346757773</v>
      </c>
      <c r="J1741">
        <v>301772618</v>
      </c>
      <c r="K1741">
        <v>262005345</v>
      </c>
      <c r="P1741">
        <v>286</v>
      </c>
      <c r="Q1741" t="s">
        <v>3801</v>
      </c>
    </row>
    <row r="1742" spans="1:17" x14ac:dyDescent="0.3">
      <c r="A1742" t="s">
        <v>17</v>
      </c>
      <c r="B1742" t="str">
        <f>"688020"</f>
        <v>688020</v>
      </c>
      <c r="C1742" t="s">
        <v>3802</v>
      </c>
      <c r="D1742" t="s">
        <v>425</v>
      </c>
      <c r="F1742">
        <v>1625529923</v>
      </c>
      <c r="G1742">
        <v>1609714651</v>
      </c>
      <c r="H1742">
        <v>1522552177</v>
      </c>
      <c r="I1742">
        <v>414854528</v>
      </c>
      <c r="J1742">
        <v>347199255</v>
      </c>
      <c r="K1742">
        <v>250908205</v>
      </c>
      <c r="P1742">
        <v>253</v>
      </c>
      <c r="Q1742" t="s">
        <v>3803</v>
      </c>
    </row>
    <row r="1743" spans="1:17" x14ac:dyDescent="0.3">
      <c r="A1743" t="s">
        <v>17</v>
      </c>
      <c r="B1743" t="str">
        <f>"688021"</f>
        <v>688021</v>
      </c>
      <c r="C1743" t="s">
        <v>3804</v>
      </c>
      <c r="D1743" t="s">
        <v>985</v>
      </c>
      <c r="F1743">
        <v>936825749</v>
      </c>
      <c r="G1743">
        <v>895870462</v>
      </c>
      <c r="H1743">
        <v>831306334</v>
      </c>
      <c r="I1743">
        <v>322562587</v>
      </c>
      <c r="J1743">
        <v>284432012</v>
      </c>
      <c r="K1743">
        <v>152457427</v>
      </c>
      <c r="P1743">
        <v>79</v>
      </c>
      <c r="Q1743" t="s">
        <v>3805</v>
      </c>
    </row>
    <row r="1744" spans="1:17" x14ac:dyDescent="0.3">
      <c r="A1744" t="s">
        <v>17</v>
      </c>
      <c r="B1744" t="str">
        <f>"688022"</f>
        <v>688022</v>
      </c>
      <c r="C1744" t="s">
        <v>3806</v>
      </c>
      <c r="D1744" t="s">
        <v>741</v>
      </c>
      <c r="F1744">
        <v>933786294</v>
      </c>
      <c r="G1744">
        <v>896504726</v>
      </c>
      <c r="H1744">
        <v>875279016</v>
      </c>
      <c r="I1744">
        <v>182978704</v>
      </c>
      <c r="J1744">
        <v>114134803</v>
      </c>
      <c r="K1744">
        <v>38169729</v>
      </c>
      <c r="P1744">
        <v>164</v>
      </c>
      <c r="Q1744" t="s">
        <v>3807</v>
      </c>
    </row>
    <row r="1745" spans="1:17" x14ac:dyDescent="0.3">
      <c r="A1745" t="s">
        <v>17</v>
      </c>
      <c r="B1745" t="str">
        <f>"688023"</f>
        <v>688023</v>
      </c>
      <c r="C1745" t="s">
        <v>3808</v>
      </c>
      <c r="D1745" t="s">
        <v>1189</v>
      </c>
      <c r="F1745">
        <v>3091465764</v>
      </c>
      <c r="G1745">
        <v>1669428996</v>
      </c>
      <c r="H1745">
        <v>1550366513</v>
      </c>
      <c r="I1745">
        <v>506861616</v>
      </c>
      <c r="J1745">
        <v>432361769</v>
      </c>
      <c r="K1745">
        <v>233673823</v>
      </c>
      <c r="P1745">
        <v>249</v>
      </c>
      <c r="Q1745" t="s">
        <v>3809</v>
      </c>
    </row>
    <row r="1746" spans="1:17" x14ac:dyDescent="0.3">
      <c r="A1746" t="s">
        <v>17</v>
      </c>
      <c r="B1746" t="str">
        <f>"688025"</f>
        <v>688025</v>
      </c>
      <c r="C1746" t="s">
        <v>3810</v>
      </c>
      <c r="D1746" t="s">
        <v>3811</v>
      </c>
      <c r="F1746">
        <v>1726901132</v>
      </c>
      <c r="G1746">
        <v>1615014879</v>
      </c>
      <c r="H1746">
        <v>1570042438</v>
      </c>
      <c r="I1746">
        <v>590862505</v>
      </c>
      <c r="J1746">
        <v>329961689</v>
      </c>
      <c r="K1746">
        <v>137301462</v>
      </c>
      <c r="P1746">
        <v>158</v>
      </c>
      <c r="Q1746" t="s">
        <v>3812</v>
      </c>
    </row>
    <row r="1747" spans="1:17" x14ac:dyDescent="0.3">
      <c r="A1747" t="s">
        <v>17</v>
      </c>
      <c r="B1747" t="str">
        <f>"688026"</f>
        <v>688026</v>
      </c>
      <c r="C1747" t="s">
        <v>3813</v>
      </c>
      <c r="D1747" t="s">
        <v>1192</v>
      </c>
      <c r="F1747">
        <v>971819365</v>
      </c>
      <c r="G1747">
        <v>796893188</v>
      </c>
      <c r="H1747">
        <v>348114101</v>
      </c>
      <c r="I1747">
        <v>281960866</v>
      </c>
      <c r="J1747">
        <v>185923520</v>
      </c>
      <c r="K1747">
        <v>145567395</v>
      </c>
      <c r="P1747">
        <v>211</v>
      </c>
      <c r="Q1747" t="s">
        <v>3814</v>
      </c>
    </row>
    <row r="1748" spans="1:17" x14ac:dyDescent="0.3">
      <c r="A1748" t="s">
        <v>17</v>
      </c>
      <c r="B1748" t="str">
        <f>"688027"</f>
        <v>688027</v>
      </c>
      <c r="C1748" t="s">
        <v>3815</v>
      </c>
      <c r="D1748" t="s">
        <v>786</v>
      </c>
      <c r="F1748">
        <v>1665342741</v>
      </c>
      <c r="G1748">
        <v>1671032855</v>
      </c>
      <c r="H1748">
        <v>985604857</v>
      </c>
      <c r="I1748">
        <v>903958779</v>
      </c>
      <c r="J1748">
        <v>831468159</v>
      </c>
      <c r="K1748">
        <v>757153517</v>
      </c>
      <c r="P1748">
        <v>98</v>
      </c>
      <c r="Q1748" t="s">
        <v>3816</v>
      </c>
    </row>
    <row r="1749" spans="1:17" x14ac:dyDescent="0.3">
      <c r="A1749" t="s">
        <v>17</v>
      </c>
      <c r="B1749" t="str">
        <f>"688028"</f>
        <v>688028</v>
      </c>
      <c r="C1749" t="s">
        <v>3817</v>
      </c>
      <c r="D1749" t="s">
        <v>404</v>
      </c>
      <c r="F1749">
        <v>863061798</v>
      </c>
      <c r="G1749">
        <v>843899687</v>
      </c>
      <c r="H1749">
        <v>864975467</v>
      </c>
      <c r="I1749">
        <v>345642759</v>
      </c>
      <c r="J1749">
        <v>300344875</v>
      </c>
      <c r="K1749">
        <v>254203699</v>
      </c>
      <c r="P1749">
        <v>76</v>
      </c>
      <c r="Q1749" t="s">
        <v>3818</v>
      </c>
    </row>
    <row r="1750" spans="1:17" x14ac:dyDescent="0.3">
      <c r="A1750" t="s">
        <v>17</v>
      </c>
      <c r="B1750" t="str">
        <f>"688029"</f>
        <v>688029</v>
      </c>
      <c r="C1750" t="s">
        <v>3819</v>
      </c>
      <c r="D1750" t="s">
        <v>1077</v>
      </c>
      <c r="F1750">
        <v>2943321990</v>
      </c>
      <c r="G1750">
        <v>2610944909</v>
      </c>
      <c r="H1750">
        <v>2475014027</v>
      </c>
      <c r="I1750">
        <v>579704326</v>
      </c>
      <c r="J1750">
        <v>435728363</v>
      </c>
      <c r="K1750">
        <v>334541367</v>
      </c>
      <c r="P1750">
        <v>392</v>
      </c>
      <c r="Q1750" t="s">
        <v>3820</v>
      </c>
    </row>
    <row r="1751" spans="1:17" x14ac:dyDescent="0.3">
      <c r="A1751" t="s">
        <v>17</v>
      </c>
      <c r="B1751" t="str">
        <f>"688030"</f>
        <v>688030</v>
      </c>
      <c r="C1751" t="s">
        <v>3821</v>
      </c>
      <c r="D1751" t="s">
        <v>1189</v>
      </c>
      <c r="F1751">
        <v>1507258048</v>
      </c>
      <c r="G1751">
        <v>1425424406</v>
      </c>
      <c r="H1751">
        <v>1378931318</v>
      </c>
      <c r="I1751">
        <v>419610088</v>
      </c>
      <c r="J1751">
        <v>217582674</v>
      </c>
      <c r="K1751">
        <v>206716531</v>
      </c>
      <c r="P1751">
        <v>145</v>
      </c>
      <c r="Q1751" t="s">
        <v>3822</v>
      </c>
    </row>
    <row r="1752" spans="1:17" x14ac:dyDescent="0.3">
      <c r="A1752" t="s">
        <v>17</v>
      </c>
      <c r="B1752" t="str">
        <f>"688032"</f>
        <v>688032</v>
      </c>
      <c r="C1752" t="s">
        <v>3823</v>
      </c>
      <c r="D1752" t="s">
        <v>3824</v>
      </c>
      <c r="F1752">
        <v>5985278167</v>
      </c>
      <c r="G1752">
        <v>377154407</v>
      </c>
      <c r="H1752">
        <v>274380580</v>
      </c>
      <c r="I1752">
        <v>193842602</v>
      </c>
      <c r="J1752">
        <v>174237083</v>
      </c>
      <c r="P1752">
        <v>31</v>
      </c>
      <c r="Q1752" t="s">
        <v>3825</v>
      </c>
    </row>
    <row r="1753" spans="1:17" x14ac:dyDescent="0.3">
      <c r="A1753" t="s">
        <v>17</v>
      </c>
      <c r="B1753" t="str">
        <f>"688033"</f>
        <v>688033</v>
      </c>
      <c r="C1753" t="s">
        <v>3826</v>
      </c>
      <c r="D1753" t="s">
        <v>1012</v>
      </c>
      <c r="F1753">
        <v>2586742391</v>
      </c>
      <c r="G1753">
        <v>2416667505</v>
      </c>
      <c r="H1753">
        <v>2343307516</v>
      </c>
      <c r="I1753">
        <v>1230089672</v>
      </c>
      <c r="J1753">
        <v>1034759018</v>
      </c>
      <c r="K1753">
        <v>994969800</v>
      </c>
      <c r="P1753">
        <v>86</v>
      </c>
      <c r="Q1753" t="s">
        <v>3827</v>
      </c>
    </row>
    <row r="1754" spans="1:17" x14ac:dyDescent="0.3">
      <c r="A1754" t="s">
        <v>17</v>
      </c>
      <c r="B1754" t="str">
        <f>"688036"</f>
        <v>688036</v>
      </c>
      <c r="C1754" t="s">
        <v>3828</v>
      </c>
      <c r="D1754" t="s">
        <v>3526</v>
      </c>
      <c r="F1754">
        <v>14022648381</v>
      </c>
      <c r="G1754">
        <v>10492106355</v>
      </c>
      <c r="H1754">
        <v>8253990126</v>
      </c>
      <c r="I1754">
        <v>3916301750</v>
      </c>
      <c r="J1754">
        <v>3193886553</v>
      </c>
      <c r="K1754">
        <v>1938515057</v>
      </c>
      <c r="P1754">
        <v>596</v>
      </c>
      <c r="Q1754" t="s">
        <v>3829</v>
      </c>
    </row>
    <row r="1755" spans="1:17" x14ac:dyDescent="0.3">
      <c r="A1755" t="s">
        <v>17</v>
      </c>
      <c r="B1755" t="str">
        <f>"688037"</f>
        <v>688037</v>
      </c>
      <c r="C1755" t="s">
        <v>3830</v>
      </c>
      <c r="D1755" t="s">
        <v>3187</v>
      </c>
      <c r="F1755">
        <v>897248076</v>
      </c>
      <c r="G1755">
        <v>798597041</v>
      </c>
      <c r="H1755">
        <v>754896928</v>
      </c>
      <c r="I1755">
        <v>219876928</v>
      </c>
      <c r="J1755">
        <v>193179015</v>
      </c>
      <c r="K1755">
        <v>146352464</v>
      </c>
      <c r="P1755">
        <v>168</v>
      </c>
      <c r="Q1755" t="s">
        <v>3831</v>
      </c>
    </row>
    <row r="1756" spans="1:17" x14ac:dyDescent="0.3">
      <c r="A1756" t="s">
        <v>17</v>
      </c>
      <c r="B1756" t="str">
        <f>"688038"</f>
        <v>688038</v>
      </c>
      <c r="C1756" t="s">
        <v>3832</v>
      </c>
      <c r="D1756" t="s">
        <v>945</v>
      </c>
      <c r="F1756">
        <v>740355179</v>
      </c>
      <c r="G1756">
        <v>503956868</v>
      </c>
      <c r="H1756">
        <v>446817321</v>
      </c>
      <c r="I1756">
        <v>321063001</v>
      </c>
      <c r="J1756">
        <v>272562190</v>
      </c>
      <c r="P1756">
        <v>17</v>
      </c>
      <c r="Q1756" t="s">
        <v>3833</v>
      </c>
    </row>
    <row r="1757" spans="1:17" x14ac:dyDescent="0.3">
      <c r="A1757" t="s">
        <v>17</v>
      </c>
      <c r="B1757" t="str">
        <f>"688039"</f>
        <v>688039</v>
      </c>
      <c r="C1757" t="s">
        <v>3834</v>
      </c>
      <c r="D1757" t="s">
        <v>316</v>
      </c>
      <c r="F1757">
        <v>1532112968</v>
      </c>
      <c r="G1757">
        <v>1473350832</v>
      </c>
      <c r="H1757">
        <v>1397535489</v>
      </c>
      <c r="I1757">
        <v>383256765</v>
      </c>
      <c r="J1757">
        <v>319358707</v>
      </c>
      <c r="K1757">
        <v>100977463</v>
      </c>
      <c r="P1757">
        <v>155</v>
      </c>
      <c r="Q1757" t="s">
        <v>3835</v>
      </c>
    </row>
    <row r="1758" spans="1:17" x14ac:dyDescent="0.3">
      <c r="A1758" t="s">
        <v>17</v>
      </c>
      <c r="B1758" t="str">
        <f>"688046"</f>
        <v>688046</v>
      </c>
      <c r="C1758" t="s">
        <v>3836</v>
      </c>
      <c r="F1758">
        <v>785633044</v>
      </c>
      <c r="G1758">
        <v>657243670</v>
      </c>
      <c r="H1758">
        <v>240473383</v>
      </c>
      <c r="I1758">
        <v>27737308</v>
      </c>
      <c r="P1758">
        <v>2</v>
      </c>
      <c r="Q1758" t="s">
        <v>3837</v>
      </c>
    </row>
    <row r="1759" spans="1:17" x14ac:dyDescent="0.3">
      <c r="A1759" t="s">
        <v>17</v>
      </c>
      <c r="B1759" t="str">
        <f>"688048"</f>
        <v>688048</v>
      </c>
      <c r="C1759" t="s">
        <v>3838</v>
      </c>
      <c r="F1759">
        <v>637342088</v>
      </c>
      <c r="G1759">
        <v>506481327</v>
      </c>
      <c r="H1759">
        <v>254296406</v>
      </c>
      <c r="I1759">
        <v>100240542</v>
      </c>
      <c r="P1759">
        <v>12</v>
      </c>
      <c r="Q1759" t="s">
        <v>3839</v>
      </c>
    </row>
    <row r="1760" spans="1:17" x14ac:dyDescent="0.3">
      <c r="A1760" t="s">
        <v>17</v>
      </c>
      <c r="B1760" t="str">
        <f>"688049"</f>
        <v>688049</v>
      </c>
      <c r="C1760" t="s">
        <v>3840</v>
      </c>
      <c r="D1760" t="s">
        <v>461</v>
      </c>
      <c r="F1760">
        <v>1712037242</v>
      </c>
      <c r="G1760">
        <v>417172178</v>
      </c>
      <c r="H1760">
        <v>282117027</v>
      </c>
      <c r="I1760">
        <v>229745955</v>
      </c>
      <c r="J1760">
        <v>184055120</v>
      </c>
      <c r="P1760">
        <v>21</v>
      </c>
      <c r="Q1760" t="s">
        <v>3841</v>
      </c>
    </row>
    <row r="1761" spans="1:17" x14ac:dyDescent="0.3">
      <c r="A1761" t="s">
        <v>17</v>
      </c>
      <c r="B1761" t="str">
        <f>"688050"</f>
        <v>688050</v>
      </c>
      <c r="C1761" t="s">
        <v>3842</v>
      </c>
      <c r="D1761" t="s">
        <v>1077</v>
      </c>
      <c r="F1761">
        <v>1673846061</v>
      </c>
      <c r="G1761">
        <v>1518102671</v>
      </c>
      <c r="H1761">
        <v>617555279</v>
      </c>
      <c r="I1761">
        <v>550870166</v>
      </c>
      <c r="J1761">
        <v>198444267</v>
      </c>
      <c r="K1761">
        <v>187210871</v>
      </c>
      <c r="P1761">
        <v>411</v>
      </c>
      <c r="Q1761" t="s">
        <v>3843</v>
      </c>
    </row>
    <row r="1762" spans="1:17" x14ac:dyDescent="0.3">
      <c r="A1762" t="s">
        <v>17</v>
      </c>
      <c r="B1762" t="str">
        <f>"688051"</f>
        <v>688051</v>
      </c>
      <c r="C1762" t="s">
        <v>3844</v>
      </c>
      <c r="D1762" t="s">
        <v>316</v>
      </c>
      <c r="F1762">
        <v>1322999392</v>
      </c>
      <c r="G1762">
        <v>1492372421</v>
      </c>
      <c r="H1762">
        <v>481470394</v>
      </c>
      <c r="I1762">
        <v>199686741</v>
      </c>
      <c r="J1762">
        <v>135683365</v>
      </c>
      <c r="K1762">
        <v>99898118</v>
      </c>
      <c r="P1762">
        <v>91</v>
      </c>
      <c r="Q1762" t="s">
        <v>3845</v>
      </c>
    </row>
    <row r="1763" spans="1:17" x14ac:dyDescent="0.3">
      <c r="A1763" t="s">
        <v>17</v>
      </c>
      <c r="B1763" t="str">
        <f>"688052"</f>
        <v>688052</v>
      </c>
      <c r="C1763" t="s">
        <v>3846</v>
      </c>
      <c r="F1763">
        <v>549732973</v>
      </c>
      <c r="G1763">
        <v>317110076</v>
      </c>
      <c r="H1763">
        <v>113257969</v>
      </c>
      <c r="I1763">
        <v>33884318</v>
      </c>
      <c r="P1763">
        <v>11</v>
      </c>
      <c r="Q1763" t="s">
        <v>3847</v>
      </c>
    </row>
    <row r="1764" spans="1:17" x14ac:dyDescent="0.3">
      <c r="A1764" t="s">
        <v>17</v>
      </c>
      <c r="B1764" t="str">
        <f>"688055"</f>
        <v>688055</v>
      </c>
      <c r="C1764" t="s">
        <v>3848</v>
      </c>
      <c r="D1764" t="s">
        <v>1117</v>
      </c>
      <c r="F1764">
        <v>4629795866</v>
      </c>
      <c r="G1764">
        <v>3752450565</v>
      </c>
      <c r="H1764">
        <v>3135080296</v>
      </c>
      <c r="I1764">
        <v>2890050236</v>
      </c>
      <c r="J1764">
        <v>2601620904</v>
      </c>
      <c r="K1764">
        <v>1573921233</v>
      </c>
      <c r="P1764">
        <v>76</v>
      </c>
      <c r="Q1764" t="s">
        <v>3849</v>
      </c>
    </row>
    <row r="1765" spans="1:17" x14ac:dyDescent="0.3">
      <c r="A1765" t="s">
        <v>17</v>
      </c>
      <c r="B1765" t="str">
        <f>"688056"</f>
        <v>688056</v>
      </c>
      <c r="C1765" t="s">
        <v>3850</v>
      </c>
      <c r="D1765" t="s">
        <v>2566</v>
      </c>
      <c r="F1765">
        <v>786426384</v>
      </c>
      <c r="G1765">
        <v>740055406</v>
      </c>
      <c r="H1765">
        <v>326732368</v>
      </c>
      <c r="I1765">
        <v>295621541</v>
      </c>
      <c r="J1765">
        <v>231946755</v>
      </c>
      <c r="K1765">
        <v>231416664</v>
      </c>
      <c r="P1765">
        <v>50</v>
      </c>
      <c r="Q1765" t="s">
        <v>3851</v>
      </c>
    </row>
    <row r="1766" spans="1:17" x14ac:dyDescent="0.3">
      <c r="A1766" t="s">
        <v>17</v>
      </c>
      <c r="B1766" t="str">
        <f>"688057"</f>
        <v>688057</v>
      </c>
      <c r="C1766" t="s">
        <v>3852</v>
      </c>
      <c r="D1766" t="s">
        <v>33</v>
      </c>
      <c r="F1766">
        <v>3185244630</v>
      </c>
      <c r="G1766">
        <v>3080504972</v>
      </c>
      <c r="H1766">
        <v>1157587201</v>
      </c>
      <c r="I1766">
        <v>1044309757</v>
      </c>
      <c r="J1766">
        <v>921274478</v>
      </c>
      <c r="K1766">
        <v>630586295</v>
      </c>
      <c r="P1766">
        <v>116</v>
      </c>
      <c r="Q1766" t="s">
        <v>3853</v>
      </c>
    </row>
    <row r="1767" spans="1:17" x14ac:dyDescent="0.3">
      <c r="A1767" t="s">
        <v>17</v>
      </c>
      <c r="B1767" t="str">
        <f>"688058"</f>
        <v>688058</v>
      </c>
      <c r="C1767" t="s">
        <v>3854</v>
      </c>
      <c r="D1767" t="s">
        <v>1189</v>
      </c>
      <c r="F1767">
        <v>952398366</v>
      </c>
      <c r="G1767">
        <v>980380212</v>
      </c>
      <c r="H1767">
        <v>939325075</v>
      </c>
      <c r="I1767">
        <v>168051546</v>
      </c>
      <c r="J1767">
        <v>126504022</v>
      </c>
      <c r="K1767">
        <v>101725551</v>
      </c>
      <c r="P1767">
        <v>96</v>
      </c>
      <c r="Q1767" t="s">
        <v>3855</v>
      </c>
    </row>
    <row r="1768" spans="1:17" x14ac:dyDescent="0.3">
      <c r="A1768" t="s">
        <v>17</v>
      </c>
      <c r="B1768" t="str">
        <f>"688059"</f>
        <v>688059</v>
      </c>
      <c r="C1768" t="s">
        <v>3856</v>
      </c>
      <c r="D1768" t="s">
        <v>274</v>
      </c>
      <c r="F1768">
        <v>889205138</v>
      </c>
      <c r="G1768">
        <v>411169988</v>
      </c>
      <c r="H1768">
        <v>322165070</v>
      </c>
      <c r="I1768">
        <v>256954347</v>
      </c>
      <c r="J1768">
        <v>144660516</v>
      </c>
      <c r="P1768">
        <v>105</v>
      </c>
      <c r="Q1768" t="s">
        <v>3857</v>
      </c>
    </row>
    <row r="1769" spans="1:17" x14ac:dyDescent="0.3">
      <c r="A1769" t="s">
        <v>17</v>
      </c>
      <c r="B1769" t="str">
        <f>"688060"</f>
        <v>688060</v>
      </c>
      <c r="C1769" t="s">
        <v>3858</v>
      </c>
      <c r="D1769" t="s">
        <v>236</v>
      </c>
      <c r="F1769">
        <v>957059998</v>
      </c>
      <c r="G1769">
        <v>918002547</v>
      </c>
      <c r="H1769">
        <v>241722620</v>
      </c>
      <c r="I1769">
        <v>176315918</v>
      </c>
      <c r="J1769">
        <v>135042581</v>
      </c>
      <c r="K1769">
        <v>104858494</v>
      </c>
      <c r="P1769">
        <v>75</v>
      </c>
      <c r="Q1769" t="s">
        <v>3859</v>
      </c>
    </row>
    <row r="1770" spans="1:17" x14ac:dyDescent="0.3">
      <c r="A1770" t="s">
        <v>17</v>
      </c>
      <c r="B1770" t="str">
        <f>"688062"</f>
        <v>688062</v>
      </c>
      <c r="C1770" t="s">
        <v>3860</v>
      </c>
      <c r="D1770" t="s">
        <v>143</v>
      </c>
      <c r="F1770">
        <v>1010804531</v>
      </c>
      <c r="G1770">
        <v>1470660724</v>
      </c>
      <c r="H1770">
        <v>756634939</v>
      </c>
      <c r="I1770">
        <v>-141030163</v>
      </c>
      <c r="J1770">
        <v>83407167</v>
      </c>
      <c r="P1770">
        <v>14</v>
      </c>
      <c r="Q1770" t="s">
        <v>3861</v>
      </c>
    </row>
    <row r="1771" spans="1:17" x14ac:dyDescent="0.3">
      <c r="A1771" t="s">
        <v>17</v>
      </c>
      <c r="B1771" t="str">
        <f>"688063"</f>
        <v>688063</v>
      </c>
      <c r="C1771" t="s">
        <v>3862</v>
      </c>
      <c r="D1771" t="s">
        <v>359</v>
      </c>
      <c r="F1771">
        <v>2969981072</v>
      </c>
      <c r="G1771">
        <v>2733523312</v>
      </c>
      <c r="H1771">
        <v>444450299</v>
      </c>
      <c r="I1771">
        <v>266229993</v>
      </c>
      <c r="J1771">
        <v>220770707</v>
      </c>
      <c r="P1771">
        <v>212</v>
      </c>
      <c r="Q1771" t="s">
        <v>3863</v>
      </c>
    </row>
    <row r="1772" spans="1:17" x14ac:dyDescent="0.3">
      <c r="A1772" t="s">
        <v>17</v>
      </c>
      <c r="B1772" t="str">
        <f>"688065"</f>
        <v>688065</v>
      </c>
      <c r="C1772" t="s">
        <v>3864</v>
      </c>
      <c r="D1772" t="s">
        <v>386</v>
      </c>
      <c r="F1772">
        <v>10665095835</v>
      </c>
      <c r="G1772">
        <v>10384743849</v>
      </c>
      <c r="H1772">
        <v>4641857606</v>
      </c>
      <c r="I1772">
        <v>3156742065</v>
      </c>
      <c r="J1772">
        <v>2196812296</v>
      </c>
      <c r="K1772">
        <v>1218829277</v>
      </c>
      <c r="P1772">
        <v>107</v>
      </c>
      <c r="Q1772" t="s">
        <v>3865</v>
      </c>
    </row>
    <row r="1773" spans="1:17" x14ac:dyDescent="0.3">
      <c r="A1773" t="s">
        <v>17</v>
      </c>
      <c r="B1773" t="str">
        <f>"688066"</f>
        <v>688066</v>
      </c>
      <c r="C1773" t="s">
        <v>3866</v>
      </c>
      <c r="D1773" t="s">
        <v>316</v>
      </c>
      <c r="F1773">
        <v>2261672855</v>
      </c>
      <c r="G1773">
        <v>1341947416</v>
      </c>
      <c r="H1773">
        <v>1203969642</v>
      </c>
      <c r="I1773">
        <v>478553470</v>
      </c>
      <c r="J1773">
        <v>417295296</v>
      </c>
      <c r="K1773">
        <v>212031742</v>
      </c>
      <c r="P1773">
        <v>159</v>
      </c>
      <c r="Q1773" t="s">
        <v>3867</v>
      </c>
    </row>
    <row r="1774" spans="1:17" x14ac:dyDescent="0.3">
      <c r="A1774" t="s">
        <v>17</v>
      </c>
      <c r="B1774" t="str">
        <f>"688067"</f>
        <v>688067</v>
      </c>
      <c r="C1774" t="s">
        <v>3868</v>
      </c>
      <c r="D1774" t="s">
        <v>1305</v>
      </c>
      <c r="F1774">
        <v>477579653</v>
      </c>
      <c r="G1774">
        <v>236719197</v>
      </c>
      <c r="H1774">
        <v>252508791</v>
      </c>
      <c r="I1774">
        <v>217273293</v>
      </c>
      <c r="J1774">
        <v>189945934</v>
      </c>
      <c r="P1774">
        <v>35</v>
      </c>
      <c r="Q1774" t="s">
        <v>3869</v>
      </c>
    </row>
    <row r="1775" spans="1:17" x14ac:dyDescent="0.3">
      <c r="A1775" t="s">
        <v>17</v>
      </c>
      <c r="B1775" t="str">
        <f>"688068"</f>
        <v>688068</v>
      </c>
      <c r="C1775" t="s">
        <v>3870</v>
      </c>
      <c r="D1775" t="s">
        <v>1305</v>
      </c>
      <c r="F1775">
        <v>2843524711</v>
      </c>
      <c r="G1775">
        <v>742728504</v>
      </c>
      <c r="H1775">
        <v>645157287</v>
      </c>
      <c r="I1775">
        <v>209791196</v>
      </c>
      <c r="J1775">
        <v>161650359</v>
      </c>
      <c r="K1775">
        <v>130976342</v>
      </c>
      <c r="P1775">
        <v>254</v>
      </c>
      <c r="Q1775" t="s">
        <v>3871</v>
      </c>
    </row>
    <row r="1776" spans="1:17" x14ac:dyDescent="0.3">
      <c r="A1776" t="s">
        <v>17</v>
      </c>
      <c r="B1776" t="str">
        <f>"688069"</f>
        <v>688069</v>
      </c>
      <c r="C1776" t="s">
        <v>3872</v>
      </c>
      <c r="D1776" t="s">
        <v>33</v>
      </c>
      <c r="F1776">
        <v>1486265259</v>
      </c>
      <c r="G1776">
        <v>1412759182</v>
      </c>
      <c r="H1776">
        <v>314027690</v>
      </c>
      <c r="I1776">
        <v>233673518</v>
      </c>
      <c r="J1776">
        <v>94436537</v>
      </c>
      <c r="K1776">
        <v>53113143</v>
      </c>
      <c r="P1776">
        <v>79</v>
      </c>
      <c r="Q1776" t="s">
        <v>3873</v>
      </c>
    </row>
    <row r="1777" spans="1:17" x14ac:dyDescent="0.3">
      <c r="A1777" t="s">
        <v>17</v>
      </c>
      <c r="B1777" t="str">
        <f>"688070"</f>
        <v>688070</v>
      </c>
      <c r="C1777" t="s">
        <v>3874</v>
      </c>
      <c r="D1777" t="s">
        <v>98</v>
      </c>
      <c r="F1777">
        <v>695243187</v>
      </c>
      <c r="G1777">
        <v>291332012</v>
      </c>
      <c r="H1777">
        <v>265108658</v>
      </c>
      <c r="I1777">
        <v>122132999</v>
      </c>
      <c r="J1777">
        <v>97940196</v>
      </c>
      <c r="P1777">
        <v>43</v>
      </c>
      <c r="Q1777" t="s">
        <v>3875</v>
      </c>
    </row>
    <row r="1778" spans="1:17" x14ac:dyDescent="0.3">
      <c r="A1778" t="s">
        <v>17</v>
      </c>
      <c r="B1778" t="str">
        <f>"688071"</f>
        <v>688071</v>
      </c>
      <c r="C1778" t="s">
        <v>3876</v>
      </c>
      <c r="D1778" t="s">
        <v>741</v>
      </c>
      <c r="F1778">
        <v>463977364</v>
      </c>
      <c r="G1778">
        <v>212066616</v>
      </c>
      <c r="H1778">
        <v>170061087</v>
      </c>
      <c r="I1778">
        <v>51596712</v>
      </c>
      <c r="J1778">
        <v>40227621</v>
      </c>
      <c r="P1778">
        <v>28</v>
      </c>
      <c r="Q1778" t="s">
        <v>3877</v>
      </c>
    </row>
    <row r="1779" spans="1:17" x14ac:dyDescent="0.3">
      <c r="A1779" t="s">
        <v>17</v>
      </c>
      <c r="B1779" t="str">
        <f>"688072"</f>
        <v>688072</v>
      </c>
      <c r="C1779" t="s">
        <v>3878</v>
      </c>
      <c r="F1779">
        <v>1192607666</v>
      </c>
      <c r="G1779">
        <v>1122209674</v>
      </c>
      <c r="H1779">
        <v>814269557</v>
      </c>
      <c r="I1779">
        <v>694153505</v>
      </c>
      <c r="P1779">
        <v>5</v>
      </c>
      <c r="Q1779" t="s">
        <v>3879</v>
      </c>
    </row>
    <row r="1780" spans="1:17" x14ac:dyDescent="0.3">
      <c r="A1780" t="s">
        <v>17</v>
      </c>
      <c r="B1780" t="str">
        <f>"688075"</f>
        <v>688075</v>
      </c>
      <c r="C1780" t="s">
        <v>3880</v>
      </c>
      <c r="D1780" t="s">
        <v>1305</v>
      </c>
      <c r="F1780">
        <v>2606497476</v>
      </c>
      <c r="G1780">
        <v>811690972</v>
      </c>
      <c r="H1780">
        <v>162364714</v>
      </c>
      <c r="I1780">
        <v>102529212</v>
      </c>
      <c r="J1780">
        <v>63355350</v>
      </c>
      <c r="P1780">
        <v>37</v>
      </c>
      <c r="Q1780" t="s">
        <v>3881</v>
      </c>
    </row>
    <row r="1781" spans="1:17" x14ac:dyDescent="0.3">
      <c r="A1781" t="s">
        <v>17</v>
      </c>
      <c r="B1781" t="str">
        <f>"688076"</f>
        <v>688076</v>
      </c>
      <c r="C1781" t="s">
        <v>3882</v>
      </c>
      <c r="D1781" t="s">
        <v>1461</v>
      </c>
      <c r="F1781">
        <v>1811382763</v>
      </c>
      <c r="G1781">
        <v>963343985</v>
      </c>
      <c r="H1781">
        <v>834287030</v>
      </c>
      <c r="I1781">
        <v>778397809</v>
      </c>
      <c r="J1781">
        <v>321199089</v>
      </c>
      <c r="P1781">
        <v>53</v>
      </c>
      <c r="Q1781" t="s">
        <v>3883</v>
      </c>
    </row>
    <row r="1782" spans="1:17" x14ac:dyDescent="0.3">
      <c r="A1782" t="s">
        <v>17</v>
      </c>
      <c r="B1782" t="str">
        <f>"688077"</f>
        <v>688077</v>
      </c>
      <c r="C1782" t="s">
        <v>3884</v>
      </c>
      <c r="D1782" t="s">
        <v>808</v>
      </c>
      <c r="F1782">
        <v>1049037627</v>
      </c>
      <c r="G1782">
        <v>913277639</v>
      </c>
      <c r="H1782">
        <v>371153478</v>
      </c>
      <c r="I1782">
        <v>324893853</v>
      </c>
      <c r="J1782">
        <v>291792864</v>
      </c>
      <c r="K1782">
        <v>255877268</v>
      </c>
      <c r="P1782">
        <v>78</v>
      </c>
      <c r="Q1782" t="s">
        <v>3885</v>
      </c>
    </row>
    <row r="1783" spans="1:17" x14ac:dyDescent="0.3">
      <c r="A1783" t="s">
        <v>17</v>
      </c>
      <c r="B1783" t="str">
        <f>"688078"</f>
        <v>688078</v>
      </c>
      <c r="C1783" t="s">
        <v>3886</v>
      </c>
      <c r="D1783" t="s">
        <v>1189</v>
      </c>
      <c r="F1783">
        <v>567089879</v>
      </c>
      <c r="G1783">
        <v>511666114</v>
      </c>
      <c r="H1783">
        <v>519418995</v>
      </c>
      <c r="I1783">
        <v>157620314</v>
      </c>
      <c r="J1783">
        <v>136448266</v>
      </c>
      <c r="K1783">
        <v>106247780</v>
      </c>
      <c r="P1783">
        <v>83</v>
      </c>
      <c r="Q1783" t="s">
        <v>3887</v>
      </c>
    </row>
    <row r="1784" spans="1:17" x14ac:dyDescent="0.3">
      <c r="A1784" t="s">
        <v>17</v>
      </c>
      <c r="B1784" t="str">
        <f>"688079"</f>
        <v>688079</v>
      </c>
      <c r="C1784" t="s">
        <v>3888</v>
      </c>
      <c r="D1784" t="s">
        <v>164</v>
      </c>
      <c r="F1784">
        <v>1577589378</v>
      </c>
      <c r="G1784">
        <v>578499840</v>
      </c>
      <c r="H1784">
        <v>434418125</v>
      </c>
      <c r="I1784">
        <v>156297118</v>
      </c>
      <c r="J1784">
        <v>55169149</v>
      </c>
      <c r="P1784">
        <v>36</v>
      </c>
      <c r="Q1784" t="s">
        <v>3889</v>
      </c>
    </row>
    <row r="1785" spans="1:17" x14ac:dyDescent="0.3">
      <c r="A1785" t="s">
        <v>17</v>
      </c>
      <c r="B1785" t="str">
        <f>"688080"</f>
        <v>688080</v>
      </c>
      <c r="C1785" t="s">
        <v>3890</v>
      </c>
      <c r="D1785" t="s">
        <v>595</v>
      </c>
      <c r="F1785">
        <v>746594841</v>
      </c>
      <c r="G1785">
        <v>650276111</v>
      </c>
      <c r="H1785">
        <v>309482285</v>
      </c>
      <c r="I1785">
        <v>255268730</v>
      </c>
      <c r="J1785">
        <v>209183807</v>
      </c>
      <c r="K1785">
        <v>106588126</v>
      </c>
      <c r="P1785">
        <v>87</v>
      </c>
      <c r="Q1785" t="s">
        <v>3891</v>
      </c>
    </row>
    <row r="1786" spans="1:17" x14ac:dyDescent="0.3">
      <c r="A1786" t="s">
        <v>17</v>
      </c>
      <c r="B1786" t="str">
        <f>"688081"</f>
        <v>688081</v>
      </c>
      <c r="C1786" t="s">
        <v>3892</v>
      </c>
      <c r="D1786" t="s">
        <v>1136</v>
      </c>
      <c r="F1786">
        <v>670645167</v>
      </c>
      <c r="G1786">
        <v>729677731</v>
      </c>
      <c r="H1786">
        <v>713938718</v>
      </c>
      <c r="I1786">
        <v>209860981</v>
      </c>
      <c r="J1786">
        <v>146230800</v>
      </c>
      <c r="K1786">
        <v>90008257</v>
      </c>
      <c r="P1786">
        <v>55</v>
      </c>
      <c r="Q1786" t="s">
        <v>3893</v>
      </c>
    </row>
    <row r="1787" spans="1:17" x14ac:dyDescent="0.3">
      <c r="A1787" t="s">
        <v>17</v>
      </c>
      <c r="B1787" t="str">
        <f>"688082"</f>
        <v>688082</v>
      </c>
      <c r="C1787" t="s">
        <v>3894</v>
      </c>
      <c r="D1787" t="s">
        <v>3187</v>
      </c>
      <c r="F1787">
        <v>4814961103</v>
      </c>
      <c r="G1787">
        <v>1048673324</v>
      </c>
      <c r="H1787">
        <v>829928992</v>
      </c>
      <c r="I1787">
        <v>145047456</v>
      </c>
      <c r="J1787">
        <v>48358582</v>
      </c>
      <c r="P1787">
        <v>35</v>
      </c>
      <c r="Q1787" t="s">
        <v>3895</v>
      </c>
    </row>
    <row r="1788" spans="1:17" x14ac:dyDescent="0.3">
      <c r="A1788" t="s">
        <v>17</v>
      </c>
      <c r="B1788" t="str">
        <f>"688083"</f>
        <v>688083</v>
      </c>
      <c r="C1788" t="s">
        <v>3896</v>
      </c>
      <c r="D1788" t="s">
        <v>945</v>
      </c>
      <c r="F1788">
        <v>2812356704</v>
      </c>
      <c r="G1788">
        <v>490862945</v>
      </c>
      <c r="H1788">
        <v>410086629</v>
      </c>
      <c r="I1788">
        <v>157849825</v>
      </c>
      <c r="J1788">
        <v>72770244</v>
      </c>
      <c r="P1788">
        <v>130</v>
      </c>
      <c r="Q1788" t="s">
        <v>3897</v>
      </c>
    </row>
    <row r="1789" spans="1:17" x14ac:dyDescent="0.3">
      <c r="A1789" t="s">
        <v>17</v>
      </c>
      <c r="B1789" t="str">
        <f>"688085"</f>
        <v>688085</v>
      </c>
      <c r="C1789" t="s">
        <v>3898</v>
      </c>
      <c r="D1789" t="s">
        <v>1077</v>
      </c>
      <c r="F1789">
        <v>1685852122</v>
      </c>
      <c r="G1789">
        <v>1534426013</v>
      </c>
      <c r="H1789">
        <v>437809842</v>
      </c>
      <c r="I1789">
        <v>340430676</v>
      </c>
      <c r="J1789">
        <v>289073243</v>
      </c>
      <c r="K1789">
        <v>158187174</v>
      </c>
      <c r="P1789">
        <v>197</v>
      </c>
      <c r="Q1789" t="s">
        <v>3899</v>
      </c>
    </row>
    <row r="1790" spans="1:17" x14ac:dyDescent="0.3">
      <c r="A1790" t="s">
        <v>17</v>
      </c>
      <c r="B1790" t="str">
        <f>"688086"</f>
        <v>688086</v>
      </c>
      <c r="C1790" t="s">
        <v>3900</v>
      </c>
      <c r="D1790" t="s">
        <v>236</v>
      </c>
      <c r="F1790">
        <v>1566607590</v>
      </c>
      <c r="G1790">
        <v>1850389526</v>
      </c>
      <c r="H1790">
        <v>897989333</v>
      </c>
      <c r="I1790">
        <v>769646062</v>
      </c>
      <c r="J1790">
        <v>434663462</v>
      </c>
      <c r="K1790">
        <v>219433221</v>
      </c>
      <c r="P1790">
        <v>84</v>
      </c>
      <c r="Q1790" t="s">
        <v>3901</v>
      </c>
    </row>
    <row r="1791" spans="1:17" x14ac:dyDescent="0.3">
      <c r="A1791" t="s">
        <v>17</v>
      </c>
      <c r="B1791" t="str">
        <f>"688087"</f>
        <v>688087</v>
      </c>
      <c r="C1791" t="s">
        <v>3902</v>
      </c>
      <c r="D1791" t="s">
        <v>1192</v>
      </c>
      <c r="F1791">
        <v>1850472719</v>
      </c>
      <c r="G1791">
        <v>966804203</v>
      </c>
      <c r="H1791">
        <v>704017131</v>
      </c>
      <c r="I1791">
        <v>577886860</v>
      </c>
      <c r="J1791">
        <v>489149248</v>
      </c>
      <c r="P1791">
        <v>36</v>
      </c>
      <c r="Q1791" t="s">
        <v>3903</v>
      </c>
    </row>
    <row r="1792" spans="1:17" x14ac:dyDescent="0.3">
      <c r="A1792" t="s">
        <v>17</v>
      </c>
      <c r="B1792" t="str">
        <f>"688088"</f>
        <v>688088</v>
      </c>
      <c r="C1792" t="s">
        <v>3904</v>
      </c>
      <c r="D1792" t="s">
        <v>316</v>
      </c>
      <c r="F1792">
        <v>2542131066</v>
      </c>
      <c r="G1792">
        <v>2694956074</v>
      </c>
      <c r="H1792">
        <v>2499261460</v>
      </c>
      <c r="I1792">
        <v>1046067169</v>
      </c>
      <c r="J1792">
        <v>290423504</v>
      </c>
      <c r="K1792">
        <v>143236237</v>
      </c>
      <c r="P1792">
        <v>271</v>
      </c>
      <c r="Q1792" t="s">
        <v>3905</v>
      </c>
    </row>
    <row r="1793" spans="1:17" x14ac:dyDescent="0.3">
      <c r="A1793" t="s">
        <v>17</v>
      </c>
      <c r="B1793" t="str">
        <f>"688089"</f>
        <v>688089</v>
      </c>
      <c r="C1793" t="s">
        <v>3906</v>
      </c>
      <c r="D1793" t="s">
        <v>677</v>
      </c>
      <c r="F1793">
        <v>1381023991</v>
      </c>
      <c r="G1793">
        <v>1317930643</v>
      </c>
      <c r="H1793">
        <v>1248339740</v>
      </c>
      <c r="I1793">
        <v>526544064</v>
      </c>
      <c r="J1793">
        <v>465575947</v>
      </c>
      <c r="K1793">
        <v>403592752</v>
      </c>
      <c r="P1793">
        <v>150</v>
      </c>
      <c r="Q1793" t="s">
        <v>3907</v>
      </c>
    </row>
    <row r="1794" spans="1:17" x14ac:dyDescent="0.3">
      <c r="A1794" t="s">
        <v>17</v>
      </c>
      <c r="B1794" t="str">
        <f>"688090"</f>
        <v>688090</v>
      </c>
      <c r="C1794" t="s">
        <v>3908</v>
      </c>
      <c r="D1794" t="s">
        <v>2938</v>
      </c>
      <c r="F1794">
        <v>946235824</v>
      </c>
      <c r="G1794">
        <v>933645228</v>
      </c>
      <c r="H1794">
        <v>509587497</v>
      </c>
      <c r="I1794">
        <v>448489950</v>
      </c>
      <c r="J1794">
        <v>359240965</v>
      </c>
      <c r="K1794">
        <v>308842561</v>
      </c>
      <c r="P1794">
        <v>63</v>
      </c>
      <c r="Q1794" t="s">
        <v>3909</v>
      </c>
    </row>
    <row r="1795" spans="1:17" x14ac:dyDescent="0.3">
      <c r="A1795" t="s">
        <v>17</v>
      </c>
      <c r="B1795" t="str">
        <f>"688091"</f>
        <v>688091</v>
      </c>
      <c r="C1795" t="s">
        <v>3910</v>
      </c>
      <c r="D1795" t="s">
        <v>143</v>
      </c>
      <c r="F1795">
        <v>1175539760</v>
      </c>
      <c r="G1795">
        <v>243506332</v>
      </c>
      <c r="H1795">
        <v>265353231</v>
      </c>
      <c r="I1795">
        <v>212178881</v>
      </c>
      <c r="J1795">
        <v>197567904</v>
      </c>
      <c r="P1795">
        <v>14</v>
      </c>
      <c r="Q1795" t="s">
        <v>3911</v>
      </c>
    </row>
    <row r="1796" spans="1:17" x14ac:dyDescent="0.3">
      <c r="A1796" t="s">
        <v>17</v>
      </c>
      <c r="B1796" t="str">
        <f>"688092"</f>
        <v>688092</v>
      </c>
      <c r="C1796" t="s">
        <v>3912</v>
      </c>
      <c r="D1796" t="s">
        <v>741</v>
      </c>
      <c r="F1796">
        <v>521326502</v>
      </c>
      <c r="G1796">
        <v>246789633</v>
      </c>
      <c r="H1796">
        <v>197896717</v>
      </c>
      <c r="I1796">
        <v>163160799</v>
      </c>
      <c r="J1796">
        <v>102132198</v>
      </c>
      <c r="P1796">
        <v>29</v>
      </c>
      <c r="Q1796" t="s">
        <v>3913</v>
      </c>
    </row>
    <row r="1797" spans="1:17" x14ac:dyDescent="0.3">
      <c r="A1797" t="s">
        <v>17</v>
      </c>
      <c r="B1797" t="str">
        <f>"688093"</f>
        <v>688093</v>
      </c>
      <c r="C1797" t="s">
        <v>3914</v>
      </c>
      <c r="D1797" t="s">
        <v>651</v>
      </c>
      <c r="F1797">
        <v>1247811669</v>
      </c>
      <c r="G1797">
        <v>1091993471</v>
      </c>
      <c r="H1797">
        <v>275600666</v>
      </c>
      <c r="I1797">
        <v>213156398</v>
      </c>
      <c r="J1797">
        <v>127947061</v>
      </c>
      <c r="P1797">
        <v>59</v>
      </c>
      <c r="Q1797" t="s">
        <v>3915</v>
      </c>
    </row>
    <row r="1798" spans="1:17" x14ac:dyDescent="0.3">
      <c r="A1798" t="s">
        <v>17</v>
      </c>
      <c r="B1798" t="str">
        <f>"688095"</f>
        <v>688095</v>
      </c>
      <c r="C1798" t="s">
        <v>3916</v>
      </c>
      <c r="D1798" t="s">
        <v>1189</v>
      </c>
      <c r="F1798">
        <v>2843110188</v>
      </c>
      <c r="G1798">
        <v>3000779489</v>
      </c>
      <c r="H1798">
        <v>327613212</v>
      </c>
      <c r="I1798">
        <v>269583753</v>
      </c>
      <c r="J1798">
        <v>266423073</v>
      </c>
      <c r="K1798">
        <v>241088116</v>
      </c>
      <c r="P1798">
        <v>141</v>
      </c>
      <c r="Q1798" t="s">
        <v>3917</v>
      </c>
    </row>
    <row r="1799" spans="1:17" x14ac:dyDescent="0.3">
      <c r="A1799" t="s">
        <v>17</v>
      </c>
      <c r="B1799" t="str">
        <f>"688096"</f>
        <v>688096</v>
      </c>
      <c r="C1799" t="s">
        <v>3918</v>
      </c>
      <c r="D1799" t="s">
        <v>33</v>
      </c>
      <c r="F1799">
        <v>793318487</v>
      </c>
      <c r="G1799">
        <v>731119004</v>
      </c>
      <c r="H1799">
        <v>369881749</v>
      </c>
      <c r="I1799">
        <v>260889206</v>
      </c>
      <c r="J1799">
        <v>214914534</v>
      </c>
      <c r="K1799">
        <v>90766999</v>
      </c>
      <c r="P1799">
        <v>73</v>
      </c>
      <c r="Q1799" t="s">
        <v>3919</v>
      </c>
    </row>
    <row r="1800" spans="1:17" x14ac:dyDescent="0.3">
      <c r="A1800" t="s">
        <v>17</v>
      </c>
      <c r="B1800" t="str">
        <f>"688097"</f>
        <v>688097</v>
      </c>
      <c r="C1800" t="s">
        <v>3920</v>
      </c>
      <c r="D1800" t="s">
        <v>3477</v>
      </c>
      <c r="F1800">
        <v>2398550264</v>
      </c>
      <c r="G1800">
        <v>1756975132</v>
      </c>
      <c r="H1800">
        <v>1497135911</v>
      </c>
      <c r="I1800">
        <v>1202659142</v>
      </c>
      <c r="J1800">
        <v>908564734</v>
      </c>
      <c r="K1800">
        <v>830081839</v>
      </c>
      <c r="P1800">
        <v>25</v>
      </c>
      <c r="Q1800" t="s">
        <v>3921</v>
      </c>
    </row>
    <row r="1801" spans="1:17" x14ac:dyDescent="0.3">
      <c r="A1801" t="s">
        <v>17</v>
      </c>
      <c r="B1801" t="str">
        <f>"688098"</f>
        <v>688098</v>
      </c>
      <c r="C1801" t="s">
        <v>3922</v>
      </c>
      <c r="D1801" t="s">
        <v>453</v>
      </c>
      <c r="F1801">
        <v>1478877321</v>
      </c>
      <c r="G1801">
        <v>1396412887</v>
      </c>
      <c r="H1801">
        <v>1281295686</v>
      </c>
      <c r="I1801">
        <v>831939528</v>
      </c>
      <c r="J1801">
        <v>549274151</v>
      </c>
      <c r="K1801">
        <v>465468631</v>
      </c>
      <c r="P1801">
        <v>73</v>
      </c>
      <c r="Q1801" t="s">
        <v>3923</v>
      </c>
    </row>
    <row r="1802" spans="1:17" x14ac:dyDescent="0.3">
      <c r="A1802" t="s">
        <v>17</v>
      </c>
      <c r="B1802" t="str">
        <f>"688099"</f>
        <v>688099</v>
      </c>
      <c r="C1802" t="s">
        <v>3924</v>
      </c>
      <c r="D1802" t="s">
        <v>461</v>
      </c>
      <c r="F1802">
        <v>3874656547</v>
      </c>
      <c r="G1802">
        <v>2918922164</v>
      </c>
      <c r="H1802">
        <v>2798706260</v>
      </c>
      <c r="I1802">
        <v>1121635807</v>
      </c>
      <c r="J1802">
        <v>829316263</v>
      </c>
      <c r="K1802">
        <v>222672780</v>
      </c>
      <c r="P1802">
        <v>301</v>
      </c>
      <c r="Q1802" t="s">
        <v>3925</v>
      </c>
    </row>
    <row r="1803" spans="1:17" x14ac:dyDescent="0.3">
      <c r="A1803" t="s">
        <v>17</v>
      </c>
      <c r="B1803" t="str">
        <f>"688100"</f>
        <v>688100</v>
      </c>
      <c r="C1803" t="s">
        <v>3926</v>
      </c>
      <c r="D1803" t="s">
        <v>786</v>
      </c>
      <c r="F1803">
        <v>2602608155</v>
      </c>
      <c r="G1803">
        <v>2354989706</v>
      </c>
      <c r="H1803">
        <v>1557816553</v>
      </c>
      <c r="I1803">
        <v>1330416598</v>
      </c>
      <c r="J1803">
        <v>1153443385</v>
      </c>
      <c r="K1803">
        <v>810731100</v>
      </c>
      <c r="P1803">
        <v>103</v>
      </c>
      <c r="Q1803" t="s">
        <v>3927</v>
      </c>
    </row>
    <row r="1804" spans="1:17" x14ac:dyDescent="0.3">
      <c r="A1804" t="s">
        <v>17</v>
      </c>
      <c r="B1804" t="str">
        <f>"688101"</f>
        <v>688101</v>
      </c>
      <c r="C1804" t="s">
        <v>3928</v>
      </c>
      <c r="D1804" t="s">
        <v>33</v>
      </c>
      <c r="F1804">
        <v>3434458737</v>
      </c>
      <c r="G1804">
        <v>3300204887</v>
      </c>
      <c r="H1804">
        <v>3161840435</v>
      </c>
      <c r="I1804">
        <v>1421428010</v>
      </c>
      <c r="J1804">
        <v>1240106266</v>
      </c>
      <c r="K1804">
        <v>1054875250</v>
      </c>
      <c r="P1804">
        <v>77</v>
      </c>
      <c r="Q1804" t="s">
        <v>3929</v>
      </c>
    </row>
    <row r="1805" spans="1:17" x14ac:dyDescent="0.3">
      <c r="A1805" t="s">
        <v>17</v>
      </c>
      <c r="B1805" t="str">
        <f>"688102"</f>
        <v>688102</v>
      </c>
      <c r="C1805" t="s">
        <v>3930</v>
      </c>
      <c r="F1805">
        <v>586850590</v>
      </c>
      <c r="G1805">
        <v>523796861</v>
      </c>
      <c r="H1805">
        <v>319298883</v>
      </c>
      <c r="I1805">
        <v>292572727</v>
      </c>
      <c r="J1805">
        <v>273412261</v>
      </c>
      <c r="P1805">
        <v>3</v>
      </c>
      <c r="Q1805" t="s">
        <v>3931</v>
      </c>
    </row>
    <row r="1806" spans="1:17" x14ac:dyDescent="0.3">
      <c r="A1806" t="s">
        <v>17</v>
      </c>
      <c r="B1806" t="str">
        <f>"688103"</f>
        <v>688103</v>
      </c>
      <c r="C1806" t="s">
        <v>3932</v>
      </c>
      <c r="D1806" t="s">
        <v>651</v>
      </c>
      <c r="F1806">
        <v>943975058</v>
      </c>
      <c r="G1806">
        <v>589329444</v>
      </c>
      <c r="H1806">
        <v>452818054</v>
      </c>
      <c r="I1806">
        <v>323477660</v>
      </c>
      <c r="J1806">
        <v>342126448</v>
      </c>
      <c r="P1806">
        <v>13</v>
      </c>
      <c r="Q1806" t="s">
        <v>3933</v>
      </c>
    </row>
    <row r="1807" spans="1:17" x14ac:dyDescent="0.3">
      <c r="A1807" t="s">
        <v>17</v>
      </c>
      <c r="B1807" t="str">
        <f>"688105"</f>
        <v>688105</v>
      </c>
      <c r="C1807" t="s">
        <v>3934</v>
      </c>
      <c r="D1807" t="s">
        <v>1305</v>
      </c>
      <c r="F1807">
        <v>4127289969</v>
      </c>
      <c r="G1807">
        <v>1332360686</v>
      </c>
      <c r="H1807">
        <v>200018648</v>
      </c>
      <c r="I1807">
        <v>166078405</v>
      </c>
      <c r="J1807">
        <v>150822491</v>
      </c>
      <c r="P1807">
        <v>51</v>
      </c>
      <c r="Q1807" t="s">
        <v>3935</v>
      </c>
    </row>
    <row r="1808" spans="1:17" x14ac:dyDescent="0.3">
      <c r="A1808" t="s">
        <v>17</v>
      </c>
      <c r="B1808" t="str">
        <f>"688106"</f>
        <v>688106</v>
      </c>
      <c r="C1808" t="s">
        <v>3936</v>
      </c>
      <c r="D1808" t="s">
        <v>2408</v>
      </c>
      <c r="F1808">
        <v>2680275523</v>
      </c>
      <c r="G1808">
        <v>2770706494</v>
      </c>
      <c r="H1808">
        <v>850315652</v>
      </c>
      <c r="I1808">
        <v>704636675</v>
      </c>
      <c r="J1808">
        <v>561876372</v>
      </c>
      <c r="K1808">
        <v>494805213</v>
      </c>
      <c r="P1808">
        <v>136</v>
      </c>
      <c r="Q1808" t="s">
        <v>3937</v>
      </c>
    </row>
    <row r="1809" spans="1:17" x14ac:dyDescent="0.3">
      <c r="A1809" t="s">
        <v>17</v>
      </c>
      <c r="B1809" t="str">
        <f>"688107"</f>
        <v>688107</v>
      </c>
      <c r="C1809" t="s">
        <v>3938</v>
      </c>
      <c r="D1809" t="s">
        <v>461</v>
      </c>
      <c r="F1809">
        <v>1508869186</v>
      </c>
      <c r="G1809">
        <v>323590239</v>
      </c>
      <c r="H1809">
        <v>308796637</v>
      </c>
      <c r="I1809">
        <v>71388027</v>
      </c>
      <c r="P1809">
        <v>31</v>
      </c>
      <c r="Q1809" t="s">
        <v>3939</v>
      </c>
    </row>
    <row r="1810" spans="1:17" x14ac:dyDescent="0.3">
      <c r="A1810" t="s">
        <v>17</v>
      </c>
      <c r="B1810" t="str">
        <f>"688108"</f>
        <v>688108</v>
      </c>
      <c r="C1810" t="s">
        <v>3940</v>
      </c>
      <c r="D1810" t="s">
        <v>1077</v>
      </c>
      <c r="F1810">
        <v>927836465</v>
      </c>
      <c r="G1810">
        <v>1077867457</v>
      </c>
      <c r="H1810">
        <v>1098513406</v>
      </c>
      <c r="I1810">
        <v>701275972</v>
      </c>
      <c r="J1810">
        <v>606701893</v>
      </c>
      <c r="K1810">
        <v>202747953</v>
      </c>
      <c r="P1810">
        <v>104</v>
      </c>
      <c r="Q1810" t="s">
        <v>3941</v>
      </c>
    </row>
    <row r="1811" spans="1:17" x14ac:dyDescent="0.3">
      <c r="A1811" t="s">
        <v>17</v>
      </c>
      <c r="B1811" t="str">
        <f>"688109"</f>
        <v>688109</v>
      </c>
      <c r="C1811" t="s">
        <v>3942</v>
      </c>
      <c r="D1811" t="s">
        <v>945</v>
      </c>
      <c r="F1811">
        <v>909781905</v>
      </c>
      <c r="G1811">
        <v>279362516</v>
      </c>
      <c r="H1811">
        <v>201699355</v>
      </c>
      <c r="I1811">
        <v>152317069</v>
      </c>
      <c r="J1811">
        <v>111511907</v>
      </c>
      <c r="P1811">
        <v>72</v>
      </c>
      <c r="Q1811" t="s">
        <v>3943</v>
      </c>
    </row>
    <row r="1812" spans="1:17" x14ac:dyDescent="0.3">
      <c r="A1812" t="s">
        <v>17</v>
      </c>
      <c r="B1812" t="str">
        <f>"688110"</f>
        <v>688110</v>
      </c>
      <c r="C1812" t="s">
        <v>3944</v>
      </c>
      <c r="D1812" t="s">
        <v>461</v>
      </c>
      <c r="F1812">
        <v>3820252677</v>
      </c>
      <c r="G1812">
        <v>501404957</v>
      </c>
      <c r="H1812">
        <v>403914689</v>
      </c>
      <c r="I1812">
        <v>292250160</v>
      </c>
      <c r="J1812">
        <v>82328899</v>
      </c>
      <c r="P1812">
        <v>28</v>
      </c>
      <c r="Q1812" t="s">
        <v>3945</v>
      </c>
    </row>
    <row r="1813" spans="1:17" x14ac:dyDescent="0.3">
      <c r="A1813" t="s">
        <v>17</v>
      </c>
      <c r="B1813" t="str">
        <f>"688111"</f>
        <v>688111</v>
      </c>
      <c r="C1813" t="s">
        <v>3946</v>
      </c>
      <c r="D1813" t="s">
        <v>1189</v>
      </c>
      <c r="F1813">
        <v>7719515500</v>
      </c>
      <c r="G1813">
        <v>6854905920</v>
      </c>
      <c r="H1813">
        <v>6068580258</v>
      </c>
      <c r="I1813">
        <v>1186932797</v>
      </c>
      <c r="J1813">
        <v>1039068919</v>
      </c>
      <c r="K1813">
        <v>815822336</v>
      </c>
      <c r="L1813">
        <v>372480800</v>
      </c>
      <c r="P1813">
        <v>964</v>
      </c>
      <c r="Q1813" t="s">
        <v>3947</v>
      </c>
    </row>
    <row r="1814" spans="1:17" x14ac:dyDescent="0.3">
      <c r="A1814" t="s">
        <v>17</v>
      </c>
      <c r="B1814" t="str">
        <f>"688112"</f>
        <v>688112</v>
      </c>
      <c r="C1814" t="s">
        <v>3948</v>
      </c>
      <c r="D1814" t="s">
        <v>2566</v>
      </c>
      <c r="F1814">
        <v>1391359445</v>
      </c>
      <c r="G1814">
        <v>160215131</v>
      </c>
      <c r="H1814">
        <v>107243650</v>
      </c>
      <c r="I1814">
        <v>71759016</v>
      </c>
      <c r="J1814">
        <v>42598876</v>
      </c>
      <c r="P1814">
        <v>42</v>
      </c>
      <c r="Q1814" t="s">
        <v>3949</v>
      </c>
    </row>
    <row r="1815" spans="1:17" x14ac:dyDescent="0.3">
      <c r="A1815" t="s">
        <v>17</v>
      </c>
      <c r="B1815" t="str">
        <f>"688113"</f>
        <v>688113</v>
      </c>
      <c r="C1815" t="s">
        <v>3950</v>
      </c>
      <c r="D1815" t="s">
        <v>741</v>
      </c>
      <c r="F1815">
        <v>686258759</v>
      </c>
      <c r="G1815">
        <v>355634993</v>
      </c>
      <c r="H1815">
        <v>281366935</v>
      </c>
      <c r="I1815">
        <v>222419888</v>
      </c>
      <c r="J1815">
        <v>178573646</v>
      </c>
      <c r="P1815">
        <v>40</v>
      </c>
      <c r="Q1815" t="s">
        <v>3951</v>
      </c>
    </row>
    <row r="1816" spans="1:17" x14ac:dyDescent="0.3">
      <c r="A1816" t="s">
        <v>17</v>
      </c>
      <c r="B1816" t="str">
        <f>"688115"</f>
        <v>688115</v>
      </c>
      <c r="C1816" t="s">
        <v>3952</v>
      </c>
      <c r="F1816">
        <v>328251600</v>
      </c>
      <c r="G1816">
        <v>191927262</v>
      </c>
      <c r="H1816">
        <v>124087013</v>
      </c>
      <c r="I1816">
        <v>72624980</v>
      </c>
      <c r="P1816">
        <v>7</v>
      </c>
      <c r="Q1816" t="s">
        <v>3953</v>
      </c>
    </row>
    <row r="1817" spans="1:17" x14ac:dyDescent="0.3">
      <c r="A1817" t="s">
        <v>17</v>
      </c>
      <c r="B1817" t="str">
        <f>"688116"</f>
        <v>688116</v>
      </c>
      <c r="C1817" t="s">
        <v>3954</v>
      </c>
      <c r="D1817" t="s">
        <v>1790</v>
      </c>
      <c r="F1817">
        <v>1983005199</v>
      </c>
      <c r="G1817">
        <v>1660710748</v>
      </c>
      <c r="H1817">
        <v>1581548103</v>
      </c>
      <c r="I1817">
        <v>637442997</v>
      </c>
      <c r="J1817">
        <v>530554966</v>
      </c>
      <c r="K1817">
        <v>179597542</v>
      </c>
      <c r="P1817">
        <v>197</v>
      </c>
      <c r="Q1817" t="s">
        <v>3955</v>
      </c>
    </row>
    <row r="1818" spans="1:17" x14ac:dyDescent="0.3">
      <c r="A1818" t="s">
        <v>17</v>
      </c>
      <c r="B1818" t="str">
        <f>"688117"</f>
        <v>688117</v>
      </c>
      <c r="C1818" t="s">
        <v>3956</v>
      </c>
      <c r="D1818" t="s">
        <v>143</v>
      </c>
      <c r="F1818">
        <v>785137101</v>
      </c>
      <c r="G1818">
        <v>437574266</v>
      </c>
      <c r="H1818">
        <v>376464928</v>
      </c>
      <c r="I1818">
        <v>327354643</v>
      </c>
      <c r="J1818">
        <v>241737288</v>
      </c>
      <c r="P1818">
        <v>29</v>
      </c>
      <c r="Q1818" t="s">
        <v>3957</v>
      </c>
    </row>
    <row r="1819" spans="1:17" x14ac:dyDescent="0.3">
      <c r="A1819" t="s">
        <v>17</v>
      </c>
      <c r="B1819" t="str">
        <f>"688118"</f>
        <v>688118</v>
      </c>
      <c r="C1819" t="s">
        <v>3958</v>
      </c>
      <c r="D1819" t="s">
        <v>945</v>
      </c>
      <c r="F1819">
        <v>925261947</v>
      </c>
      <c r="G1819">
        <v>978021176</v>
      </c>
      <c r="H1819">
        <v>962822175</v>
      </c>
      <c r="I1819">
        <v>277996947</v>
      </c>
      <c r="J1819">
        <v>263355523</v>
      </c>
      <c r="K1819">
        <v>221003705</v>
      </c>
      <c r="P1819">
        <v>71</v>
      </c>
      <c r="Q1819" t="s">
        <v>3959</v>
      </c>
    </row>
    <row r="1820" spans="1:17" x14ac:dyDescent="0.3">
      <c r="A1820" t="s">
        <v>17</v>
      </c>
      <c r="B1820" t="str">
        <f>"688121"</f>
        <v>688121</v>
      </c>
      <c r="C1820" t="s">
        <v>3960</v>
      </c>
      <c r="D1820" t="s">
        <v>395</v>
      </c>
      <c r="F1820">
        <v>1850955379</v>
      </c>
      <c r="G1820">
        <v>679270225</v>
      </c>
      <c r="H1820">
        <v>424583180</v>
      </c>
      <c r="I1820">
        <v>310532212</v>
      </c>
      <c r="J1820">
        <v>268485909</v>
      </c>
      <c r="P1820">
        <v>24</v>
      </c>
      <c r="Q1820" t="s">
        <v>3961</v>
      </c>
    </row>
    <row r="1821" spans="1:17" x14ac:dyDescent="0.3">
      <c r="A1821" t="s">
        <v>17</v>
      </c>
      <c r="B1821" t="str">
        <f>"688122"</f>
        <v>688122</v>
      </c>
      <c r="C1821" t="s">
        <v>3962</v>
      </c>
      <c r="D1821" t="s">
        <v>98</v>
      </c>
      <c r="F1821">
        <v>5360830948</v>
      </c>
      <c r="G1821">
        <v>2808647280</v>
      </c>
      <c r="H1821">
        <v>2568502745</v>
      </c>
      <c r="I1821">
        <v>1926715647</v>
      </c>
      <c r="J1821">
        <v>1905750684</v>
      </c>
      <c r="K1821">
        <v>1881114713</v>
      </c>
      <c r="P1821">
        <v>309</v>
      </c>
      <c r="Q1821" t="s">
        <v>3963</v>
      </c>
    </row>
    <row r="1822" spans="1:17" x14ac:dyDescent="0.3">
      <c r="A1822" t="s">
        <v>17</v>
      </c>
      <c r="B1822" t="str">
        <f>"688123"</f>
        <v>688123</v>
      </c>
      <c r="C1822" t="s">
        <v>3964</v>
      </c>
      <c r="D1822" t="s">
        <v>461</v>
      </c>
      <c r="F1822">
        <v>1524493233</v>
      </c>
      <c r="G1822">
        <v>1461079276</v>
      </c>
      <c r="H1822">
        <v>1328307256</v>
      </c>
      <c r="I1822">
        <v>332752812</v>
      </c>
      <c r="J1822">
        <v>225979584</v>
      </c>
      <c r="K1822">
        <v>170763026</v>
      </c>
      <c r="P1822">
        <v>163</v>
      </c>
      <c r="Q1822" t="s">
        <v>3965</v>
      </c>
    </row>
    <row r="1823" spans="1:17" x14ac:dyDescent="0.3">
      <c r="A1823" t="s">
        <v>17</v>
      </c>
      <c r="B1823" t="str">
        <f>"688125"</f>
        <v>688125</v>
      </c>
      <c r="C1823" t="s">
        <v>3966</v>
      </c>
      <c r="F1823">
        <v>692725294</v>
      </c>
      <c r="G1823">
        <v>530180272</v>
      </c>
      <c r="H1823">
        <v>465944660</v>
      </c>
      <c r="I1823">
        <v>423277715</v>
      </c>
      <c r="P1823">
        <v>2</v>
      </c>
      <c r="Q1823" t="s">
        <v>3967</v>
      </c>
    </row>
    <row r="1824" spans="1:17" x14ac:dyDescent="0.3">
      <c r="A1824" t="s">
        <v>17</v>
      </c>
      <c r="B1824" t="str">
        <f>"688126"</f>
        <v>688126</v>
      </c>
      <c r="C1824" t="s">
        <v>3968</v>
      </c>
      <c r="D1824" t="s">
        <v>475</v>
      </c>
      <c r="F1824">
        <v>10421932414</v>
      </c>
      <c r="G1824">
        <v>9443040007</v>
      </c>
      <c r="H1824">
        <v>5072010005</v>
      </c>
      <c r="I1824">
        <v>3385266451</v>
      </c>
      <c r="J1824">
        <v>3511300497</v>
      </c>
      <c r="K1824">
        <v>2363370109</v>
      </c>
      <c r="P1824">
        <v>329</v>
      </c>
      <c r="Q1824" t="s">
        <v>3969</v>
      </c>
    </row>
    <row r="1825" spans="1:17" x14ac:dyDescent="0.3">
      <c r="A1825" t="s">
        <v>17</v>
      </c>
      <c r="B1825" t="str">
        <f>"688127"</f>
        <v>688127</v>
      </c>
      <c r="C1825" t="s">
        <v>3970</v>
      </c>
      <c r="D1825" t="s">
        <v>164</v>
      </c>
      <c r="F1825">
        <v>1471616864</v>
      </c>
      <c r="G1825">
        <v>1384105187</v>
      </c>
      <c r="H1825">
        <v>645973864</v>
      </c>
      <c r="I1825">
        <v>625084448</v>
      </c>
      <c r="J1825">
        <v>368099804</v>
      </c>
      <c r="K1825">
        <v>198988071</v>
      </c>
      <c r="P1825">
        <v>86</v>
      </c>
      <c r="Q1825" t="s">
        <v>3971</v>
      </c>
    </row>
    <row r="1826" spans="1:17" x14ac:dyDescent="0.3">
      <c r="A1826" t="s">
        <v>17</v>
      </c>
      <c r="B1826" t="str">
        <f>"688128"</f>
        <v>688128</v>
      </c>
      <c r="C1826" t="s">
        <v>3972</v>
      </c>
      <c r="D1826" t="s">
        <v>741</v>
      </c>
      <c r="F1826">
        <v>2444429784</v>
      </c>
      <c r="G1826">
        <v>2295013324</v>
      </c>
      <c r="H1826">
        <v>2130966210</v>
      </c>
      <c r="I1826">
        <v>1022416527</v>
      </c>
      <c r="J1826">
        <v>986567199</v>
      </c>
      <c r="K1826">
        <v>374527584</v>
      </c>
      <c r="P1826">
        <v>68</v>
      </c>
      <c r="Q1826" t="s">
        <v>3973</v>
      </c>
    </row>
    <row r="1827" spans="1:17" x14ac:dyDescent="0.3">
      <c r="A1827" t="s">
        <v>17</v>
      </c>
      <c r="B1827" t="str">
        <f>"688129"</f>
        <v>688129</v>
      </c>
      <c r="C1827" t="s">
        <v>3974</v>
      </c>
      <c r="D1827" t="s">
        <v>2585</v>
      </c>
      <c r="F1827">
        <v>863796128</v>
      </c>
      <c r="G1827">
        <v>790527255</v>
      </c>
      <c r="H1827">
        <v>302402296</v>
      </c>
      <c r="I1827">
        <v>245866213</v>
      </c>
      <c r="J1827">
        <v>183443792</v>
      </c>
      <c r="P1827">
        <v>38</v>
      </c>
      <c r="Q1827" t="s">
        <v>3975</v>
      </c>
    </row>
    <row r="1828" spans="1:17" x14ac:dyDescent="0.3">
      <c r="A1828" t="s">
        <v>17</v>
      </c>
      <c r="B1828" t="str">
        <f>"688131"</f>
        <v>688131</v>
      </c>
      <c r="C1828" t="s">
        <v>3976</v>
      </c>
      <c r="D1828" t="s">
        <v>496</v>
      </c>
      <c r="F1828">
        <v>1822307192</v>
      </c>
      <c r="G1828">
        <v>527809707</v>
      </c>
      <c r="H1828">
        <v>399733836</v>
      </c>
      <c r="I1828">
        <v>177654930</v>
      </c>
      <c r="J1828">
        <v>114738246</v>
      </c>
      <c r="P1828">
        <v>88</v>
      </c>
      <c r="Q1828" t="s">
        <v>3977</v>
      </c>
    </row>
    <row r="1829" spans="1:17" x14ac:dyDescent="0.3">
      <c r="A1829" t="s">
        <v>17</v>
      </c>
      <c r="B1829" t="str">
        <f>"688133"</f>
        <v>688133</v>
      </c>
      <c r="C1829" t="s">
        <v>3978</v>
      </c>
      <c r="D1829" t="s">
        <v>386</v>
      </c>
      <c r="F1829">
        <v>1576009300</v>
      </c>
      <c r="G1829">
        <v>1438024196</v>
      </c>
      <c r="H1829">
        <v>563614875</v>
      </c>
      <c r="I1829">
        <v>386161379</v>
      </c>
      <c r="J1829">
        <v>287381091</v>
      </c>
      <c r="K1829">
        <v>199065221</v>
      </c>
      <c r="P1829">
        <v>118</v>
      </c>
      <c r="Q1829" t="s">
        <v>3979</v>
      </c>
    </row>
    <row r="1830" spans="1:17" x14ac:dyDescent="0.3">
      <c r="A1830" t="s">
        <v>17</v>
      </c>
      <c r="B1830" t="str">
        <f>"688135"</f>
        <v>688135</v>
      </c>
      <c r="C1830" t="s">
        <v>3980</v>
      </c>
      <c r="D1830" t="s">
        <v>1180</v>
      </c>
      <c r="F1830">
        <v>1050689998</v>
      </c>
      <c r="G1830">
        <v>976377527</v>
      </c>
      <c r="H1830">
        <v>453481677</v>
      </c>
      <c r="I1830">
        <v>357626567</v>
      </c>
      <c r="J1830">
        <v>341546255</v>
      </c>
      <c r="K1830">
        <v>208122111</v>
      </c>
      <c r="P1830">
        <v>87</v>
      </c>
      <c r="Q1830" t="s">
        <v>3981</v>
      </c>
    </row>
    <row r="1831" spans="1:17" x14ac:dyDescent="0.3">
      <c r="A1831" t="s">
        <v>17</v>
      </c>
      <c r="B1831" t="str">
        <f>"688136"</f>
        <v>688136</v>
      </c>
      <c r="C1831" t="s">
        <v>3982</v>
      </c>
      <c r="D1831" t="s">
        <v>1379</v>
      </c>
      <c r="F1831">
        <v>1910688562</v>
      </c>
      <c r="G1831">
        <v>1830120700</v>
      </c>
      <c r="H1831">
        <v>696342612</v>
      </c>
      <c r="I1831">
        <v>494459681</v>
      </c>
      <c r="J1831">
        <v>212236203</v>
      </c>
      <c r="P1831">
        <v>66</v>
      </c>
      <c r="Q1831" t="s">
        <v>3983</v>
      </c>
    </row>
    <row r="1832" spans="1:17" x14ac:dyDescent="0.3">
      <c r="A1832" t="s">
        <v>17</v>
      </c>
      <c r="B1832" t="str">
        <f>"688138"</f>
        <v>688138</v>
      </c>
      <c r="C1832" t="s">
        <v>3984</v>
      </c>
      <c r="D1832" t="s">
        <v>475</v>
      </c>
      <c r="F1832">
        <v>1198751500</v>
      </c>
      <c r="G1832">
        <v>1178237687</v>
      </c>
      <c r="H1832">
        <v>1123291402</v>
      </c>
      <c r="I1832">
        <v>530670074</v>
      </c>
      <c r="J1832">
        <v>468015303</v>
      </c>
      <c r="K1832">
        <v>428961212</v>
      </c>
      <c r="P1832">
        <v>92</v>
      </c>
      <c r="Q1832" t="s">
        <v>3985</v>
      </c>
    </row>
    <row r="1833" spans="1:17" x14ac:dyDescent="0.3">
      <c r="A1833" t="s">
        <v>17</v>
      </c>
      <c r="B1833" t="str">
        <f>"688139"</f>
        <v>688139</v>
      </c>
      <c r="C1833" t="s">
        <v>3986</v>
      </c>
      <c r="D1833" t="s">
        <v>122</v>
      </c>
      <c r="F1833">
        <v>3622799326</v>
      </c>
      <c r="G1833">
        <v>2775877784</v>
      </c>
      <c r="H1833">
        <v>2453448659</v>
      </c>
      <c r="I1833">
        <v>1109575586</v>
      </c>
      <c r="J1833">
        <v>614755536</v>
      </c>
      <c r="K1833">
        <v>722806599</v>
      </c>
      <c r="P1833">
        <v>349</v>
      </c>
      <c r="Q1833" t="s">
        <v>3987</v>
      </c>
    </row>
    <row r="1834" spans="1:17" x14ac:dyDescent="0.3">
      <c r="A1834" t="s">
        <v>17</v>
      </c>
      <c r="B1834" t="str">
        <f>"688148"</f>
        <v>688148</v>
      </c>
      <c r="C1834" t="s">
        <v>3988</v>
      </c>
      <c r="D1834" t="s">
        <v>1790</v>
      </c>
      <c r="F1834">
        <v>1327856999</v>
      </c>
      <c r="G1834">
        <v>927151612</v>
      </c>
      <c r="H1834">
        <v>878485751</v>
      </c>
      <c r="I1834">
        <v>497672409</v>
      </c>
      <c r="J1834">
        <v>282512043</v>
      </c>
      <c r="P1834">
        <v>29</v>
      </c>
      <c r="Q1834" t="s">
        <v>3989</v>
      </c>
    </row>
    <row r="1835" spans="1:17" x14ac:dyDescent="0.3">
      <c r="A1835" t="s">
        <v>17</v>
      </c>
      <c r="B1835" t="str">
        <f>"688150"</f>
        <v>688150</v>
      </c>
      <c r="C1835" t="s">
        <v>3990</v>
      </c>
      <c r="F1835">
        <v>808858113</v>
      </c>
      <c r="G1835">
        <v>696685392</v>
      </c>
      <c r="H1835">
        <v>418711894</v>
      </c>
      <c r="I1835">
        <v>332885632</v>
      </c>
      <c r="P1835">
        <v>4</v>
      </c>
      <c r="Q1835" t="s">
        <v>3991</v>
      </c>
    </row>
    <row r="1836" spans="1:17" x14ac:dyDescent="0.3">
      <c r="A1836" t="s">
        <v>17</v>
      </c>
      <c r="B1836" t="str">
        <f>"688151"</f>
        <v>688151</v>
      </c>
      <c r="C1836" t="s">
        <v>3992</v>
      </c>
      <c r="D1836" t="s">
        <v>428</v>
      </c>
      <c r="F1836">
        <v>4233697875</v>
      </c>
      <c r="G1836">
        <v>1158068996</v>
      </c>
      <c r="H1836">
        <v>950038853</v>
      </c>
      <c r="I1836">
        <v>835317146</v>
      </c>
      <c r="J1836">
        <v>754038410</v>
      </c>
      <c r="P1836">
        <v>13</v>
      </c>
      <c r="Q1836" t="s">
        <v>3993</v>
      </c>
    </row>
    <row r="1837" spans="1:17" x14ac:dyDescent="0.3">
      <c r="A1837" t="s">
        <v>17</v>
      </c>
      <c r="B1837" t="str">
        <f>"688153"</f>
        <v>688153</v>
      </c>
      <c r="C1837" t="s">
        <v>3994</v>
      </c>
      <c r="F1837">
        <v>1098811502</v>
      </c>
      <c r="G1837">
        <v>560222211</v>
      </c>
      <c r="H1837">
        <v>176467887</v>
      </c>
      <c r="I1837">
        <v>167372438</v>
      </c>
      <c r="P1837">
        <v>8</v>
      </c>
      <c r="Q1837" t="s">
        <v>3995</v>
      </c>
    </row>
    <row r="1838" spans="1:17" x14ac:dyDescent="0.3">
      <c r="A1838" t="s">
        <v>17</v>
      </c>
      <c r="B1838" t="str">
        <f>"688155"</f>
        <v>688155</v>
      </c>
      <c r="C1838" t="s">
        <v>3996</v>
      </c>
      <c r="D1838" t="s">
        <v>3776</v>
      </c>
      <c r="F1838">
        <v>1189815787</v>
      </c>
      <c r="G1838">
        <v>1080099750</v>
      </c>
      <c r="H1838">
        <v>402777605</v>
      </c>
      <c r="I1838">
        <v>311096505</v>
      </c>
      <c r="J1838">
        <v>282909140</v>
      </c>
      <c r="K1838">
        <v>94835366</v>
      </c>
      <c r="P1838">
        <v>101</v>
      </c>
      <c r="Q1838" t="s">
        <v>3997</v>
      </c>
    </row>
    <row r="1839" spans="1:17" x14ac:dyDescent="0.3">
      <c r="A1839" t="s">
        <v>17</v>
      </c>
      <c r="B1839" t="str">
        <f>"688156"</f>
        <v>688156</v>
      </c>
      <c r="C1839" t="s">
        <v>3998</v>
      </c>
      <c r="D1839" t="s">
        <v>499</v>
      </c>
      <c r="F1839">
        <v>770076330</v>
      </c>
      <c r="G1839">
        <v>707906229</v>
      </c>
      <c r="H1839">
        <v>335990591</v>
      </c>
      <c r="I1839">
        <v>292155941</v>
      </c>
      <c r="J1839">
        <v>189720105</v>
      </c>
      <c r="K1839">
        <v>152860698</v>
      </c>
      <c r="P1839">
        <v>41</v>
      </c>
      <c r="Q1839" t="s">
        <v>3999</v>
      </c>
    </row>
    <row r="1840" spans="1:17" x14ac:dyDescent="0.3">
      <c r="A1840" t="s">
        <v>17</v>
      </c>
      <c r="B1840" t="str">
        <f>"688157"</f>
        <v>688157</v>
      </c>
      <c r="C1840" t="s">
        <v>4000</v>
      </c>
      <c r="D1840" t="s">
        <v>2585</v>
      </c>
      <c r="F1840">
        <v>1183565758</v>
      </c>
      <c r="G1840">
        <v>1095303982</v>
      </c>
      <c r="H1840">
        <v>399881751</v>
      </c>
      <c r="I1840">
        <v>308519332</v>
      </c>
      <c r="J1840">
        <v>241086534</v>
      </c>
      <c r="K1840">
        <v>246965785</v>
      </c>
      <c r="P1840">
        <v>100</v>
      </c>
      <c r="Q1840" t="s">
        <v>4001</v>
      </c>
    </row>
    <row r="1841" spans="1:17" x14ac:dyDescent="0.3">
      <c r="A1841" t="s">
        <v>17</v>
      </c>
      <c r="B1841" t="str">
        <f>"688158"</f>
        <v>688158</v>
      </c>
      <c r="C1841" t="s">
        <v>4002</v>
      </c>
      <c r="D1841" t="s">
        <v>316</v>
      </c>
      <c r="F1841">
        <v>2696815348</v>
      </c>
      <c r="G1841">
        <v>3259188616</v>
      </c>
      <c r="H1841">
        <v>1743521635</v>
      </c>
      <c r="I1841">
        <v>1734245068</v>
      </c>
      <c r="J1841">
        <v>1185462012</v>
      </c>
      <c r="K1841">
        <v>-54593064</v>
      </c>
      <c r="P1841">
        <v>104</v>
      </c>
      <c r="Q1841" t="s">
        <v>4003</v>
      </c>
    </row>
    <row r="1842" spans="1:17" x14ac:dyDescent="0.3">
      <c r="A1842" t="s">
        <v>17</v>
      </c>
      <c r="B1842" t="str">
        <f>"688159"</f>
        <v>688159</v>
      </c>
      <c r="C1842" t="s">
        <v>4004</v>
      </c>
      <c r="D1842" t="s">
        <v>786</v>
      </c>
      <c r="F1842">
        <v>832466038</v>
      </c>
      <c r="G1842">
        <v>842854422</v>
      </c>
      <c r="H1842">
        <v>512682353</v>
      </c>
      <c r="I1842">
        <v>426911898</v>
      </c>
      <c r="J1842">
        <v>231588770</v>
      </c>
      <c r="K1842">
        <v>179956666</v>
      </c>
      <c r="P1842">
        <v>94</v>
      </c>
      <c r="Q1842" t="s">
        <v>4005</v>
      </c>
    </row>
    <row r="1843" spans="1:17" x14ac:dyDescent="0.3">
      <c r="A1843" t="s">
        <v>17</v>
      </c>
      <c r="B1843" t="str">
        <f>"688160"</f>
        <v>688160</v>
      </c>
      <c r="C1843" t="s">
        <v>4006</v>
      </c>
      <c r="D1843" t="s">
        <v>2432</v>
      </c>
      <c r="F1843">
        <v>652662509</v>
      </c>
      <c r="G1843">
        <v>608166204</v>
      </c>
      <c r="H1843">
        <v>216333260</v>
      </c>
      <c r="I1843">
        <v>190547631</v>
      </c>
      <c r="J1843">
        <v>173286418</v>
      </c>
      <c r="K1843">
        <v>156690126</v>
      </c>
      <c r="P1843">
        <v>44</v>
      </c>
      <c r="Q1843" t="s">
        <v>4007</v>
      </c>
    </row>
    <row r="1844" spans="1:17" x14ac:dyDescent="0.3">
      <c r="A1844" t="s">
        <v>17</v>
      </c>
      <c r="B1844" t="str">
        <f>"688161"</f>
        <v>688161</v>
      </c>
      <c r="C1844" t="s">
        <v>4008</v>
      </c>
      <c r="D1844" t="s">
        <v>1077</v>
      </c>
      <c r="F1844">
        <v>4531539607</v>
      </c>
      <c r="G1844">
        <v>2453797254</v>
      </c>
      <c r="H1844">
        <v>1871762106</v>
      </c>
      <c r="I1844">
        <v>1729382472</v>
      </c>
      <c r="J1844">
        <v>1407602831</v>
      </c>
      <c r="P1844">
        <v>101</v>
      </c>
      <c r="Q1844" t="s">
        <v>4009</v>
      </c>
    </row>
    <row r="1845" spans="1:17" x14ac:dyDescent="0.3">
      <c r="A1845" t="s">
        <v>17</v>
      </c>
      <c r="B1845" t="str">
        <f>"688162"</f>
        <v>688162</v>
      </c>
      <c r="C1845" t="s">
        <v>4010</v>
      </c>
      <c r="D1845" t="s">
        <v>348</v>
      </c>
      <c r="F1845">
        <v>2514381983</v>
      </c>
      <c r="G1845">
        <v>906643372</v>
      </c>
      <c r="H1845">
        <v>683253818</v>
      </c>
      <c r="I1845">
        <v>491327008</v>
      </c>
      <c r="J1845">
        <v>423832816</v>
      </c>
      <c r="P1845">
        <v>31</v>
      </c>
      <c r="Q1845" t="s">
        <v>4011</v>
      </c>
    </row>
    <row r="1846" spans="1:17" x14ac:dyDescent="0.3">
      <c r="A1846" t="s">
        <v>17</v>
      </c>
      <c r="B1846" t="str">
        <f>"688163"</f>
        <v>688163</v>
      </c>
      <c r="C1846" t="s">
        <v>4012</v>
      </c>
      <c r="F1846">
        <v>369629072</v>
      </c>
      <c r="G1846">
        <v>294606423</v>
      </c>
      <c r="H1846">
        <v>336940621</v>
      </c>
      <c r="I1846">
        <v>256884481</v>
      </c>
      <c r="J1846">
        <v>248756329</v>
      </c>
      <c r="P1846">
        <v>12</v>
      </c>
      <c r="Q1846" t="s">
        <v>4013</v>
      </c>
    </row>
    <row r="1847" spans="1:17" x14ac:dyDescent="0.3">
      <c r="A1847" t="s">
        <v>17</v>
      </c>
      <c r="B1847" t="str">
        <f>"688165"</f>
        <v>688165</v>
      </c>
      <c r="C1847" t="s">
        <v>4014</v>
      </c>
      <c r="D1847" t="s">
        <v>2938</v>
      </c>
      <c r="F1847">
        <v>1876281312</v>
      </c>
      <c r="G1847">
        <v>2109435911</v>
      </c>
      <c r="H1847">
        <v>1607716594</v>
      </c>
      <c r="I1847">
        <v>1658727110</v>
      </c>
      <c r="J1847">
        <v>1458072226</v>
      </c>
      <c r="K1847">
        <v>216062933</v>
      </c>
      <c r="P1847">
        <v>64</v>
      </c>
      <c r="Q1847" t="s">
        <v>4015</v>
      </c>
    </row>
    <row r="1848" spans="1:17" x14ac:dyDescent="0.3">
      <c r="A1848" t="s">
        <v>17</v>
      </c>
      <c r="B1848" t="str">
        <f>"688166"</f>
        <v>688166</v>
      </c>
      <c r="C1848" t="s">
        <v>4016</v>
      </c>
      <c r="D1848" t="s">
        <v>143</v>
      </c>
      <c r="F1848">
        <v>1678188733</v>
      </c>
      <c r="G1848">
        <v>1431779617</v>
      </c>
      <c r="H1848">
        <v>1313086019</v>
      </c>
      <c r="I1848">
        <v>769804806</v>
      </c>
      <c r="J1848">
        <v>446023538</v>
      </c>
      <c r="K1848">
        <v>220147107</v>
      </c>
      <c r="P1848">
        <v>190</v>
      </c>
      <c r="Q1848" t="s">
        <v>4017</v>
      </c>
    </row>
    <row r="1849" spans="1:17" x14ac:dyDescent="0.3">
      <c r="A1849" t="s">
        <v>17</v>
      </c>
      <c r="B1849" t="str">
        <f>"688167"</f>
        <v>688167</v>
      </c>
      <c r="C1849" t="s">
        <v>4018</v>
      </c>
      <c r="D1849" t="s">
        <v>3811</v>
      </c>
      <c r="F1849">
        <v>2319012979</v>
      </c>
      <c r="G1849">
        <v>625613610</v>
      </c>
      <c r="H1849">
        <v>426198962</v>
      </c>
      <c r="I1849">
        <v>510614048</v>
      </c>
      <c r="J1849">
        <v>488813116</v>
      </c>
      <c r="P1849">
        <v>32</v>
      </c>
      <c r="Q1849" t="s">
        <v>4019</v>
      </c>
    </row>
    <row r="1850" spans="1:17" x14ac:dyDescent="0.3">
      <c r="A1850" t="s">
        <v>17</v>
      </c>
      <c r="B1850" t="str">
        <f>"688168"</f>
        <v>688168</v>
      </c>
      <c r="C1850" t="s">
        <v>4020</v>
      </c>
      <c r="D1850" t="s">
        <v>1189</v>
      </c>
      <c r="F1850">
        <v>1090607196</v>
      </c>
      <c r="G1850">
        <v>1019996190</v>
      </c>
      <c r="H1850">
        <v>999665911</v>
      </c>
      <c r="I1850">
        <v>255418127</v>
      </c>
      <c r="J1850">
        <v>203948811</v>
      </c>
      <c r="K1850">
        <v>103288122</v>
      </c>
      <c r="P1850">
        <v>144</v>
      </c>
      <c r="Q1850" t="s">
        <v>4021</v>
      </c>
    </row>
    <row r="1851" spans="1:17" x14ac:dyDescent="0.3">
      <c r="A1851" t="s">
        <v>17</v>
      </c>
      <c r="B1851" t="str">
        <f>"688169"</f>
        <v>688169</v>
      </c>
      <c r="C1851" t="s">
        <v>4022</v>
      </c>
      <c r="D1851" t="s">
        <v>2720</v>
      </c>
      <c r="F1851">
        <v>8491558715</v>
      </c>
      <c r="G1851">
        <v>7114081770</v>
      </c>
      <c r="H1851">
        <v>1484645012</v>
      </c>
      <c r="I1851">
        <v>699387220</v>
      </c>
      <c r="J1851">
        <v>269396642</v>
      </c>
      <c r="K1851">
        <v>145737361</v>
      </c>
      <c r="P1851">
        <v>758</v>
      </c>
      <c r="Q1851" t="s">
        <v>4023</v>
      </c>
    </row>
    <row r="1852" spans="1:17" x14ac:dyDescent="0.3">
      <c r="A1852" t="s">
        <v>17</v>
      </c>
      <c r="B1852" t="str">
        <f>"688170"</f>
        <v>688170</v>
      </c>
      <c r="C1852" t="s">
        <v>4024</v>
      </c>
      <c r="F1852">
        <v>579463469</v>
      </c>
      <c r="G1852">
        <v>487377034</v>
      </c>
      <c r="H1852">
        <v>264781197</v>
      </c>
      <c r="I1852">
        <v>244156175</v>
      </c>
      <c r="P1852">
        <v>2</v>
      </c>
      <c r="Q1852" t="s">
        <v>4025</v>
      </c>
    </row>
    <row r="1853" spans="1:17" x14ac:dyDescent="0.3">
      <c r="A1853" t="s">
        <v>17</v>
      </c>
      <c r="B1853" t="str">
        <f>"688171"</f>
        <v>688171</v>
      </c>
      <c r="C1853" t="s">
        <v>4026</v>
      </c>
      <c r="F1853">
        <v>287668932</v>
      </c>
      <c r="G1853">
        <v>232216942</v>
      </c>
      <c r="H1853">
        <v>153550025</v>
      </c>
      <c r="I1853">
        <v>64721158</v>
      </c>
      <c r="J1853">
        <v>25841370</v>
      </c>
      <c r="P1853">
        <v>12</v>
      </c>
      <c r="Q1853" t="s">
        <v>4027</v>
      </c>
    </row>
    <row r="1854" spans="1:17" x14ac:dyDescent="0.3">
      <c r="A1854" t="s">
        <v>17</v>
      </c>
      <c r="B1854" t="str">
        <f>"688173"</f>
        <v>688173</v>
      </c>
      <c r="C1854" t="s">
        <v>4028</v>
      </c>
      <c r="F1854">
        <v>482198486</v>
      </c>
      <c r="G1854">
        <v>408688900</v>
      </c>
      <c r="H1854">
        <v>174243865</v>
      </c>
      <c r="I1854">
        <v>25373637</v>
      </c>
      <c r="P1854">
        <v>11</v>
      </c>
      <c r="Q1854" t="s">
        <v>4029</v>
      </c>
    </row>
    <row r="1855" spans="1:17" x14ac:dyDescent="0.3">
      <c r="A1855" t="s">
        <v>17</v>
      </c>
      <c r="B1855" t="str">
        <f>"688175"</f>
        <v>688175</v>
      </c>
      <c r="C1855" t="s">
        <v>4030</v>
      </c>
      <c r="F1855">
        <v>685871624</v>
      </c>
      <c r="G1855">
        <v>602779012</v>
      </c>
      <c r="H1855">
        <v>320720443</v>
      </c>
      <c r="I1855">
        <v>195955944</v>
      </c>
      <c r="P1855">
        <v>3</v>
      </c>
      <c r="Q1855" t="s">
        <v>4031</v>
      </c>
    </row>
    <row r="1856" spans="1:17" x14ac:dyDescent="0.3">
      <c r="A1856" t="s">
        <v>17</v>
      </c>
      <c r="B1856" t="str">
        <f>"688176"</f>
        <v>688176</v>
      </c>
      <c r="C1856" t="s">
        <v>4032</v>
      </c>
      <c r="D1856" t="s">
        <v>143</v>
      </c>
      <c r="F1856">
        <v>3012881818</v>
      </c>
      <c r="G1856">
        <v>806497459</v>
      </c>
      <c r="H1856">
        <v>28754928</v>
      </c>
      <c r="I1856">
        <v>47212369</v>
      </c>
      <c r="P1856">
        <v>9</v>
      </c>
      <c r="Q1856" t="s">
        <v>4033</v>
      </c>
    </row>
    <row r="1857" spans="1:17" x14ac:dyDescent="0.3">
      <c r="A1857" t="s">
        <v>17</v>
      </c>
      <c r="B1857" t="str">
        <f>"688177"</f>
        <v>688177</v>
      </c>
      <c r="C1857" t="s">
        <v>4034</v>
      </c>
      <c r="D1857" t="s">
        <v>1379</v>
      </c>
      <c r="F1857">
        <v>2087512210</v>
      </c>
      <c r="G1857">
        <v>2005603083</v>
      </c>
      <c r="H1857">
        <v>630671768</v>
      </c>
      <c r="I1857">
        <v>801323117</v>
      </c>
      <c r="J1857">
        <v>347552400</v>
      </c>
      <c r="K1857">
        <v>534429344</v>
      </c>
      <c r="P1857">
        <v>98</v>
      </c>
      <c r="Q1857" t="s">
        <v>4035</v>
      </c>
    </row>
    <row r="1858" spans="1:17" x14ac:dyDescent="0.3">
      <c r="A1858" t="s">
        <v>17</v>
      </c>
      <c r="B1858" t="str">
        <f>"688178"</f>
        <v>688178</v>
      </c>
      <c r="C1858" t="s">
        <v>4036</v>
      </c>
      <c r="D1858" t="s">
        <v>33</v>
      </c>
      <c r="F1858">
        <v>1196741898</v>
      </c>
      <c r="G1858">
        <v>1124110456</v>
      </c>
      <c r="H1858">
        <v>557853519</v>
      </c>
      <c r="I1858">
        <v>433325842</v>
      </c>
      <c r="J1858">
        <v>235493536</v>
      </c>
      <c r="K1858">
        <v>86628854</v>
      </c>
      <c r="P1858">
        <v>69</v>
      </c>
      <c r="Q1858" t="s">
        <v>4037</v>
      </c>
    </row>
    <row r="1859" spans="1:17" x14ac:dyDescent="0.3">
      <c r="A1859" t="s">
        <v>17</v>
      </c>
      <c r="B1859" t="str">
        <f>"688179"</f>
        <v>688179</v>
      </c>
      <c r="C1859" t="s">
        <v>4038</v>
      </c>
      <c r="D1859" t="s">
        <v>386</v>
      </c>
      <c r="F1859">
        <v>858317916</v>
      </c>
      <c r="G1859">
        <v>816700677</v>
      </c>
      <c r="H1859">
        <v>346181017</v>
      </c>
      <c r="I1859">
        <v>322715028</v>
      </c>
      <c r="J1859">
        <v>295571954</v>
      </c>
      <c r="K1859">
        <v>285185220</v>
      </c>
      <c r="P1859">
        <v>156</v>
      </c>
      <c r="Q1859" t="s">
        <v>4039</v>
      </c>
    </row>
    <row r="1860" spans="1:17" x14ac:dyDescent="0.3">
      <c r="A1860" t="s">
        <v>17</v>
      </c>
      <c r="B1860" t="str">
        <f>"688180"</f>
        <v>688180</v>
      </c>
      <c r="C1860" t="s">
        <v>4040</v>
      </c>
      <c r="D1860" t="s">
        <v>1379</v>
      </c>
      <c r="F1860">
        <v>7945095398</v>
      </c>
      <c r="G1860">
        <v>5827808532</v>
      </c>
      <c r="H1860">
        <v>2978032783</v>
      </c>
      <c r="I1860">
        <v>3315255400</v>
      </c>
      <c r="J1860">
        <v>1120507808</v>
      </c>
      <c r="K1860">
        <v>1127561653</v>
      </c>
      <c r="P1860">
        <v>206</v>
      </c>
      <c r="Q1860" t="s">
        <v>4041</v>
      </c>
    </row>
    <row r="1861" spans="1:17" x14ac:dyDescent="0.3">
      <c r="A1861" t="s">
        <v>17</v>
      </c>
      <c r="B1861" t="str">
        <f>"688181"</f>
        <v>688181</v>
      </c>
      <c r="C1861" t="s">
        <v>4042</v>
      </c>
      <c r="D1861" t="s">
        <v>1117</v>
      </c>
      <c r="F1861">
        <v>1836685096</v>
      </c>
      <c r="G1861">
        <v>1687703160</v>
      </c>
      <c r="H1861">
        <v>1551960372</v>
      </c>
      <c r="I1861">
        <v>536130602</v>
      </c>
      <c r="J1861">
        <v>421641511</v>
      </c>
      <c r="K1861">
        <v>174738156</v>
      </c>
      <c r="P1861">
        <v>108</v>
      </c>
      <c r="Q1861" t="s">
        <v>4043</v>
      </c>
    </row>
    <row r="1862" spans="1:17" x14ac:dyDescent="0.3">
      <c r="A1862" t="s">
        <v>17</v>
      </c>
      <c r="B1862" t="str">
        <f>"688182"</f>
        <v>688182</v>
      </c>
      <c r="C1862" t="s">
        <v>4044</v>
      </c>
      <c r="D1862" t="s">
        <v>1019</v>
      </c>
      <c r="F1862">
        <v>2046977327</v>
      </c>
      <c r="G1862">
        <v>970414745</v>
      </c>
      <c r="H1862">
        <v>529072966</v>
      </c>
      <c r="I1862">
        <v>196187404</v>
      </c>
      <c r="J1862">
        <v>142120530</v>
      </c>
      <c r="P1862">
        <v>17</v>
      </c>
      <c r="Q1862" t="s">
        <v>4045</v>
      </c>
    </row>
    <row r="1863" spans="1:17" x14ac:dyDescent="0.3">
      <c r="A1863" t="s">
        <v>17</v>
      </c>
      <c r="B1863" t="str">
        <f>"688183"</f>
        <v>688183</v>
      </c>
      <c r="C1863" t="s">
        <v>4046</v>
      </c>
      <c r="D1863" t="s">
        <v>425</v>
      </c>
      <c r="F1863">
        <v>3903893231</v>
      </c>
      <c r="G1863">
        <v>1941769208</v>
      </c>
      <c r="H1863">
        <v>1722107079</v>
      </c>
      <c r="I1863">
        <v>1401217339</v>
      </c>
      <c r="J1863">
        <v>1274538034</v>
      </c>
      <c r="P1863">
        <v>41</v>
      </c>
      <c r="Q1863" t="s">
        <v>4047</v>
      </c>
    </row>
    <row r="1864" spans="1:17" x14ac:dyDescent="0.3">
      <c r="A1864" t="s">
        <v>17</v>
      </c>
      <c r="B1864" t="str">
        <f>"688185"</f>
        <v>688185</v>
      </c>
      <c r="C1864" t="s">
        <v>4048</v>
      </c>
      <c r="D1864" t="s">
        <v>1499</v>
      </c>
      <c r="F1864">
        <v>7995046000</v>
      </c>
      <c r="G1864">
        <v>6070854160</v>
      </c>
      <c r="H1864">
        <v>1470516718</v>
      </c>
      <c r="I1864">
        <v>502333618</v>
      </c>
      <c r="J1864">
        <v>607339176</v>
      </c>
      <c r="K1864">
        <v>214478926</v>
      </c>
      <c r="P1864">
        <v>266</v>
      </c>
      <c r="Q1864" t="s">
        <v>4049</v>
      </c>
    </row>
    <row r="1865" spans="1:17" x14ac:dyDescent="0.3">
      <c r="A1865" t="s">
        <v>17</v>
      </c>
      <c r="B1865" t="str">
        <f>"688186"</f>
        <v>688186</v>
      </c>
      <c r="C1865" t="s">
        <v>4050</v>
      </c>
      <c r="D1865" t="s">
        <v>281</v>
      </c>
      <c r="F1865">
        <v>3125475333</v>
      </c>
      <c r="G1865">
        <v>1747895529</v>
      </c>
      <c r="H1865">
        <v>1017133481</v>
      </c>
      <c r="I1865">
        <v>910827836</v>
      </c>
      <c r="J1865">
        <v>519789660</v>
      </c>
      <c r="K1865">
        <v>327745348</v>
      </c>
      <c r="P1865">
        <v>110</v>
      </c>
      <c r="Q1865" t="s">
        <v>4051</v>
      </c>
    </row>
    <row r="1866" spans="1:17" x14ac:dyDescent="0.3">
      <c r="A1866" t="s">
        <v>17</v>
      </c>
      <c r="B1866" t="str">
        <f>"688187"</f>
        <v>688187</v>
      </c>
      <c r="C1866" t="s">
        <v>4052</v>
      </c>
      <c r="D1866" t="s">
        <v>1012</v>
      </c>
      <c r="F1866">
        <v>32620993765</v>
      </c>
      <c r="G1866">
        <v>23852468161</v>
      </c>
      <c r="H1866">
        <v>21910263359</v>
      </c>
      <c r="I1866">
        <v>19824763980</v>
      </c>
      <c r="J1866">
        <v>17764353968</v>
      </c>
      <c r="P1866">
        <v>59</v>
      </c>
      <c r="Q1866" t="s">
        <v>4053</v>
      </c>
    </row>
    <row r="1867" spans="1:17" x14ac:dyDescent="0.3">
      <c r="A1867" t="s">
        <v>17</v>
      </c>
      <c r="B1867" t="str">
        <f>"688188"</f>
        <v>688188</v>
      </c>
      <c r="C1867" t="s">
        <v>4054</v>
      </c>
      <c r="D1867" t="s">
        <v>236</v>
      </c>
      <c r="F1867">
        <v>2989313571</v>
      </c>
      <c r="G1867">
        <v>2492777535</v>
      </c>
      <c r="H1867">
        <v>2148140802</v>
      </c>
      <c r="I1867">
        <v>290142972</v>
      </c>
      <c r="J1867">
        <v>179833208</v>
      </c>
      <c r="K1867">
        <v>100741086</v>
      </c>
      <c r="P1867">
        <v>363</v>
      </c>
      <c r="Q1867" t="s">
        <v>4055</v>
      </c>
    </row>
    <row r="1868" spans="1:17" x14ac:dyDescent="0.3">
      <c r="A1868" t="s">
        <v>17</v>
      </c>
      <c r="B1868" t="str">
        <f>"688189"</f>
        <v>688189</v>
      </c>
      <c r="C1868" t="s">
        <v>4056</v>
      </c>
      <c r="D1868" t="s">
        <v>143</v>
      </c>
      <c r="F1868">
        <v>1393196824</v>
      </c>
      <c r="G1868">
        <v>1600823793</v>
      </c>
      <c r="H1868">
        <v>332563290</v>
      </c>
      <c r="I1868">
        <v>234302993</v>
      </c>
      <c r="J1868">
        <v>180777461</v>
      </c>
      <c r="K1868">
        <v>153628144</v>
      </c>
      <c r="P1868">
        <v>97</v>
      </c>
      <c r="Q1868" t="s">
        <v>4057</v>
      </c>
    </row>
    <row r="1869" spans="1:17" x14ac:dyDescent="0.3">
      <c r="A1869" t="s">
        <v>17</v>
      </c>
      <c r="B1869" t="str">
        <f>"688190"</f>
        <v>688190</v>
      </c>
      <c r="C1869" t="s">
        <v>4058</v>
      </c>
      <c r="D1869" t="s">
        <v>581</v>
      </c>
      <c r="F1869">
        <v>1831964795</v>
      </c>
      <c r="G1869">
        <v>450633425</v>
      </c>
      <c r="H1869">
        <v>354955692</v>
      </c>
      <c r="I1869">
        <v>286416244</v>
      </c>
      <c r="P1869">
        <v>15</v>
      </c>
      <c r="Q1869" t="s">
        <v>4059</v>
      </c>
    </row>
    <row r="1870" spans="1:17" x14ac:dyDescent="0.3">
      <c r="A1870" t="s">
        <v>17</v>
      </c>
      <c r="B1870" t="str">
        <f>"688191"</f>
        <v>688191</v>
      </c>
      <c r="C1870" t="s">
        <v>4060</v>
      </c>
      <c r="D1870" t="s">
        <v>610</v>
      </c>
      <c r="F1870">
        <v>816503956</v>
      </c>
      <c r="G1870">
        <v>394305545</v>
      </c>
      <c r="H1870">
        <v>302128518</v>
      </c>
      <c r="I1870">
        <v>221323643</v>
      </c>
      <c r="J1870">
        <v>131749699</v>
      </c>
      <c r="P1870">
        <v>56</v>
      </c>
      <c r="Q1870" t="s">
        <v>4061</v>
      </c>
    </row>
    <row r="1871" spans="1:17" x14ac:dyDescent="0.3">
      <c r="A1871" t="s">
        <v>17</v>
      </c>
      <c r="B1871" t="str">
        <f>"688192"</f>
        <v>688192</v>
      </c>
      <c r="C1871" t="s">
        <v>4062</v>
      </c>
      <c r="D1871" t="s">
        <v>143</v>
      </c>
      <c r="F1871">
        <v>2462845979</v>
      </c>
      <c r="G1871">
        <v>1078910122</v>
      </c>
      <c r="H1871">
        <v>450402475</v>
      </c>
      <c r="I1871">
        <v>543594909</v>
      </c>
      <c r="P1871">
        <v>11</v>
      </c>
      <c r="Q1871" t="s">
        <v>4063</v>
      </c>
    </row>
    <row r="1872" spans="1:17" x14ac:dyDescent="0.3">
      <c r="A1872" t="s">
        <v>17</v>
      </c>
      <c r="B1872" t="str">
        <f>"688193"</f>
        <v>688193</v>
      </c>
      <c r="C1872" t="s">
        <v>4064</v>
      </c>
      <c r="F1872">
        <v>287747428</v>
      </c>
      <c r="G1872">
        <v>215032520</v>
      </c>
      <c r="H1872">
        <v>150657750</v>
      </c>
      <c r="I1872">
        <v>143018255</v>
      </c>
      <c r="P1872">
        <v>2</v>
      </c>
      <c r="Q1872" t="s">
        <v>4065</v>
      </c>
    </row>
    <row r="1873" spans="1:17" x14ac:dyDescent="0.3">
      <c r="A1873" t="s">
        <v>17</v>
      </c>
      <c r="B1873" t="str">
        <f>"688195"</f>
        <v>688195</v>
      </c>
      <c r="C1873" t="s">
        <v>4066</v>
      </c>
      <c r="D1873" t="s">
        <v>164</v>
      </c>
      <c r="F1873">
        <v>836845043</v>
      </c>
      <c r="G1873">
        <v>414801146</v>
      </c>
      <c r="H1873">
        <v>343986491</v>
      </c>
      <c r="I1873">
        <v>204587992</v>
      </c>
      <c r="J1873">
        <v>171059886</v>
      </c>
      <c r="P1873">
        <v>41</v>
      </c>
      <c r="Q1873" t="s">
        <v>4067</v>
      </c>
    </row>
    <row r="1874" spans="1:17" x14ac:dyDescent="0.3">
      <c r="A1874" t="s">
        <v>17</v>
      </c>
      <c r="B1874" t="str">
        <f>"688196"</f>
        <v>688196</v>
      </c>
      <c r="C1874" t="s">
        <v>4068</v>
      </c>
      <c r="D1874" t="s">
        <v>386</v>
      </c>
      <c r="F1874">
        <v>2470076827</v>
      </c>
      <c r="G1874">
        <v>2223721148</v>
      </c>
      <c r="H1874">
        <v>2067901844</v>
      </c>
      <c r="I1874">
        <v>651441040</v>
      </c>
      <c r="J1874">
        <v>537555250</v>
      </c>
      <c r="K1874">
        <v>472739612</v>
      </c>
      <c r="P1874">
        <v>188</v>
      </c>
      <c r="Q1874" t="s">
        <v>4069</v>
      </c>
    </row>
    <row r="1875" spans="1:17" x14ac:dyDescent="0.3">
      <c r="A1875" t="s">
        <v>17</v>
      </c>
      <c r="B1875" t="str">
        <f>"688197"</f>
        <v>688197</v>
      </c>
      <c r="C1875" t="s">
        <v>4070</v>
      </c>
      <c r="F1875">
        <v>1501714</v>
      </c>
      <c r="G1875">
        <v>146423111</v>
      </c>
      <c r="H1875">
        <v>173842824</v>
      </c>
      <c r="I1875">
        <v>-35821281</v>
      </c>
      <c r="J1875">
        <v>2355906</v>
      </c>
      <c r="P1875">
        <v>3</v>
      </c>
      <c r="Q1875" t="s">
        <v>4071</v>
      </c>
    </row>
    <row r="1876" spans="1:17" x14ac:dyDescent="0.3">
      <c r="A1876" t="s">
        <v>17</v>
      </c>
      <c r="B1876" t="str">
        <f>"688198"</f>
        <v>688198</v>
      </c>
      <c r="C1876" t="s">
        <v>4072</v>
      </c>
      <c r="D1876" t="s">
        <v>1077</v>
      </c>
      <c r="F1876">
        <v>989510317</v>
      </c>
      <c r="G1876">
        <v>837197094</v>
      </c>
      <c r="H1876">
        <v>765676356</v>
      </c>
      <c r="I1876">
        <v>196614787</v>
      </c>
      <c r="J1876">
        <v>133962363</v>
      </c>
      <c r="K1876">
        <v>93962981</v>
      </c>
      <c r="P1876">
        <v>190</v>
      </c>
      <c r="Q1876" t="s">
        <v>4073</v>
      </c>
    </row>
    <row r="1877" spans="1:17" x14ac:dyDescent="0.3">
      <c r="A1877" t="s">
        <v>17</v>
      </c>
      <c r="B1877" t="str">
        <f>"688199"</f>
        <v>688199</v>
      </c>
      <c r="C1877" t="s">
        <v>4074</v>
      </c>
      <c r="D1877" t="s">
        <v>386</v>
      </c>
      <c r="F1877">
        <v>2733787913</v>
      </c>
      <c r="G1877">
        <v>2616701608</v>
      </c>
      <c r="H1877">
        <v>2667259790</v>
      </c>
      <c r="I1877">
        <v>785268516</v>
      </c>
      <c r="J1877">
        <v>614720821</v>
      </c>
      <c r="K1877">
        <v>564128505</v>
      </c>
      <c r="P1877">
        <v>94</v>
      </c>
      <c r="Q1877" t="s">
        <v>4075</v>
      </c>
    </row>
    <row r="1878" spans="1:17" x14ac:dyDescent="0.3">
      <c r="A1878" t="s">
        <v>17</v>
      </c>
      <c r="B1878" t="str">
        <f>"688200"</f>
        <v>688200</v>
      </c>
      <c r="C1878" t="s">
        <v>4076</v>
      </c>
      <c r="D1878" t="s">
        <v>3187</v>
      </c>
      <c r="F1878">
        <v>2621095419</v>
      </c>
      <c r="G1878">
        <v>2134736499</v>
      </c>
      <c r="H1878">
        <v>428011297</v>
      </c>
      <c r="I1878">
        <v>235655271</v>
      </c>
      <c r="J1878">
        <v>177226009</v>
      </c>
      <c r="K1878">
        <v>139513996</v>
      </c>
      <c r="P1878">
        <v>291</v>
      </c>
      <c r="Q1878" t="s">
        <v>4077</v>
      </c>
    </row>
    <row r="1879" spans="1:17" x14ac:dyDescent="0.3">
      <c r="A1879" t="s">
        <v>17</v>
      </c>
      <c r="B1879" t="str">
        <f>"688201"</f>
        <v>688201</v>
      </c>
      <c r="C1879" t="s">
        <v>4078</v>
      </c>
      <c r="D1879" t="s">
        <v>1189</v>
      </c>
      <c r="F1879">
        <v>1026425728</v>
      </c>
      <c r="G1879">
        <v>422643549</v>
      </c>
      <c r="H1879">
        <v>347627230</v>
      </c>
      <c r="I1879">
        <v>291853000</v>
      </c>
      <c r="J1879">
        <v>182454172</v>
      </c>
      <c r="P1879">
        <v>62</v>
      </c>
      <c r="Q1879" t="s">
        <v>4079</v>
      </c>
    </row>
    <row r="1880" spans="1:17" x14ac:dyDescent="0.3">
      <c r="A1880" t="s">
        <v>17</v>
      </c>
      <c r="B1880" t="str">
        <f>"688202"</f>
        <v>688202</v>
      </c>
      <c r="C1880" t="s">
        <v>4080</v>
      </c>
      <c r="D1880" t="s">
        <v>1461</v>
      </c>
      <c r="F1880">
        <v>1327509394</v>
      </c>
      <c r="G1880">
        <v>1123309578</v>
      </c>
      <c r="H1880">
        <v>993047150</v>
      </c>
      <c r="I1880">
        <v>347722816</v>
      </c>
      <c r="J1880">
        <v>286950236</v>
      </c>
      <c r="K1880">
        <v>245329547</v>
      </c>
      <c r="P1880">
        <v>382</v>
      </c>
      <c r="Q1880" t="s">
        <v>4081</v>
      </c>
    </row>
    <row r="1881" spans="1:17" x14ac:dyDescent="0.3">
      <c r="A1881" t="s">
        <v>17</v>
      </c>
      <c r="B1881" t="str">
        <f>"688206"</f>
        <v>688206</v>
      </c>
      <c r="C1881" t="s">
        <v>4082</v>
      </c>
      <c r="D1881" t="s">
        <v>3187</v>
      </c>
      <c r="F1881">
        <v>2111085944</v>
      </c>
      <c r="G1881">
        <v>969119901</v>
      </c>
      <c r="H1881">
        <v>82648998</v>
      </c>
      <c r="I1881">
        <v>39573344</v>
      </c>
      <c r="P1881">
        <v>26</v>
      </c>
      <c r="Q1881" t="s">
        <v>4083</v>
      </c>
    </row>
    <row r="1882" spans="1:17" x14ac:dyDescent="0.3">
      <c r="A1882" t="s">
        <v>17</v>
      </c>
      <c r="B1882" t="str">
        <f>"688207"</f>
        <v>688207</v>
      </c>
      <c r="C1882" t="s">
        <v>4084</v>
      </c>
      <c r="F1882">
        <v>617341018</v>
      </c>
      <c r="G1882">
        <v>542128637</v>
      </c>
      <c r="H1882">
        <v>316954026</v>
      </c>
      <c r="I1882">
        <v>165615495</v>
      </c>
      <c r="P1882">
        <v>7</v>
      </c>
      <c r="Q1882" t="s">
        <v>4085</v>
      </c>
    </row>
    <row r="1883" spans="1:17" x14ac:dyDescent="0.3">
      <c r="A1883" t="s">
        <v>17</v>
      </c>
      <c r="B1883" t="str">
        <f>"688208"</f>
        <v>688208</v>
      </c>
      <c r="C1883" t="s">
        <v>4086</v>
      </c>
      <c r="D1883" t="s">
        <v>236</v>
      </c>
      <c r="F1883">
        <v>2858877423</v>
      </c>
      <c r="G1883">
        <v>2533000989</v>
      </c>
      <c r="H1883">
        <v>1165169758</v>
      </c>
      <c r="I1883">
        <v>1034441274</v>
      </c>
      <c r="J1883">
        <v>700983832</v>
      </c>
      <c r="K1883">
        <v>605075007</v>
      </c>
      <c r="P1883">
        <v>220</v>
      </c>
      <c r="Q1883" t="s">
        <v>4087</v>
      </c>
    </row>
    <row r="1884" spans="1:17" x14ac:dyDescent="0.3">
      <c r="A1884" t="s">
        <v>17</v>
      </c>
      <c r="B1884" t="str">
        <f>"688209"</f>
        <v>688209</v>
      </c>
      <c r="C1884" t="s">
        <v>4088</v>
      </c>
      <c r="F1884">
        <v>679433038</v>
      </c>
      <c r="G1884">
        <v>505527158</v>
      </c>
      <c r="H1884">
        <v>211677401</v>
      </c>
      <c r="I1884">
        <v>77971388</v>
      </c>
      <c r="P1884">
        <v>5</v>
      </c>
      <c r="Q1884" t="s">
        <v>4089</v>
      </c>
    </row>
    <row r="1885" spans="1:17" x14ac:dyDescent="0.3">
      <c r="A1885" t="s">
        <v>17</v>
      </c>
      <c r="B1885" t="str">
        <f>"688210"</f>
        <v>688210</v>
      </c>
      <c r="C1885" t="s">
        <v>4090</v>
      </c>
      <c r="D1885" t="s">
        <v>313</v>
      </c>
      <c r="F1885">
        <v>1120744095</v>
      </c>
      <c r="G1885">
        <v>300541182</v>
      </c>
      <c r="H1885">
        <v>202172867</v>
      </c>
      <c r="I1885">
        <v>81645336</v>
      </c>
      <c r="J1885">
        <v>3366553</v>
      </c>
      <c r="P1885">
        <v>9</v>
      </c>
      <c r="Q1885" t="s">
        <v>4091</v>
      </c>
    </row>
    <row r="1886" spans="1:17" x14ac:dyDescent="0.3">
      <c r="A1886" t="s">
        <v>17</v>
      </c>
      <c r="B1886" t="str">
        <f>"688211"</f>
        <v>688211</v>
      </c>
      <c r="C1886" t="s">
        <v>4092</v>
      </c>
      <c r="D1886" t="s">
        <v>741</v>
      </c>
      <c r="F1886">
        <v>3852835454</v>
      </c>
      <c r="G1886">
        <v>794644702</v>
      </c>
      <c r="H1886">
        <v>331025928</v>
      </c>
      <c r="I1886">
        <v>125212590</v>
      </c>
      <c r="J1886">
        <v>41375235</v>
      </c>
      <c r="P1886">
        <v>27</v>
      </c>
      <c r="Q1886" t="s">
        <v>4093</v>
      </c>
    </row>
    <row r="1887" spans="1:17" x14ac:dyDescent="0.3">
      <c r="A1887" t="s">
        <v>17</v>
      </c>
      <c r="B1887" t="str">
        <f>"688212"</f>
        <v>688212</v>
      </c>
      <c r="C1887" t="s">
        <v>4094</v>
      </c>
      <c r="D1887" t="s">
        <v>122</v>
      </c>
      <c r="F1887">
        <v>1248618273</v>
      </c>
      <c r="G1887">
        <v>534290428</v>
      </c>
      <c r="H1887">
        <v>511797943</v>
      </c>
      <c r="I1887">
        <v>426209341</v>
      </c>
      <c r="J1887">
        <v>232876311</v>
      </c>
      <c r="P1887">
        <v>31</v>
      </c>
      <c r="Q1887" t="s">
        <v>4095</v>
      </c>
    </row>
    <row r="1888" spans="1:17" x14ac:dyDescent="0.3">
      <c r="A1888" t="s">
        <v>17</v>
      </c>
      <c r="B1888" t="str">
        <f>"688213"</f>
        <v>688213</v>
      </c>
      <c r="C1888" t="s">
        <v>4096</v>
      </c>
      <c r="F1888">
        <v>2628356802</v>
      </c>
      <c r="G1888">
        <v>2221228674</v>
      </c>
      <c r="H1888">
        <v>-9028187</v>
      </c>
      <c r="I1888">
        <v>-50315271</v>
      </c>
      <c r="Q1888" t="s">
        <v>4097</v>
      </c>
    </row>
    <row r="1889" spans="1:17" x14ac:dyDescent="0.3">
      <c r="A1889" t="s">
        <v>17</v>
      </c>
      <c r="B1889" t="str">
        <f>"688215"</f>
        <v>688215</v>
      </c>
      <c r="C1889" t="s">
        <v>4098</v>
      </c>
      <c r="D1889" t="s">
        <v>3477</v>
      </c>
      <c r="F1889">
        <v>437806208</v>
      </c>
      <c r="G1889">
        <v>430555163</v>
      </c>
      <c r="H1889">
        <v>123257216</v>
      </c>
      <c r="I1889">
        <v>76650337</v>
      </c>
      <c r="J1889">
        <v>57233812</v>
      </c>
      <c r="K1889">
        <v>45104888</v>
      </c>
      <c r="P1889">
        <v>62</v>
      </c>
      <c r="Q1889" t="s">
        <v>4099</v>
      </c>
    </row>
    <row r="1890" spans="1:17" x14ac:dyDescent="0.3">
      <c r="A1890" t="s">
        <v>17</v>
      </c>
      <c r="B1890" t="str">
        <f>"688216"</f>
        <v>688216</v>
      </c>
      <c r="C1890" t="s">
        <v>4100</v>
      </c>
      <c r="D1890" t="s">
        <v>1180</v>
      </c>
      <c r="F1890">
        <v>1001531733</v>
      </c>
      <c r="G1890">
        <v>545722984</v>
      </c>
      <c r="H1890">
        <v>470334206</v>
      </c>
      <c r="I1890">
        <v>446565737</v>
      </c>
      <c r="J1890">
        <v>343675317</v>
      </c>
      <c r="P1890">
        <v>26</v>
      </c>
      <c r="Q1890" t="s">
        <v>4101</v>
      </c>
    </row>
    <row r="1891" spans="1:17" x14ac:dyDescent="0.3">
      <c r="A1891" t="s">
        <v>17</v>
      </c>
      <c r="B1891" t="str">
        <f>"688217"</f>
        <v>688217</v>
      </c>
      <c r="C1891" t="s">
        <v>4102</v>
      </c>
      <c r="D1891" t="s">
        <v>1305</v>
      </c>
      <c r="F1891">
        <v>888814969</v>
      </c>
      <c r="G1891">
        <v>646685381</v>
      </c>
      <c r="H1891">
        <v>607971911</v>
      </c>
      <c r="I1891">
        <v>572024194</v>
      </c>
      <c r="J1891">
        <v>457445795</v>
      </c>
      <c r="P1891">
        <v>31</v>
      </c>
      <c r="Q1891" t="s">
        <v>4103</v>
      </c>
    </row>
    <row r="1892" spans="1:17" x14ac:dyDescent="0.3">
      <c r="A1892" t="s">
        <v>17</v>
      </c>
      <c r="B1892" t="str">
        <f>"688218"</f>
        <v>688218</v>
      </c>
      <c r="C1892" t="s">
        <v>4104</v>
      </c>
      <c r="D1892" t="s">
        <v>2938</v>
      </c>
      <c r="F1892">
        <v>861830159</v>
      </c>
      <c r="G1892">
        <v>845565533</v>
      </c>
      <c r="H1892">
        <v>832454399</v>
      </c>
      <c r="I1892">
        <v>346862814</v>
      </c>
      <c r="J1892">
        <v>232504505</v>
      </c>
      <c r="K1892">
        <v>84138914</v>
      </c>
      <c r="P1892">
        <v>47</v>
      </c>
      <c r="Q1892" t="s">
        <v>4105</v>
      </c>
    </row>
    <row r="1893" spans="1:17" x14ac:dyDescent="0.3">
      <c r="A1893" t="s">
        <v>17</v>
      </c>
      <c r="B1893" t="str">
        <f>"688219"</f>
        <v>688219</v>
      </c>
      <c r="C1893" t="s">
        <v>4106</v>
      </c>
      <c r="D1893" t="s">
        <v>341</v>
      </c>
      <c r="F1893">
        <v>1697616462</v>
      </c>
      <c r="G1893">
        <v>1689494271</v>
      </c>
      <c r="H1893">
        <v>1179461640</v>
      </c>
      <c r="I1893">
        <v>918629698</v>
      </c>
      <c r="J1893">
        <v>540762991</v>
      </c>
      <c r="P1893">
        <v>50</v>
      </c>
      <c r="Q1893" t="s">
        <v>4107</v>
      </c>
    </row>
    <row r="1894" spans="1:17" x14ac:dyDescent="0.3">
      <c r="A1894" t="s">
        <v>17</v>
      </c>
      <c r="B1894" t="str">
        <f>"688220"</f>
        <v>688220</v>
      </c>
      <c r="C1894" t="s">
        <v>4108</v>
      </c>
      <c r="D1894" t="s">
        <v>401</v>
      </c>
      <c r="F1894">
        <v>1131344938</v>
      </c>
      <c r="G1894">
        <v>1707468802</v>
      </c>
      <c r="H1894">
        <v>705827458</v>
      </c>
      <c r="I1894">
        <v>616550869</v>
      </c>
      <c r="J1894">
        <v>430463840</v>
      </c>
      <c r="P1894">
        <v>19</v>
      </c>
      <c r="Q1894" t="s">
        <v>4109</v>
      </c>
    </row>
    <row r="1895" spans="1:17" x14ac:dyDescent="0.3">
      <c r="A1895" t="s">
        <v>17</v>
      </c>
      <c r="B1895" t="str">
        <f>"688221"</f>
        <v>688221</v>
      </c>
      <c r="C1895" t="s">
        <v>4110</v>
      </c>
      <c r="D1895" t="s">
        <v>143</v>
      </c>
      <c r="F1895">
        <v>1830225954</v>
      </c>
      <c r="G1895">
        <v>2143045644</v>
      </c>
      <c r="H1895">
        <v>602830264</v>
      </c>
      <c r="I1895">
        <v>636042743</v>
      </c>
      <c r="J1895">
        <v>503179480</v>
      </c>
      <c r="K1895">
        <v>496257805</v>
      </c>
      <c r="P1895">
        <v>51</v>
      </c>
      <c r="Q1895" t="s">
        <v>4111</v>
      </c>
    </row>
    <row r="1896" spans="1:17" x14ac:dyDescent="0.3">
      <c r="A1896" t="s">
        <v>17</v>
      </c>
      <c r="B1896" t="str">
        <f>"688222"</f>
        <v>688222</v>
      </c>
      <c r="C1896" t="s">
        <v>4112</v>
      </c>
      <c r="D1896" t="s">
        <v>1461</v>
      </c>
      <c r="F1896">
        <v>1315907404</v>
      </c>
      <c r="G1896">
        <v>1277930264</v>
      </c>
      <c r="H1896">
        <v>511772244</v>
      </c>
      <c r="I1896">
        <v>389668922</v>
      </c>
      <c r="J1896">
        <v>95528043</v>
      </c>
      <c r="K1896">
        <v>117976597</v>
      </c>
      <c r="P1896">
        <v>128</v>
      </c>
      <c r="Q1896" t="s">
        <v>4113</v>
      </c>
    </row>
    <row r="1897" spans="1:17" x14ac:dyDescent="0.3">
      <c r="A1897" t="s">
        <v>17</v>
      </c>
      <c r="B1897" t="str">
        <f>"688223"</f>
        <v>688223</v>
      </c>
      <c r="C1897" t="s">
        <v>4114</v>
      </c>
      <c r="D1897" t="s">
        <v>475</v>
      </c>
      <c r="F1897">
        <v>13551880081</v>
      </c>
      <c r="G1897">
        <v>12508813868</v>
      </c>
      <c r="H1897">
        <v>8802762077</v>
      </c>
      <c r="I1897">
        <v>7245907629</v>
      </c>
      <c r="P1897">
        <v>29</v>
      </c>
      <c r="Q1897" t="s">
        <v>4115</v>
      </c>
    </row>
    <row r="1898" spans="1:17" x14ac:dyDescent="0.3">
      <c r="A1898" t="s">
        <v>17</v>
      </c>
      <c r="B1898" t="str">
        <f>"688225"</f>
        <v>688225</v>
      </c>
      <c r="C1898" t="s">
        <v>4116</v>
      </c>
      <c r="F1898">
        <v>1458075253</v>
      </c>
      <c r="G1898">
        <v>1230747760</v>
      </c>
      <c r="H1898">
        <v>597241803</v>
      </c>
      <c r="I1898">
        <v>392805058</v>
      </c>
      <c r="J1898">
        <v>253391080</v>
      </c>
      <c r="P1898">
        <v>9</v>
      </c>
      <c r="Q1898" t="s">
        <v>4117</v>
      </c>
    </row>
    <row r="1899" spans="1:17" x14ac:dyDescent="0.3">
      <c r="A1899" t="s">
        <v>17</v>
      </c>
      <c r="B1899" t="str">
        <f>"688226"</f>
        <v>688226</v>
      </c>
      <c r="C1899" t="s">
        <v>4118</v>
      </c>
      <c r="D1899" t="s">
        <v>1164</v>
      </c>
      <c r="F1899">
        <v>863455987</v>
      </c>
      <c r="G1899">
        <v>608510068</v>
      </c>
      <c r="H1899">
        <v>560312469</v>
      </c>
      <c r="I1899">
        <v>506156975</v>
      </c>
      <c r="J1899">
        <v>467882687</v>
      </c>
      <c r="P1899">
        <v>19</v>
      </c>
      <c r="Q1899" t="s">
        <v>4119</v>
      </c>
    </row>
    <row r="1900" spans="1:17" x14ac:dyDescent="0.3">
      <c r="A1900" t="s">
        <v>17</v>
      </c>
      <c r="B1900" t="str">
        <f>"688227"</f>
        <v>688227</v>
      </c>
      <c r="C1900" t="s">
        <v>4120</v>
      </c>
      <c r="D1900" t="s">
        <v>316</v>
      </c>
      <c r="F1900">
        <v>1407796047</v>
      </c>
      <c r="G1900">
        <v>435021648</v>
      </c>
      <c r="H1900">
        <v>389493550</v>
      </c>
      <c r="I1900">
        <v>179853939</v>
      </c>
      <c r="J1900">
        <v>138920503</v>
      </c>
      <c r="P1900">
        <v>13</v>
      </c>
      <c r="Q1900" t="s">
        <v>4121</v>
      </c>
    </row>
    <row r="1901" spans="1:17" x14ac:dyDescent="0.3">
      <c r="A1901" t="s">
        <v>17</v>
      </c>
      <c r="B1901" t="str">
        <f>"688228"</f>
        <v>688228</v>
      </c>
      <c r="C1901" t="s">
        <v>4122</v>
      </c>
      <c r="D1901" t="s">
        <v>316</v>
      </c>
      <c r="F1901">
        <v>1216819043</v>
      </c>
      <c r="G1901">
        <v>1176640663</v>
      </c>
      <c r="H1901">
        <v>233988870</v>
      </c>
      <c r="I1901">
        <v>171151746</v>
      </c>
      <c r="J1901">
        <v>129772391</v>
      </c>
      <c r="K1901">
        <v>35766068</v>
      </c>
      <c r="P1901">
        <v>93</v>
      </c>
      <c r="Q1901" t="s">
        <v>4123</v>
      </c>
    </row>
    <row r="1902" spans="1:17" x14ac:dyDescent="0.3">
      <c r="A1902" t="s">
        <v>17</v>
      </c>
      <c r="B1902" t="str">
        <f>"688229"</f>
        <v>688229</v>
      </c>
      <c r="C1902" t="s">
        <v>4124</v>
      </c>
      <c r="D1902" t="s">
        <v>316</v>
      </c>
      <c r="F1902">
        <v>772038595</v>
      </c>
      <c r="G1902">
        <v>840892365</v>
      </c>
      <c r="H1902">
        <v>203896540</v>
      </c>
      <c r="I1902">
        <v>162838861</v>
      </c>
      <c r="J1902">
        <v>110498626</v>
      </c>
      <c r="K1902">
        <v>70503238</v>
      </c>
      <c r="P1902">
        <v>63</v>
      </c>
      <c r="Q1902" t="s">
        <v>4125</v>
      </c>
    </row>
    <row r="1903" spans="1:17" x14ac:dyDescent="0.3">
      <c r="A1903" t="s">
        <v>17</v>
      </c>
      <c r="B1903" t="str">
        <f>"688230"</f>
        <v>688230</v>
      </c>
      <c r="C1903" t="s">
        <v>4126</v>
      </c>
      <c r="D1903" t="s">
        <v>795</v>
      </c>
      <c r="F1903">
        <v>2087654665</v>
      </c>
      <c r="G1903">
        <v>142639700</v>
      </c>
      <c r="H1903">
        <v>86475879</v>
      </c>
      <c r="I1903">
        <v>68382620</v>
      </c>
      <c r="P1903">
        <v>24</v>
      </c>
      <c r="Q1903" t="s">
        <v>4127</v>
      </c>
    </row>
    <row r="1904" spans="1:17" x14ac:dyDescent="0.3">
      <c r="A1904" t="s">
        <v>17</v>
      </c>
      <c r="B1904" t="str">
        <f>"688232"</f>
        <v>688232</v>
      </c>
      <c r="C1904" t="s">
        <v>4128</v>
      </c>
      <c r="D1904" t="s">
        <v>945</v>
      </c>
      <c r="F1904">
        <v>5207566914</v>
      </c>
      <c r="G1904">
        <v>876195272</v>
      </c>
      <c r="H1904">
        <v>489519755</v>
      </c>
      <c r="I1904">
        <v>627615470</v>
      </c>
      <c r="J1904">
        <v>481567664</v>
      </c>
      <c r="P1904">
        <v>26</v>
      </c>
      <c r="Q1904" t="s">
        <v>4129</v>
      </c>
    </row>
    <row r="1905" spans="1:17" x14ac:dyDescent="0.3">
      <c r="A1905" t="s">
        <v>17</v>
      </c>
      <c r="B1905" t="str">
        <f>"688233"</f>
        <v>688233</v>
      </c>
      <c r="C1905" t="s">
        <v>4130</v>
      </c>
      <c r="D1905" t="s">
        <v>475</v>
      </c>
      <c r="F1905">
        <v>1414176574</v>
      </c>
      <c r="G1905">
        <v>1211846637</v>
      </c>
      <c r="H1905">
        <v>360704903</v>
      </c>
      <c r="I1905">
        <v>334351435</v>
      </c>
      <c r="J1905">
        <v>158528305</v>
      </c>
      <c r="K1905">
        <v>92538961</v>
      </c>
      <c r="P1905">
        <v>170</v>
      </c>
      <c r="Q1905" t="s">
        <v>4131</v>
      </c>
    </row>
    <row r="1906" spans="1:17" x14ac:dyDescent="0.3">
      <c r="A1906" t="s">
        <v>17</v>
      </c>
      <c r="B1906" t="str">
        <f>"688234"</f>
        <v>688234</v>
      </c>
      <c r="C1906" t="s">
        <v>4132</v>
      </c>
      <c r="D1906" t="s">
        <v>475</v>
      </c>
      <c r="F1906">
        <v>2222464237</v>
      </c>
      <c r="G1906">
        <v>2133021734</v>
      </c>
      <c r="H1906">
        <v>499217367</v>
      </c>
      <c r="I1906">
        <v>-19062005</v>
      </c>
      <c r="P1906">
        <v>32</v>
      </c>
      <c r="Q1906" t="s">
        <v>4133</v>
      </c>
    </row>
    <row r="1907" spans="1:17" x14ac:dyDescent="0.3">
      <c r="A1907" t="s">
        <v>17</v>
      </c>
      <c r="B1907" t="str">
        <f>"688235"</f>
        <v>688235</v>
      </c>
      <c r="C1907" t="s">
        <v>4134</v>
      </c>
      <c r="D1907" t="s">
        <v>1379</v>
      </c>
      <c r="F1907">
        <v>39925772000</v>
      </c>
      <c r="G1907">
        <v>25335550000</v>
      </c>
      <c r="H1907">
        <v>6773389000</v>
      </c>
      <c r="I1907">
        <v>12063074000</v>
      </c>
      <c r="J1907">
        <v>4325155000</v>
      </c>
      <c r="P1907">
        <v>58</v>
      </c>
      <c r="Q1907" t="s">
        <v>4135</v>
      </c>
    </row>
    <row r="1908" spans="1:17" x14ac:dyDescent="0.3">
      <c r="A1908" t="s">
        <v>17</v>
      </c>
      <c r="B1908" t="str">
        <f>"688236"</f>
        <v>688236</v>
      </c>
      <c r="C1908" t="s">
        <v>4136</v>
      </c>
      <c r="D1908" t="s">
        <v>1077</v>
      </c>
      <c r="F1908">
        <v>2469077386</v>
      </c>
      <c r="G1908">
        <v>1079588357</v>
      </c>
      <c r="H1908">
        <v>806590637</v>
      </c>
      <c r="I1908">
        <v>628139886</v>
      </c>
      <c r="J1908">
        <v>538472178</v>
      </c>
      <c r="P1908">
        <v>20</v>
      </c>
      <c r="Q1908" t="s">
        <v>4137</v>
      </c>
    </row>
    <row r="1909" spans="1:17" x14ac:dyDescent="0.3">
      <c r="A1909" t="s">
        <v>17</v>
      </c>
      <c r="B1909" t="str">
        <f>"688238"</f>
        <v>688238</v>
      </c>
      <c r="C1909" t="s">
        <v>4138</v>
      </c>
      <c r="F1909">
        <v>917666625</v>
      </c>
      <c r="G1909">
        <v>849449720</v>
      </c>
      <c r="H1909">
        <v>84877519</v>
      </c>
      <c r="I1909">
        <v>74833995</v>
      </c>
      <c r="P1909">
        <v>7</v>
      </c>
      <c r="Q1909" t="s">
        <v>4139</v>
      </c>
    </row>
    <row r="1910" spans="1:17" x14ac:dyDescent="0.3">
      <c r="A1910" t="s">
        <v>17</v>
      </c>
      <c r="B1910" t="str">
        <f>"688239"</f>
        <v>688239</v>
      </c>
      <c r="C1910" t="s">
        <v>4140</v>
      </c>
      <c r="D1910" t="s">
        <v>98</v>
      </c>
      <c r="F1910">
        <v>1040390127</v>
      </c>
      <c r="G1910">
        <v>552823592</v>
      </c>
      <c r="H1910">
        <v>480128703</v>
      </c>
      <c r="I1910">
        <v>426263762</v>
      </c>
      <c r="J1910">
        <v>401854522</v>
      </c>
      <c r="P1910">
        <v>57</v>
      </c>
      <c r="Q1910" t="s">
        <v>4141</v>
      </c>
    </row>
    <row r="1911" spans="1:17" x14ac:dyDescent="0.3">
      <c r="A1911" t="s">
        <v>17</v>
      </c>
      <c r="B1911" t="str">
        <f>"688246"</f>
        <v>688246</v>
      </c>
      <c r="C1911" t="s">
        <v>4142</v>
      </c>
      <c r="D1911" t="s">
        <v>945</v>
      </c>
      <c r="F1911">
        <v>1734956287</v>
      </c>
      <c r="G1911">
        <v>444881587</v>
      </c>
      <c r="H1911">
        <v>292570170</v>
      </c>
      <c r="I1911">
        <v>249714608</v>
      </c>
      <c r="J1911">
        <v>312959775</v>
      </c>
      <c r="P1911">
        <v>12</v>
      </c>
      <c r="Q1911" t="s">
        <v>4143</v>
      </c>
    </row>
    <row r="1912" spans="1:17" x14ac:dyDescent="0.3">
      <c r="A1912" t="s">
        <v>17</v>
      </c>
      <c r="B1912" t="str">
        <f>"688248"</f>
        <v>688248</v>
      </c>
      <c r="C1912" t="s">
        <v>4144</v>
      </c>
      <c r="D1912" t="s">
        <v>610</v>
      </c>
      <c r="F1912">
        <v>2431522850</v>
      </c>
      <c r="G1912">
        <v>1357589007</v>
      </c>
      <c r="H1912">
        <v>501303592</v>
      </c>
      <c r="I1912">
        <v>138051712</v>
      </c>
      <c r="P1912">
        <v>14</v>
      </c>
      <c r="Q1912" t="s">
        <v>4145</v>
      </c>
    </row>
    <row r="1913" spans="1:17" x14ac:dyDescent="0.3">
      <c r="A1913" t="s">
        <v>17</v>
      </c>
      <c r="B1913" t="str">
        <f>"688255"</f>
        <v>688255</v>
      </c>
      <c r="C1913" t="s">
        <v>4146</v>
      </c>
      <c r="D1913" t="s">
        <v>2938</v>
      </c>
      <c r="F1913">
        <v>1119316908</v>
      </c>
      <c r="G1913">
        <v>224446500</v>
      </c>
      <c r="H1913">
        <v>150397181</v>
      </c>
      <c r="I1913">
        <v>129731063</v>
      </c>
      <c r="J1913">
        <v>267758517</v>
      </c>
      <c r="P1913">
        <v>19</v>
      </c>
      <c r="Q1913" t="s">
        <v>4147</v>
      </c>
    </row>
    <row r="1914" spans="1:17" x14ac:dyDescent="0.3">
      <c r="A1914" t="s">
        <v>17</v>
      </c>
      <c r="B1914" t="str">
        <f>"688256"</f>
        <v>688256</v>
      </c>
      <c r="C1914" t="s">
        <v>4148</v>
      </c>
      <c r="D1914" t="s">
        <v>461</v>
      </c>
      <c r="F1914">
        <v>5890957275</v>
      </c>
      <c r="G1914">
        <v>6431501233</v>
      </c>
      <c r="H1914">
        <v>4356479509</v>
      </c>
      <c r="I1914">
        <v>510642389</v>
      </c>
      <c r="J1914">
        <v>33076569</v>
      </c>
      <c r="P1914">
        <v>192</v>
      </c>
      <c r="Q1914" t="s">
        <v>4149</v>
      </c>
    </row>
    <row r="1915" spans="1:17" x14ac:dyDescent="0.3">
      <c r="A1915" t="s">
        <v>17</v>
      </c>
      <c r="B1915" t="str">
        <f>"688257"</f>
        <v>688257</v>
      </c>
      <c r="C1915" t="s">
        <v>4150</v>
      </c>
      <c r="D1915" t="s">
        <v>274</v>
      </c>
      <c r="F1915">
        <v>1990482615</v>
      </c>
      <c r="G1915">
        <v>514665412</v>
      </c>
      <c r="H1915">
        <v>374226779</v>
      </c>
      <c r="I1915">
        <v>315176152</v>
      </c>
      <c r="J1915">
        <v>276462332</v>
      </c>
      <c r="P1915">
        <v>17</v>
      </c>
      <c r="Q1915" t="s">
        <v>4151</v>
      </c>
    </row>
    <row r="1916" spans="1:17" x14ac:dyDescent="0.3">
      <c r="A1916" t="s">
        <v>17</v>
      </c>
      <c r="B1916" t="str">
        <f>"688258"</f>
        <v>688258</v>
      </c>
      <c r="C1916" t="s">
        <v>4152</v>
      </c>
      <c r="D1916" t="s">
        <v>316</v>
      </c>
      <c r="F1916">
        <v>897689671</v>
      </c>
      <c r="G1916">
        <v>902109954</v>
      </c>
      <c r="H1916">
        <v>855724948</v>
      </c>
      <c r="I1916">
        <v>294277352</v>
      </c>
      <c r="J1916">
        <v>242699566</v>
      </c>
      <c r="K1916">
        <v>209626287</v>
      </c>
      <c r="P1916">
        <v>2718</v>
      </c>
      <c r="Q1916" t="s">
        <v>4153</v>
      </c>
    </row>
    <row r="1917" spans="1:17" x14ac:dyDescent="0.3">
      <c r="A1917" t="s">
        <v>17</v>
      </c>
      <c r="B1917" t="str">
        <f>"688259"</f>
        <v>688259</v>
      </c>
      <c r="C1917" t="s">
        <v>4154</v>
      </c>
      <c r="D1917" t="s">
        <v>461</v>
      </c>
      <c r="F1917">
        <v>199920985</v>
      </c>
      <c r="G1917">
        <v>121232145</v>
      </c>
      <c r="H1917">
        <v>52094497</v>
      </c>
      <c r="I1917">
        <v>44800305</v>
      </c>
      <c r="J1917">
        <v>24362056</v>
      </c>
      <c r="P1917">
        <v>17</v>
      </c>
      <c r="Q1917" t="s">
        <v>4155</v>
      </c>
    </row>
    <row r="1918" spans="1:17" x14ac:dyDescent="0.3">
      <c r="A1918" t="s">
        <v>17</v>
      </c>
      <c r="B1918" t="str">
        <f>"688260"</f>
        <v>688260</v>
      </c>
      <c r="C1918" t="s">
        <v>4156</v>
      </c>
      <c r="D1918" t="s">
        <v>313</v>
      </c>
      <c r="F1918">
        <v>519693631</v>
      </c>
      <c r="G1918">
        <v>251247070</v>
      </c>
      <c r="H1918">
        <v>192384106</v>
      </c>
      <c r="I1918">
        <v>81641146</v>
      </c>
      <c r="J1918">
        <v>20353125</v>
      </c>
      <c r="P1918">
        <v>24</v>
      </c>
      <c r="Q1918" t="s">
        <v>4157</v>
      </c>
    </row>
    <row r="1919" spans="1:17" x14ac:dyDescent="0.3">
      <c r="A1919" t="s">
        <v>17</v>
      </c>
      <c r="B1919" t="str">
        <f>"688261"</f>
        <v>688261</v>
      </c>
      <c r="C1919" t="s">
        <v>4158</v>
      </c>
      <c r="F1919">
        <v>565793694</v>
      </c>
      <c r="G1919">
        <v>418897956</v>
      </c>
      <c r="H1919">
        <v>160938735</v>
      </c>
      <c r="I1919">
        <v>149664715</v>
      </c>
      <c r="P1919">
        <v>11</v>
      </c>
      <c r="Q1919" t="s">
        <v>4159</v>
      </c>
    </row>
    <row r="1920" spans="1:17" x14ac:dyDescent="0.3">
      <c r="A1920" t="s">
        <v>17</v>
      </c>
      <c r="B1920" t="str">
        <f>"688262"</f>
        <v>688262</v>
      </c>
      <c r="C1920" t="s">
        <v>4160</v>
      </c>
      <c r="D1920" t="s">
        <v>461</v>
      </c>
      <c r="F1920">
        <v>2804065363</v>
      </c>
      <c r="G1920">
        <v>471484693</v>
      </c>
      <c r="H1920">
        <v>427113474</v>
      </c>
      <c r="I1920">
        <v>395977069</v>
      </c>
      <c r="J1920">
        <v>287412253</v>
      </c>
      <c r="P1920">
        <v>19</v>
      </c>
      <c r="Q1920" t="s">
        <v>4161</v>
      </c>
    </row>
    <row r="1921" spans="1:17" x14ac:dyDescent="0.3">
      <c r="A1921" t="s">
        <v>17</v>
      </c>
      <c r="B1921" t="str">
        <f>"688265"</f>
        <v>688265</v>
      </c>
      <c r="C1921" t="s">
        <v>4162</v>
      </c>
      <c r="D1921" t="s">
        <v>1461</v>
      </c>
      <c r="F1921">
        <v>1783660380</v>
      </c>
      <c r="G1921">
        <v>254932382</v>
      </c>
      <c r="H1921">
        <v>135376470</v>
      </c>
      <c r="I1921">
        <v>112126565</v>
      </c>
      <c r="J1921">
        <v>97015330</v>
      </c>
      <c r="P1921">
        <v>17</v>
      </c>
      <c r="Q1921" t="s">
        <v>4163</v>
      </c>
    </row>
    <row r="1922" spans="1:17" x14ac:dyDescent="0.3">
      <c r="A1922" t="s">
        <v>17</v>
      </c>
      <c r="B1922" t="str">
        <f>"688266"</f>
        <v>688266</v>
      </c>
      <c r="C1922" t="s">
        <v>4164</v>
      </c>
      <c r="D1922" t="s">
        <v>143</v>
      </c>
      <c r="F1922">
        <v>1196323124</v>
      </c>
      <c r="G1922">
        <v>1617725382</v>
      </c>
      <c r="H1922">
        <v>3426156</v>
      </c>
      <c r="I1922">
        <v>226308605</v>
      </c>
      <c r="J1922">
        <v>73024712</v>
      </c>
      <c r="K1922">
        <v>109437648</v>
      </c>
      <c r="P1922">
        <v>102</v>
      </c>
      <c r="Q1922" t="s">
        <v>4165</v>
      </c>
    </row>
    <row r="1923" spans="1:17" x14ac:dyDescent="0.3">
      <c r="A1923" t="s">
        <v>17</v>
      </c>
      <c r="B1923" t="str">
        <f>"688267"</f>
        <v>688267</v>
      </c>
      <c r="C1923" t="s">
        <v>4166</v>
      </c>
      <c r="F1923">
        <v>832797662</v>
      </c>
      <c r="G1923">
        <v>725580081</v>
      </c>
      <c r="H1923">
        <v>633855735</v>
      </c>
      <c r="I1923">
        <v>579892018</v>
      </c>
      <c r="P1923">
        <v>7</v>
      </c>
      <c r="Q1923" t="s">
        <v>4167</v>
      </c>
    </row>
    <row r="1924" spans="1:17" x14ac:dyDescent="0.3">
      <c r="A1924" t="s">
        <v>17</v>
      </c>
      <c r="B1924" t="str">
        <f>"688268"</f>
        <v>688268</v>
      </c>
      <c r="C1924" t="s">
        <v>4168</v>
      </c>
      <c r="D1924" t="s">
        <v>2408</v>
      </c>
      <c r="F1924">
        <v>1382076910</v>
      </c>
      <c r="G1924">
        <v>1273118522</v>
      </c>
      <c r="H1924">
        <v>1195574996</v>
      </c>
      <c r="I1924">
        <v>553498168</v>
      </c>
      <c r="J1924">
        <v>502130248</v>
      </c>
      <c r="K1924">
        <v>468244748</v>
      </c>
      <c r="P1924">
        <v>184</v>
      </c>
      <c r="Q1924" t="s">
        <v>4169</v>
      </c>
    </row>
    <row r="1925" spans="1:17" x14ac:dyDescent="0.3">
      <c r="A1925" t="s">
        <v>17</v>
      </c>
      <c r="B1925" t="str">
        <f>"688269"</f>
        <v>688269</v>
      </c>
      <c r="C1925" t="s">
        <v>4170</v>
      </c>
      <c r="D1925" t="s">
        <v>581</v>
      </c>
      <c r="F1925">
        <v>842033995</v>
      </c>
      <c r="G1925">
        <v>334277257</v>
      </c>
      <c r="H1925">
        <v>284953780</v>
      </c>
      <c r="I1925">
        <v>247623058</v>
      </c>
      <c r="J1925">
        <v>127487612</v>
      </c>
      <c r="P1925">
        <v>58</v>
      </c>
      <c r="Q1925" t="s">
        <v>4171</v>
      </c>
    </row>
    <row r="1926" spans="1:17" x14ac:dyDescent="0.3">
      <c r="A1926" t="s">
        <v>17</v>
      </c>
      <c r="B1926" t="str">
        <f>"688270"</f>
        <v>688270</v>
      </c>
      <c r="C1926" t="s">
        <v>4172</v>
      </c>
      <c r="F1926">
        <v>460546368</v>
      </c>
      <c r="G1926">
        <v>361702125</v>
      </c>
      <c r="H1926">
        <v>76274997</v>
      </c>
      <c r="I1926">
        <v>63577387</v>
      </c>
      <c r="P1926">
        <v>12</v>
      </c>
      <c r="Q1926" t="s">
        <v>4173</v>
      </c>
    </row>
    <row r="1927" spans="1:17" x14ac:dyDescent="0.3">
      <c r="A1927" t="s">
        <v>17</v>
      </c>
      <c r="B1927" t="str">
        <f>"688272"</f>
        <v>688272</v>
      </c>
      <c r="C1927" t="s">
        <v>4174</v>
      </c>
      <c r="D1927" t="s">
        <v>1136</v>
      </c>
      <c r="F1927">
        <v>678640100</v>
      </c>
      <c r="G1927">
        <v>232358132</v>
      </c>
      <c r="H1927">
        <v>73810148</v>
      </c>
      <c r="I1927">
        <v>59425278</v>
      </c>
      <c r="J1927">
        <v>53048384</v>
      </c>
      <c r="P1927">
        <v>11</v>
      </c>
      <c r="Q1927" t="s">
        <v>4175</v>
      </c>
    </row>
    <row r="1928" spans="1:17" x14ac:dyDescent="0.3">
      <c r="A1928" t="s">
        <v>17</v>
      </c>
      <c r="B1928" t="str">
        <f>"688276"</f>
        <v>688276</v>
      </c>
      <c r="C1928" t="s">
        <v>4176</v>
      </c>
      <c r="D1928" t="s">
        <v>1499</v>
      </c>
      <c r="F1928">
        <v>3417583200</v>
      </c>
      <c r="G1928">
        <v>1779956059</v>
      </c>
      <c r="H1928">
        <v>1013047716</v>
      </c>
      <c r="I1928">
        <v>799550652</v>
      </c>
      <c r="J1928">
        <v>600510286</v>
      </c>
      <c r="P1928">
        <v>46</v>
      </c>
      <c r="Q1928" t="s">
        <v>4177</v>
      </c>
    </row>
    <row r="1929" spans="1:17" x14ac:dyDescent="0.3">
      <c r="A1929" t="s">
        <v>17</v>
      </c>
      <c r="B1929" t="str">
        <f>"688277"</f>
        <v>688277</v>
      </c>
      <c r="C1929" t="s">
        <v>4178</v>
      </c>
      <c r="D1929" t="s">
        <v>122</v>
      </c>
      <c r="F1929">
        <v>1006947232</v>
      </c>
      <c r="G1929">
        <v>996031484</v>
      </c>
      <c r="H1929">
        <v>585348201</v>
      </c>
      <c r="I1929">
        <v>550801433</v>
      </c>
      <c r="J1929">
        <v>158494656</v>
      </c>
      <c r="K1929">
        <v>136619274</v>
      </c>
      <c r="P1929">
        <v>120</v>
      </c>
      <c r="Q1929" t="s">
        <v>4179</v>
      </c>
    </row>
    <row r="1930" spans="1:17" x14ac:dyDescent="0.3">
      <c r="A1930" t="s">
        <v>17</v>
      </c>
      <c r="B1930" t="str">
        <f>"688278"</f>
        <v>688278</v>
      </c>
      <c r="C1930" t="s">
        <v>4180</v>
      </c>
      <c r="D1930" t="s">
        <v>1379</v>
      </c>
      <c r="F1930">
        <v>1161260410</v>
      </c>
      <c r="G1930">
        <v>1000399451</v>
      </c>
      <c r="H1930">
        <v>563553550</v>
      </c>
      <c r="I1930">
        <v>499259610</v>
      </c>
      <c r="J1930">
        <v>483256675</v>
      </c>
      <c r="K1930">
        <v>478088072</v>
      </c>
      <c r="P1930">
        <v>154</v>
      </c>
      <c r="Q1930" t="s">
        <v>4181</v>
      </c>
    </row>
    <row r="1931" spans="1:17" x14ac:dyDescent="0.3">
      <c r="A1931" t="s">
        <v>17</v>
      </c>
      <c r="B1931" t="str">
        <f>"688279"</f>
        <v>688279</v>
      </c>
      <c r="C1931" t="s">
        <v>4182</v>
      </c>
      <c r="F1931">
        <v>421451301</v>
      </c>
      <c r="G1931">
        <v>286348365</v>
      </c>
      <c r="H1931">
        <v>73545866</v>
      </c>
      <c r="I1931">
        <v>38394930</v>
      </c>
      <c r="P1931">
        <v>6</v>
      </c>
      <c r="Q1931" t="s">
        <v>4183</v>
      </c>
    </row>
    <row r="1932" spans="1:17" x14ac:dyDescent="0.3">
      <c r="A1932" t="s">
        <v>17</v>
      </c>
      <c r="B1932" t="str">
        <f>"688280"</f>
        <v>688280</v>
      </c>
      <c r="C1932" t="s">
        <v>4184</v>
      </c>
      <c r="D1932" t="s">
        <v>348</v>
      </c>
      <c r="F1932">
        <v>2009395421</v>
      </c>
      <c r="G1932">
        <v>549867351</v>
      </c>
      <c r="H1932">
        <v>917699486</v>
      </c>
      <c r="I1932">
        <v>612348027</v>
      </c>
      <c r="J1932">
        <v>638458914</v>
      </c>
      <c r="P1932">
        <v>22</v>
      </c>
      <c r="Q1932" t="s">
        <v>4185</v>
      </c>
    </row>
    <row r="1933" spans="1:17" x14ac:dyDescent="0.3">
      <c r="A1933" t="s">
        <v>17</v>
      </c>
      <c r="B1933" t="str">
        <f>"688281"</f>
        <v>688281</v>
      </c>
      <c r="C1933" t="s">
        <v>4186</v>
      </c>
      <c r="F1933">
        <v>535943351</v>
      </c>
      <c r="G1933">
        <v>302773877</v>
      </c>
      <c r="H1933">
        <v>129063715</v>
      </c>
      <c r="I1933">
        <v>66304368</v>
      </c>
      <c r="P1933">
        <v>13</v>
      </c>
      <c r="Q1933" t="s">
        <v>4187</v>
      </c>
    </row>
    <row r="1934" spans="1:17" x14ac:dyDescent="0.3">
      <c r="A1934" t="s">
        <v>17</v>
      </c>
      <c r="B1934" t="str">
        <f>"688282"</f>
        <v>688282</v>
      </c>
      <c r="C1934" t="s">
        <v>4188</v>
      </c>
      <c r="F1934">
        <v>260486616</v>
      </c>
      <c r="G1934">
        <v>187413839</v>
      </c>
      <c r="H1934">
        <v>116159048</v>
      </c>
      <c r="I1934">
        <v>66156823</v>
      </c>
      <c r="J1934">
        <v>44792232</v>
      </c>
      <c r="P1934">
        <v>3</v>
      </c>
      <c r="Q1934" t="s">
        <v>4189</v>
      </c>
    </row>
    <row r="1935" spans="1:17" x14ac:dyDescent="0.3">
      <c r="A1935" t="s">
        <v>17</v>
      </c>
      <c r="B1935" t="str">
        <f>"688283"</f>
        <v>688283</v>
      </c>
      <c r="C1935" t="s">
        <v>4190</v>
      </c>
      <c r="F1935">
        <v>180182949</v>
      </c>
      <c r="G1935">
        <v>130171675</v>
      </c>
      <c r="H1935">
        <v>89000356</v>
      </c>
      <c r="I1935">
        <v>58990560</v>
      </c>
      <c r="P1935">
        <v>17</v>
      </c>
      <c r="Q1935" t="s">
        <v>4191</v>
      </c>
    </row>
    <row r="1936" spans="1:17" x14ac:dyDescent="0.3">
      <c r="A1936" t="s">
        <v>17</v>
      </c>
      <c r="B1936" t="str">
        <f>"688285"</f>
        <v>688285</v>
      </c>
      <c r="C1936" t="s">
        <v>4192</v>
      </c>
      <c r="D1936" t="s">
        <v>1012</v>
      </c>
      <c r="F1936">
        <v>1479211063</v>
      </c>
      <c r="G1936">
        <v>703719186</v>
      </c>
      <c r="H1936">
        <v>614545259</v>
      </c>
      <c r="I1936">
        <v>439616073</v>
      </c>
      <c r="J1936">
        <v>367542547</v>
      </c>
      <c r="P1936">
        <v>14</v>
      </c>
      <c r="Q1936" t="s">
        <v>4193</v>
      </c>
    </row>
    <row r="1937" spans="1:17" x14ac:dyDescent="0.3">
      <c r="A1937" t="s">
        <v>17</v>
      </c>
      <c r="B1937" t="str">
        <f>"688286"</f>
        <v>688286</v>
      </c>
      <c r="C1937" t="s">
        <v>4194</v>
      </c>
      <c r="D1937" t="s">
        <v>401</v>
      </c>
      <c r="F1937">
        <v>1102248897</v>
      </c>
      <c r="G1937">
        <v>1062135620</v>
      </c>
      <c r="H1937">
        <v>285160994</v>
      </c>
      <c r="I1937">
        <v>136129095</v>
      </c>
      <c r="J1937">
        <v>64159882</v>
      </c>
      <c r="K1937">
        <v>46431090</v>
      </c>
      <c r="P1937">
        <v>91</v>
      </c>
      <c r="Q1937" t="s">
        <v>4195</v>
      </c>
    </row>
    <row r="1938" spans="1:17" x14ac:dyDescent="0.3">
      <c r="A1938" t="s">
        <v>17</v>
      </c>
      <c r="B1938" t="str">
        <f>"688288"</f>
        <v>688288</v>
      </c>
      <c r="C1938" t="s">
        <v>4196</v>
      </c>
      <c r="D1938" t="s">
        <v>236</v>
      </c>
      <c r="F1938">
        <v>913527515</v>
      </c>
      <c r="G1938">
        <v>917031432</v>
      </c>
      <c r="H1938">
        <v>848562503</v>
      </c>
      <c r="I1938">
        <v>250933284</v>
      </c>
      <c r="J1938">
        <v>136395613</v>
      </c>
      <c r="K1938">
        <v>92271163</v>
      </c>
      <c r="P1938">
        <v>110</v>
      </c>
      <c r="Q1938" t="s">
        <v>4197</v>
      </c>
    </row>
    <row r="1939" spans="1:17" x14ac:dyDescent="0.3">
      <c r="A1939" t="s">
        <v>17</v>
      </c>
      <c r="B1939" t="str">
        <f>"688289"</f>
        <v>688289</v>
      </c>
      <c r="C1939" t="s">
        <v>4198</v>
      </c>
      <c r="D1939" t="s">
        <v>1305</v>
      </c>
      <c r="F1939">
        <v>6368907121</v>
      </c>
      <c r="G1939">
        <v>4745425023</v>
      </c>
      <c r="H1939">
        <v>557476401</v>
      </c>
      <c r="I1939">
        <v>396287325</v>
      </c>
      <c r="J1939">
        <v>378988182</v>
      </c>
      <c r="P1939">
        <v>209</v>
      </c>
      <c r="Q1939" t="s">
        <v>4199</v>
      </c>
    </row>
    <row r="1940" spans="1:17" x14ac:dyDescent="0.3">
      <c r="A1940" t="s">
        <v>17</v>
      </c>
      <c r="B1940" t="str">
        <f>"688290"</f>
        <v>688290</v>
      </c>
      <c r="C1940" t="s">
        <v>4200</v>
      </c>
      <c r="F1940">
        <v>308907137</v>
      </c>
      <c r="G1940">
        <v>243829325</v>
      </c>
      <c r="H1940">
        <v>102528649</v>
      </c>
      <c r="I1940">
        <v>36869112</v>
      </c>
      <c r="P1940">
        <v>0</v>
      </c>
      <c r="Q1940" t="s">
        <v>4201</v>
      </c>
    </row>
    <row r="1941" spans="1:17" x14ac:dyDescent="0.3">
      <c r="A1941" t="s">
        <v>17</v>
      </c>
      <c r="B1941" t="str">
        <f>"688295"</f>
        <v>688295</v>
      </c>
      <c r="C1941" t="s">
        <v>4202</v>
      </c>
      <c r="F1941">
        <v>1235314524</v>
      </c>
      <c r="G1941">
        <v>956594141</v>
      </c>
      <c r="H1941">
        <v>671362313</v>
      </c>
      <c r="I1941">
        <v>245181272</v>
      </c>
      <c r="P1941">
        <v>15</v>
      </c>
      <c r="Q1941" t="s">
        <v>4203</v>
      </c>
    </row>
    <row r="1942" spans="1:17" x14ac:dyDescent="0.3">
      <c r="A1942" t="s">
        <v>17</v>
      </c>
      <c r="B1942" t="str">
        <f>"688296"</f>
        <v>688296</v>
      </c>
      <c r="C1942" t="s">
        <v>4204</v>
      </c>
      <c r="D1942" t="s">
        <v>945</v>
      </c>
      <c r="F1942">
        <v>722927228</v>
      </c>
      <c r="G1942">
        <v>346832845</v>
      </c>
      <c r="H1942">
        <v>269429246</v>
      </c>
      <c r="I1942">
        <v>158922143</v>
      </c>
      <c r="J1942">
        <v>139089580</v>
      </c>
      <c r="P1942">
        <v>24</v>
      </c>
      <c r="Q1942" t="s">
        <v>4205</v>
      </c>
    </row>
    <row r="1943" spans="1:17" x14ac:dyDescent="0.3">
      <c r="A1943" t="s">
        <v>17</v>
      </c>
      <c r="B1943" t="str">
        <f>"688298"</f>
        <v>688298</v>
      </c>
      <c r="C1943" t="s">
        <v>4206</v>
      </c>
      <c r="D1943" t="s">
        <v>1305</v>
      </c>
      <c r="F1943">
        <v>6857173516</v>
      </c>
      <c r="G1943">
        <v>2446042712</v>
      </c>
      <c r="H1943">
        <v>251728329</v>
      </c>
      <c r="I1943">
        <v>201033913</v>
      </c>
      <c r="J1943">
        <v>133488851</v>
      </c>
      <c r="K1943">
        <v>98717099</v>
      </c>
      <c r="P1943">
        <v>477</v>
      </c>
      <c r="Q1943" t="s">
        <v>4207</v>
      </c>
    </row>
    <row r="1944" spans="1:17" x14ac:dyDescent="0.3">
      <c r="A1944" t="s">
        <v>17</v>
      </c>
      <c r="B1944" t="str">
        <f>"688299"</f>
        <v>688299</v>
      </c>
      <c r="C1944" t="s">
        <v>4208</v>
      </c>
      <c r="D1944" t="s">
        <v>1117</v>
      </c>
      <c r="F1944">
        <v>1987886055</v>
      </c>
      <c r="G1944">
        <v>1749697837</v>
      </c>
      <c r="H1944">
        <v>1612093472</v>
      </c>
      <c r="I1944">
        <v>612152567</v>
      </c>
      <c r="J1944">
        <v>523052870</v>
      </c>
      <c r="K1944">
        <v>189551745</v>
      </c>
      <c r="P1944">
        <v>239</v>
      </c>
      <c r="Q1944" t="s">
        <v>4209</v>
      </c>
    </row>
    <row r="1945" spans="1:17" x14ac:dyDescent="0.3">
      <c r="A1945" t="s">
        <v>17</v>
      </c>
      <c r="B1945" t="str">
        <f>"688300"</f>
        <v>688300</v>
      </c>
      <c r="C1945" t="s">
        <v>4210</v>
      </c>
      <c r="D1945" t="s">
        <v>2762</v>
      </c>
      <c r="F1945">
        <v>1093709453</v>
      </c>
      <c r="G1945">
        <v>963947588</v>
      </c>
      <c r="H1945">
        <v>896148962</v>
      </c>
      <c r="I1945">
        <v>319545061</v>
      </c>
      <c r="J1945">
        <v>192981209</v>
      </c>
      <c r="K1945">
        <v>162728345</v>
      </c>
      <c r="P1945">
        <v>196</v>
      </c>
      <c r="Q1945" t="s">
        <v>4211</v>
      </c>
    </row>
    <row r="1946" spans="1:17" x14ac:dyDescent="0.3">
      <c r="A1946" t="s">
        <v>17</v>
      </c>
      <c r="B1946" t="str">
        <f>"688301"</f>
        <v>688301</v>
      </c>
      <c r="C1946" t="s">
        <v>4212</v>
      </c>
      <c r="D1946" t="s">
        <v>122</v>
      </c>
      <c r="F1946">
        <v>3052177549</v>
      </c>
      <c r="G1946">
        <v>2633538315</v>
      </c>
      <c r="H1946">
        <v>425540650</v>
      </c>
      <c r="I1946">
        <v>329511272</v>
      </c>
      <c r="J1946">
        <v>251310350</v>
      </c>
      <c r="P1946">
        <v>178</v>
      </c>
      <c r="Q1946" t="s">
        <v>4213</v>
      </c>
    </row>
    <row r="1947" spans="1:17" x14ac:dyDescent="0.3">
      <c r="A1947" t="s">
        <v>17</v>
      </c>
      <c r="B1947" t="str">
        <f>"688302"</f>
        <v>688302</v>
      </c>
      <c r="C1947" t="s">
        <v>4214</v>
      </c>
      <c r="F1947">
        <v>788760912</v>
      </c>
      <c r="G1947">
        <v>986145466</v>
      </c>
      <c r="H1947">
        <v>-36171601</v>
      </c>
      <c r="I1947">
        <v>20865637</v>
      </c>
      <c r="P1947">
        <v>2</v>
      </c>
      <c r="Q1947" t="s">
        <v>4215</v>
      </c>
    </row>
    <row r="1948" spans="1:17" x14ac:dyDescent="0.3">
      <c r="A1948" t="s">
        <v>17</v>
      </c>
      <c r="B1948" t="str">
        <f>"688303"</f>
        <v>688303</v>
      </c>
      <c r="C1948" t="s">
        <v>4216</v>
      </c>
      <c r="D1948" t="s">
        <v>929</v>
      </c>
      <c r="F1948">
        <v>16465716494</v>
      </c>
      <c r="G1948">
        <v>4664386219</v>
      </c>
      <c r="H1948">
        <v>3329484493</v>
      </c>
      <c r="I1948">
        <v>3012904188</v>
      </c>
      <c r="J1948">
        <v>1807912176</v>
      </c>
      <c r="P1948">
        <v>108</v>
      </c>
      <c r="Q1948" t="s">
        <v>4217</v>
      </c>
    </row>
    <row r="1949" spans="1:17" x14ac:dyDescent="0.3">
      <c r="A1949" t="s">
        <v>17</v>
      </c>
      <c r="B1949" t="str">
        <f>"688305"</f>
        <v>688305</v>
      </c>
      <c r="C1949" t="s">
        <v>4218</v>
      </c>
      <c r="D1949" t="s">
        <v>2321</v>
      </c>
      <c r="F1949">
        <v>812519398</v>
      </c>
      <c r="G1949">
        <v>548127993</v>
      </c>
      <c r="H1949">
        <v>512894354</v>
      </c>
      <c r="I1949">
        <v>402435651</v>
      </c>
      <c r="J1949">
        <v>143989134</v>
      </c>
      <c r="P1949">
        <v>79</v>
      </c>
      <c r="Q1949" t="s">
        <v>4219</v>
      </c>
    </row>
    <row r="1950" spans="1:17" x14ac:dyDescent="0.3">
      <c r="A1950" t="s">
        <v>17</v>
      </c>
      <c r="B1950" t="str">
        <f>"688306"</f>
        <v>688306</v>
      </c>
      <c r="C1950" t="s">
        <v>4220</v>
      </c>
      <c r="F1950">
        <v>478239536</v>
      </c>
      <c r="G1950">
        <v>519881673</v>
      </c>
      <c r="H1950">
        <v>560046473</v>
      </c>
      <c r="I1950">
        <v>-24170166</v>
      </c>
      <c r="J1950">
        <v>99094665</v>
      </c>
      <c r="P1950">
        <v>3</v>
      </c>
      <c r="Q1950" t="s">
        <v>4221</v>
      </c>
    </row>
    <row r="1951" spans="1:17" x14ac:dyDescent="0.3">
      <c r="A1951" t="s">
        <v>17</v>
      </c>
      <c r="B1951" t="str">
        <f>"688308"</f>
        <v>688308</v>
      </c>
      <c r="C1951" t="s">
        <v>4222</v>
      </c>
      <c r="D1951" t="s">
        <v>274</v>
      </c>
      <c r="F1951">
        <v>1494482044</v>
      </c>
      <c r="G1951">
        <v>1307265960</v>
      </c>
      <c r="H1951">
        <v>678170076</v>
      </c>
      <c r="I1951">
        <v>596477835</v>
      </c>
      <c r="J1951">
        <v>535207858</v>
      </c>
      <c r="P1951">
        <v>91</v>
      </c>
      <c r="Q1951" t="s">
        <v>4223</v>
      </c>
    </row>
    <row r="1952" spans="1:17" x14ac:dyDescent="0.3">
      <c r="A1952" t="s">
        <v>17</v>
      </c>
      <c r="B1952" t="str">
        <f>"688309"</f>
        <v>688309</v>
      </c>
      <c r="C1952" t="s">
        <v>4224</v>
      </c>
      <c r="D1952" t="s">
        <v>1070</v>
      </c>
      <c r="F1952">
        <v>702449976</v>
      </c>
      <c r="G1952">
        <v>711643692</v>
      </c>
      <c r="H1952">
        <v>226719090</v>
      </c>
      <c r="I1952">
        <v>170028266</v>
      </c>
      <c r="J1952">
        <v>91088361</v>
      </c>
      <c r="K1952">
        <v>49355670</v>
      </c>
      <c r="P1952">
        <v>30</v>
      </c>
      <c r="Q1952" t="s">
        <v>4225</v>
      </c>
    </row>
    <row r="1953" spans="1:17" x14ac:dyDescent="0.3">
      <c r="A1953" t="s">
        <v>17</v>
      </c>
      <c r="B1953" t="str">
        <f>"688310"</f>
        <v>688310</v>
      </c>
      <c r="C1953" t="s">
        <v>4226</v>
      </c>
      <c r="D1953" t="s">
        <v>3477</v>
      </c>
      <c r="F1953">
        <v>764363990</v>
      </c>
      <c r="G1953">
        <v>736960223</v>
      </c>
      <c r="H1953">
        <v>707270588</v>
      </c>
      <c r="I1953">
        <v>253348641</v>
      </c>
      <c r="J1953">
        <v>228699276</v>
      </c>
      <c r="K1953">
        <v>172670736</v>
      </c>
      <c r="P1953">
        <v>92</v>
      </c>
      <c r="Q1953" t="s">
        <v>4227</v>
      </c>
    </row>
    <row r="1954" spans="1:17" x14ac:dyDescent="0.3">
      <c r="A1954" t="s">
        <v>17</v>
      </c>
      <c r="B1954" t="str">
        <f>"688311"</f>
        <v>688311</v>
      </c>
      <c r="C1954" t="s">
        <v>4228</v>
      </c>
      <c r="D1954" t="s">
        <v>1136</v>
      </c>
      <c r="F1954">
        <v>1778873481</v>
      </c>
      <c r="G1954">
        <v>1644441698</v>
      </c>
      <c r="H1954">
        <v>520623207</v>
      </c>
      <c r="I1954">
        <v>363262973</v>
      </c>
      <c r="J1954">
        <v>339085764</v>
      </c>
      <c r="K1954">
        <v>255925803</v>
      </c>
      <c r="P1954">
        <v>74</v>
      </c>
      <c r="Q1954" t="s">
        <v>4229</v>
      </c>
    </row>
    <row r="1955" spans="1:17" x14ac:dyDescent="0.3">
      <c r="A1955" t="s">
        <v>17</v>
      </c>
      <c r="B1955" t="str">
        <f>"688312"</f>
        <v>688312</v>
      </c>
      <c r="C1955" t="s">
        <v>4230</v>
      </c>
      <c r="D1955" t="s">
        <v>741</v>
      </c>
      <c r="F1955">
        <v>1318565929</v>
      </c>
      <c r="G1955">
        <v>1207279716</v>
      </c>
      <c r="H1955">
        <v>505946510</v>
      </c>
      <c r="I1955">
        <v>425654121</v>
      </c>
      <c r="J1955">
        <v>356280044</v>
      </c>
      <c r="K1955">
        <v>239210630</v>
      </c>
      <c r="P1955">
        <v>64</v>
      </c>
      <c r="Q1955" t="s">
        <v>4231</v>
      </c>
    </row>
    <row r="1956" spans="1:17" x14ac:dyDescent="0.3">
      <c r="A1956" t="s">
        <v>17</v>
      </c>
      <c r="B1956" t="str">
        <f>"688313"</f>
        <v>688313</v>
      </c>
      <c r="C1956" t="s">
        <v>4232</v>
      </c>
      <c r="D1956" t="s">
        <v>1019</v>
      </c>
      <c r="F1956">
        <v>1201033013</v>
      </c>
      <c r="G1956">
        <v>1153682652</v>
      </c>
      <c r="H1956">
        <v>666305405</v>
      </c>
      <c r="I1956">
        <v>642163335</v>
      </c>
      <c r="J1956">
        <v>618714299</v>
      </c>
      <c r="P1956">
        <v>50</v>
      </c>
      <c r="Q1956" t="s">
        <v>4233</v>
      </c>
    </row>
    <row r="1957" spans="1:17" x14ac:dyDescent="0.3">
      <c r="A1957" t="s">
        <v>17</v>
      </c>
      <c r="B1957" t="str">
        <f>"688314"</f>
        <v>688314</v>
      </c>
      <c r="C1957" t="s">
        <v>4234</v>
      </c>
      <c r="D1957" t="s">
        <v>1077</v>
      </c>
      <c r="F1957">
        <v>503322689</v>
      </c>
      <c r="G1957">
        <v>244534057</v>
      </c>
      <c r="H1957">
        <v>192697162</v>
      </c>
      <c r="I1957">
        <v>126226161</v>
      </c>
      <c r="J1957">
        <v>100005546</v>
      </c>
      <c r="P1957">
        <v>53</v>
      </c>
      <c r="Q1957" t="s">
        <v>4235</v>
      </c>
    </row>
    <row r="1958" spans="1:17" x14ac:dyDescent="0.3">
      <c r="A1958" t="s">
        <v>17</v>
      </c>
      <c r="B1958" t="str">
        <f>"688315"</f>
        <v>688315</v>
      </c>
      <c r="C1958" t="s">
        <v>4236</v>
      </c>
      <c r="D1958" t="s">
        <v>4237</v>
      </c>
      <c r="F1958">
        <v>1791810149</v>
      </c>
      <c r="G1958">
        <v>1116250391</v>
      </c>
      <c r="H1958">
        <v>1082567196</v>
      </c>
      <c r="I1958">
        <v>967716829</v>
      </c>
      <c r="J1958">
        <v>863060141</v>
      </c>
      <c r="K1958">
        <v>792529627</v>
      </c>
      <c r="P1958">
        <v>46</v>
      </c>
      <c r="Q1958" t="s">
        <v>4238</v>
      </c>
    </row>
    <row r="1959" spans="1:17" x14ac:dyDescent="0.3">
      <c r="A1959" t="s">
        <v>17</v>
      </c>
      <c r="B1959" t="str">
        <f>"688316"</f>
        <v>688316</v>
      </c>
      <c r="C1959" t="s">
        <v>4239</v>
      </c>
      <c r="D1959" t="s">
        <v>316</v>
      </c>
      <c r="F1959">
        <v>586148647</v>
      </c>
      <c r="G1959">
        <v>179012713</v>
      </c>
      <c r="H1959">
        <v>311744047</v>
      </c>
      <c r="I1959">
        <v>-528212888</v>
      </c>
      <c r="J1959">
        <v>-658343842</v>
      </c>
      <c r="P1959">
        <v>31</v>
      </c>
      <c r="Q1959" t="s">
        <v>4240</v>
      </c>
    </row>
    <row r="1960" spans="1:17" x14ac:dyDescent="0.3">
      <c r="A1960" t="s">
        <v>17</v>
      </c>
      <c r="B1960" t="str">
        <f>"688317"</f>
        <v>688317</v>
      </c>
      <c r="C1960" t="s">
        <v>4241</v>
      </c>
      <c r="D1960" t="s">
        <v>1305</v>
      </c>
      <c r="F1960">
        <v>3827408968</v>
      </c>
      <c r="G1960">
        <v>1462598583</v>
      </c>
      <c r="H1960">
        <v>571843209</v>
      </c>
      <c r="I1960">
        <v>532664358</v>
      </c>
      <c r="J1960">
        <v>472696188</v>
      </c>
      <c r="P1960">
        <v>120</v>
      </c>
      <c r="Q1960" t="s">
        <v>4242</v>
      </c>
    </row>
    <row r="1961" spans="1:17" x14ac:dyDescent="0.3">
      <c r="A1961" t="s">
        <v>17</v>
      </c>
      <c r="B1961" t="str">
        <f>"688318"</f>
        <v>688318</v>
      </c>
      <c r="C1961" t="s">
        <v>4243</v>
      </c>
      <c r="D1961" t="s">
        <v>945</v>
      </c>
      <c r="F1961">
        <v>3105385478</v>
      </c>
      <c r="G1961">
        <v>2885785259</v>
      </c>
      <c r="H1961">
        <v>975258252</v>
      </c>
      <c r="I1961">
        <v>838325828</v>
      </c>
      <c r="J1961">
        <v>744699049</v>
      </c>
      <c r="K1961">
        <v>628277970</v>
      </c>
      <c r="P1961">
        <v>155</v>
      </c>
      <c r="Q1961" t="s">
        <v>4244</v>
      </c>
    </row>
    <row r="1962" spans="1:17" x14ac:dyDescent="0.3">
      <c r="A1962" t="s">
        <v>17</v>
      </c>
      <c r="B1962" t="str">
        <f>"688319"</f>
        <v>688319</v>
      </c>
      <c r="C1962" t="s">
        <v>4245</v>
      </c>
      <c r="D1962" t="s">
        <v>1499</v>
      </c>
      <c r="F1962">
        <v>844658320</v>
      </c>
      <c r="G1962">
        <v>376970155</v>
      </c>
      <c r="H1962">
        <v>340839980</v>
      </c>
      <c r="I1962">
        <v>194480612</v>
      </c>
      <c r="J1962">
        <v>213487478</v>
      </c>
      <c r="P1962">
        <v>46</v>
      </c>
      <c r="Q1962" t="s">
        <v>4246</v>
      </c>
    </row>
    <row r="1963" spans="1:17" x14ac:dyDescent="0.3">
      <c r="A1963" t="s">
        <v>17</v>
      </c>
      <c r="B1963" t="str">
        <f>"688320"</f>
        <v>688320</v>
      </c>
      <c r="C1963" t="s">
        <v>4247</v>
      </c>
      <c r="F1963">
        <v>633955864</v>
      </c>
      <c r="G1963">
        <v>517947767</v>
      </c>
      <c r="H1963">
        <v>381410579</v>
      </c>
      <c r="I1963">
        <v>333529538</v>
      </c>
      <c r="P1963">
        <v>1</v>
      </c>
      <c r="Q1963" t="s">
        <v>4248</v>
      </c>
    </row>
    <row r="1964" spans="1:17" x14ac:dyDescent="0.3">
      <c r="A1964" t="s">
        <v>17</v>
      </c>
      <c r="B1964" t="str">
        <f>"688321"</f>
        <v>688321</v>
      </c>
      <c r="C1964" t="s">
        <v>4249</v>
      </c>
      <c r="D1964" t="s">
        <v>143</v>
      </c>
      <c r="F1964">
        <v>1417613558</v>
      </c>
      <c r="G1964">
        <v>1493829887</v>
      </c>
      <c r="H1964">
        <v>1446326740</v>
      </c>
      <c r="I1964">
        <v>497740703</v>
      </c>
      <c r="J1964">
        <v>471283444</v>
      </c>
      <c r="K1964">
        <v>232299155</v>
      </c>
      <c r="P1964">
        <v>157</v>
      </c>
      <c r="Q1964" t="s">
        <v>4250</v>
      </c>
    </row>
    <row r="1965" spans="1:17" x14ac:dyDescent="0.3">
      <c r="A1965" t="s">
        <v>17</v>
      </c>
      <c r="B1965" t="str">
        <f>"688323"</f>
        <v>688323</v>
      </c>
      <c r="C1965" t="s">
        <v>4251</v>
      </c>
      <c r="D1965" t="s">
        <v>324</v>
      </c>
      <c r="F1965">
        <v>881965322</v>
      </c>
      <c r="G1965">
        <v>607595860</v>
      </c>
      <c r="H1965">
        <v>550054595</v>
      </c>
      <c r="I1965">
        <v>515782842</v>
      </c>
      <c r="J1965">
        <v>256892952</v>
      </c>
      <c r="P1965">
        <v>26</v>
      </c>
      <c r="Q1965" t="s">
        <v>4252</v>
      </c>
    </row>
    <row r="1966" spans="1:17" x14ac:dyDescent="0.3">
      <c r="A1966" t="s">
        <v>17</v>
      </c>
      <c r="B1966" t="str">
        <f>"688325"</f>
        <v>688325</v>
      </c>
      <c r="C1966" t="s">
        <v>4253</v>
      </c>
      <c r="F1966">
        <v>225659251</v>
      </c>
      <c r="G1966">
        <v>113030211</v>
      </c>
      <c r="H1966">
        <v>56359877</v>
      </c>
      <c r="I1966">
        <v>45885349</v>
      </c>
      <c r="P1966">
        <v>3</v>
      </c>
      <c r="Q1966" t="s">
        <v>4254</v>
      </c>
    </row>
    <row r="1967" spans="1:17" x14ac:dyDescent="0.3">
      <c r="A1967" t="s">
        <v>17</v>
      </c>
      <c r="B1967" t="str">
        <f>"688326"</f>
        <v>688326</v>
      </c>
      <c r="C1967" t="s">
        <v>4255</v>
      </c>
      <c r="F1967">
        <v>1519212103</v>
      </c>
      <c r="G1967">
        <v>1336029055</v>
      </c>
      <c r="H1967">
        <v>586843764</v>
      </c>
      <c r="I1967">
        <v>315936015</v>
      </c>
      <c r="P1967">
        <v>3</v>
      </c>
      <c r="Q1967" t="s">
        <v>4256</v>
      </c>
    </row>
    <row r="1968" spans="1:17" x14ac:dyDescent="0.3">
      <c r="A1968" t="s">
        <v>17</v>
      </c>
      <c r="B1968" t="str">
        <f>"688327"</f>
        <v>688327</v>
      </c>
      <c r="C1968" t="s">
        <v>4257</v>
      </c>
      <c r="F1968">
        <v>1170985823</v>
      </c>
      <c r="G1968">
        <v>1624861885</v>
      </c>
      <c r="H1968">
        <v>1646466080</v>
      </c>
      <c r="I1968">
        <v>510341094</v>
      </c>
      <c r="J1968">
        <v>431016312</v>
      </c>
      <c r="Q1968" t="s">
        <v>4258</v>
      </c>
    </row>
    <row r="1969" spans="1:17" x14ac:dyDescent="0.3">
      <c r="A1969" t="s">
        <v>17</v>
      </c>
      <c r="B1969" t="str">
        <f>"688328"</f>
        <v>688328</v>
      </c>
      <c r="C1969" t="s">
        <v>4259</v>
      </c>
      <c r="D1969" t="s">
        <v>741</v>
      </c>
      <c r="F1969">
        <v>764142475</v>
      </c>
      <c r="G1969">
        <v>459916299</v>
      </c>
      <c r="H1969">
        <v>387138360</v>
      </c>
      <c r="I1969">
        <v>336570330</v>
      </c>
      <c r="J1969">
        <v>292399934</v>
      </c>
      <c r="P1969">
        <v>39</v>
      </c>
      <c r="Q1969" t="s">
        <v>4260</v>
      </c>
    </row>
    <row r="1970" spans="1:17" x14ac:dyDescent="0.3">
      <c r="A1970" t="s">
        <v>17</v>
      </c>
      <c r="B1970" t="str">
        <f>"688329"</f>
        <v>688329</v>
      </c>
      <c r="C1970" t="s">
        <v>4261</v>
      </c>
      <c r="D1970" t="s">
        <v>3477</v>
      </c>
      <c r="F1970">
        <v>803125335</v>
      </c>
      <c r="G1970">
        <v>455529078</v>
      </c>
      <c r="H1970">
        <v>412629587</v>
      </c>
      <c r="I1970">
        <v>360058930</v>
      </c>
      <c r="J1970">
        <v>323284574</v>
      </c>
      <c r="P1970">
        <v>43</v>
      </c>
      <c r="Q1970" t="s">
        <v>4262</v>
      </c>
    </row>
    <row r="1971" spans="1:17" x14ac:dyDescent="0.3">
      <c r="A1971" t="s">
        <v>17</v>
      </c>
      <c r="B1971" t="str">
        <f>"688330"</f>
        <v>688330</v>
      </c>
      <c r="C1971" t="s">
        <v>4263</v>
      </c>
      <c r="D1971" t="s">
        <v>610</v>
      </c>
      <c r="F1971">
        <v>3338038838</v>
      </c>
      <c r="G1971">
        <v>3025151396</v>
      </c>
      <c r="H1971">
        <v>640647887</v>
      </c>
      <c r="I1971">
        <v>423876707</v>
      </c>
      <c r="J1971">
        <v>325503501</v>
      </c>
      <c r="K1971">
        <v>141753551</v>
      </c>
      <c r="P1971">
        <v>90</v>
      </c>
      <c r="Q1971" t="s">
        <v>4264</v>
      </c>
    </row>
    <row r="1972" spans="1:17" x14ac:dyDescent="0.3">
      <c r="A1972" t="s">
        <v>17</v>
      </c>
      <c r="B1972" t="str">
        <f>"688331"</f>
        <v>688331</v>
      </c>
      <c r="C1972" t="s">
        <v>4265</v>
      </c>
      <c r="F1972">
        <v>3446421452</v>
      </c>
      <c r="G1972">
        <v>3594620413</v>
      </c>
      <c r="H1972">
        <v>-231968937</v>
      </c>
      <c r="I1972">
        <v>-498177974</v>
      </c>
      <c r="P1972">
        <v>5</v>
      </c>
      <c r="Q1972" t="s">
        <v>4266</v>
      </c>
    </row>
    <row r="1973" spans="1:17" x14ac:dyDescent="0.3">
      <c r="A1973" t="s">
        <v>17</v>
      </c>
      <c r="B1973" t="str">
        <f>"688333"</f>
        <v>688333</v>
      </c>
      <c r="C1973" t="s">
        <v>4267</v>
      </c>
      <c r="D1973" t="s">
        <v>2321</v>
      </c>
      <c r="F1973">
        <v>1287369935</v>
      </c>
      <c r="G1973">
        <v>1161754090</v>
      </c>
      <c r="H1973">
        <v>1069466988</v>
      </c>
      <c r="I1973">
        <v>395644431</v>
      </c>
      <c r="J1973">
        <v>337970955</v>
      </c>
      <c r="K1973">
        <v>302825563</v>
      </c>
      <c r="P1973">
        <v>117</v>
      </c>
      <c r="Q1973" t="s">
        <v>4268</v>
      </c>
    </row>
    <row r="1974" spans="1:17" x14ac:dyDescent="0.3">
      <c r="A1974" t="s">
        <v>17</v>
      </c>
      <c r="B1974" t="str">
        <f>"688335"</f>
        <v>688335</v>
      </c>
      <c r="C1974" t="s">
        <v>4269</v>
      </c>
      <c r="D1974" t="s">
        <v>33</v>
      </c>
      <c r="F1974">
        <v>1124861025</v>
      </c>
      <c r="G1974">
        <v>1078021968</v>
      </c>
      <c r="H1974">
        <v>247576846</v>
      </c>
      <c r="I1974">
        <v>128178667</v>
      </c>
      <c r="J1974">
        <v>62114352</v>
      </c>
      <c r="K1974">
        <v>55248297</v>
      </c>
      <c r="P1974">
        <v>61</v>
      </c>
      <c r="Q1974" t="s">
        <v>4270</v>
      </c>
    </row>
    <row r="1975" spans="1:17" x14ac:dyDescent="0.3">
      <c r="A1975" t="s">
        <v>17</v>
      </c>
      <c r="B1975" t="str">
        <f>"688336"</f>
        <v>688336</v>
      </c>
      <c r="C1975" t="s">
        <v>4271</v>
      </c>
      <c r="D1975" t="s">
        <v>1379</v>
      </c>
      <c r="F1975">
        <v>4541562204</v>
      </c>
      <c r="G1975">
        <v>4503135675</v>
      </c>
      <c r="H1975">
        <v>2868011900</v>
      </c>
      <c r="I1975">
        <v>3221174616</v>
      </c>
      <c r="J1975">
        <v>2849645970</v>
      </c>
      <c r="K1975">
        <v>2459054032</v>
      </c>
      <c r="P1975">
        <v>52</v>
      </c>
      <c r="Q1975" t="s">
        <v>4272</v>
      </c>
    </row>
    <row r="1976" spans="1:17" x14ac:dyDescent="0.3">
      <c r="A1976" t="s">
        <v>17</v>
      </c>
      <c r="B1976" t="str">
        <f>"688337"</f>
        <v>688337</v>
      </c>
      <c r="C1976" t="s">
        <v>4273</v>
      </c>
      <c r="F1976">
        <v>753719247</v>
      </c>
      <c r="G1976">
        <v>674462560</v>
      </c>
      <c r="H1976">
        <v>166821700</v>
      </c>
      <c r="I1976">
        <v>131628587</v>
      </c>
      <c r="P1976">
        <v>3</v>
      </c>
      <c r="Q1976" t="s">
        <v>4274</v>
      </c>
    </row>
    <row r="1977" spans="1:17" x14ac:dyDescent="0.3">
      <c r="A1977" t="s">
        <v>17</v>
      </c>
      <c r="B1977" t="str">
        <f>"688338"</f>
        <v>688338</v>
      </c>
      <c r="C1977" t="s">
        <v>4275</v>
      </c>
      <c r="D1977" t="s">
        <v>1305</v>
      </c>
      <c r="F1977">
        <v>1420861654</v>
      </c>
      <c r="G1977">
        <v>1356152024</v>
      </c>
      <c r="H1977">
        <v>374693963</v>
      </c>
      <c r="I1977">
        <v>195653524</v>
      </c>
      <c r="J1977">
        <v>143297403</v>
      </c>
      <c r="K1977">
        <v>103887398</v>
      </c>
      <c r="P1977">
        <v>56</v>
      </c>
      <c r="Q1977" t="s">
        <v>4276</v>
      </c>
    </row>
    <row r="1978" spans="1:17" x14ac:dyDescent="0.3">
      <c r="A1978" t="s">
        <v>17</v>
      </c>
      <c r="B1978" t="str">
        <f>"688339"</f>
        <v>688339</v>
      </c>
      <c r="C1978" t="s">
        <v>4277</v>
      </c>
      <c r="D1978" t="s">
        <v>4278</v>
      </c>
      <c r="F1978">
        <v>2502636528</v>
      </c>
      <c r="G1978">
        <v>2274344155</v>
      </c>
      <c r="H1978">
        <v>1054923729</v>
      </c>
      <c r="I1978">
        <v>688947177</v>
      </c>
      <c r="J1978">
        <v>644574532</v>
      </c>
      <c r="K1978">
        <v>288776467</v>
      </c>
      <c r="P1978">
        <v>153</v>
      </c>
      <c r="Q1978" t="s">
        <v>4279</v>
      </c>
    </row>
    <row r="1979" spans="1:17" x14ac:dyDescent="0.3">
      <c r="A1979" t="s">
        <v>17</v>
      </c>
      <c r="B1979" t="str">
        <f>"688345"</f>
        <v>688345</v>
      </c>
      <c r="C1979" t="s">
        <v>4280</v>
      </c>
      <c r="D1979" t="s">
        <v>359</v>
      </c>
      <c r="F1979">
        <v>1140621169</v>
      </c>
      <c r="G1979">
        <v>435269579</v>
      </c>
      <c r="H1979">
        <v>312168088</v>
      </c>
      <c r="I1979">
        <v>240639974</v>
      </c>
      <c r="J1979">
        <v>178555326</v>
      </c>
      <c r="P1979">
        <v>39</v>
      </c>
      <c r="Q1979" t="s">
        <v>4281</v>
      </c>
    </row>
    <row r="1980" spans="1:17" x14ac:dyDescent="0.3">
      <c r="A1980" t="s">
        <v>17</v>
      </c>
      <c r="B1980" t="str">
        <f>"688350"</f>
        <v>688350</v>
      </c>
      <c r="C1980" t="s">
        <v>4282</v>
      </c>
      <c r="D1980" t="s">
        <v>386</v>
      </c>
      <c r="F1980">
        <v>1394285522</v>
      </c>
      <c r="G1980">
        <v>970190247</v>
      </c>
      <c r="H1980">
        <v>905279759</v>
      </c>
      <c r="I1980">
        <v>879867932</v>
      </c>
      <c r="J1980">
        <v>809118229</v>
      </c>
      <c r="P1980">
        <v>34</v>
      </c>
      <c r="Q1980" t="s">
        <v>4283</v>
      </c>
    </row>
    <row r="1981" spans="1:17" x14ac:dyDescent="0.3">
      <c r="A1981" t="s">
        <v>17</v>
      </c>
      <c r="B1981" t="str">
        <f>"688355"</f>
        <v>688355</v>
      </c>
      <c r="C1981" t="s">
        <v>4284</v>
      </c>
      <c r="D1981" t="s">
        <v>274</v>
      </c>
      <c r="F1981">
        <v>1073861334</v>
      </c>
      <c r="G1981">
        <v>454073983</v>
      </c>
      <c r="H1981">
        <v>335351922</v>
      </c>
      <c r="I1981">
        <v>275481707</v>
      </c>
      <c r="J1981">
        <v>261653665</v>
      </c>
      <c r="P1981">
        <v>21</v>
      </c>
      <c r="Q1981" t="s">
        <v>4285</v>
      </c>
    </row>
    <row r="1982" spans="1:17" x14ac:dyDescent="0.3">
      <c r="A1982" t="s">
        <v>17</v>
      </c>
      <c r="B1982" t="str">
        <f>"688356"</f>
        <v>688356</v>
      </c>
      <c r="C1982" t="s">
        <v>4286</v>
      </c>
      <c r="D1982" t="s">
        <v>496</v>
      </c>
      <c r="F1982">
        <v>1051632483</v>
      </c>
      <c r="G1982">
        <v>856243365</v>
      </c>
      <c r="H1982">
        <v>220353747</v>
      </c>
      <c r="I1982">
        <v>168698455</v>
      </c>
      <c r="J1982">
        <v>139704910</v>
      </c>
      <c r="K1982">
        <v>122810762</v>
      </c>
      <c r="P1982">
        <v>152</v>
      </c>
      <c r="Q1982" t="s">
        <v>4287</v>
      </c>
    </row>
    <row r="1983" spans="1:17" x14ac:dyDescent="0.3">
      <c r="A1983" t="s">
        <v>17</v>
      </c>
      <c r="B1983" t="str">
        <f>"688357"</f>
        <v>688357</v>
      </c>
      <c r="C1983" t="s">
        <v>4288</v>
      </c>
      <c r="D1983" t="s">
        <v>2762</v>
      </c>
      <c r="F1983">
        <v>1224339994</v>
      </c>
      <c r="G1983">
        <v>974606513</v>
      </c>
      <c r="H1983">
        <v>871392923</v>
      </c>
      <c r="I1983">
        <v>215471503</v>
      </c>
      <c r="J1983">
        <v>43316625</v>
      </c>
      <c r="K1983">
        <v>53504834</v>
      </c>
      <c r="P1983">
        <v>157</v>
      </c>
      <c r="Q1983" t="s">
        <v>4289</v>
      </c>
    </row>
    <row r="1984" spans="1:17" x14ac:dyDescent="0.3">
      <c r="A1984" t="s">
        <v>17</v>
      </c>
      <c r="B1984" t="str">
        <f>"688358"</f>
        <v>688358</v>
      </c>
      <c r="C1984" t="s">
        <v>4290</v>
      </c>
      <c r="D1984" t="s">
        <v>122</v>
      </c>
      <c r="F1984">
        <v>1245581542</v>
      </c>
      <c r="G1984">
        <v>1192905095</v>
      </c>
      <c r="H1984">
        <v>1170797640</v>
      </c>
      <c r="I1984">
        <v>209171578</v>
      </c>
      <c r="J1984">
        <v>144175728</v>
      </c>
      <c r="K1984">
        <v>76321538</v>
      </c>
      <c r="P1984">
        <v>122</v>
      </c>
      <c r="Q1984" t="s">
        <v>4291</v>
      </c>
    </row>
    <row r="1985" spans="1:17" x14ac:dyDescent="0.3">
      <c r="A1985" t="s">
        <v>17</v>
      </c>
      <c r="B1985" t="str">
        <f>"688359"</f>
        <v>688359</v>
      </c>
      <c r="C1985" t="s">
        <v>4292</v>
      </c>
      <c r="D1985" t="s">
        <v>2408</v>
      </c>
      <c r="F1985">
        <v>546279063</v>
      </c>
      <c r="G1985">
        <v>285613672</v>
      </c>
      <c r="H1985">
        <v>235464267</v>
      </c>
      <c r="I1985">
        <v>180533389</v>
      </c>
      <c r="J1985">
        <v>148374663</v>
      </c>
      <c r="P1985">
        <v>23</v>
      </c>
      <c r="Q1985" t="s">
        <v>4293</v>
      </c>
    </row>
    <row r="1986" spans="1:17" x14ac:dyDescent="0.3">
      <c r="A1986" t="s">
        <v>17</v>
      </c>
      <c r="B1986" t="str">
        <f>"688360"</f>
        <v>688360</v>
      </c>
      <c r="C1986" t="s">
        <v>4294</v>
      </c>
      <c r="D1986" t="s">
        <v>560</v>
      </c>
      <c r="F1986">
        <v>934703643</v>
      </c>
      <c r="G1986">
        <v>889271798</v>
      </c>
      <c r="H1986">
        <v>361693990</v>
      </c>
      <c r="I1986">
        <v>297740567</v>
      </c>
      <c r="J1986">
        <v>199543962</v>
      </c>
      <c r="K1986">
        <v>162652189</v>
      </c>
      <c r="P1986">
        <v>84</v>
      </c>
      <c r="Q1986" t="s">
        <v>4295</v>
      </c>
    </row>
    <row r="1987" spans="1:17" x14ac:dyDescent="0.3">
      <c r="A1987" t="s">
        <v>17</v>
      </c>
      <c r="B1987" t="str">
        <f>"688363"</f>
        <v>688363</v>
      </c>
      <c r="C1987" t="s">
        <v>4296</v>
      </c>
      <c r="D1987" t="s">
        <v>4297</v>
      </c>
      <c r="F1987">
        <v>5699012395</v>
      </c>
      <c r="G1987">
        <v>5019756802</v>
      </c>
      <c r="H1987">
        <v>4550342221</v>
      </c>
      <c r="I1987">
        <v>1717237035</v>
      </c>
      <c r="J1987">
        <v>1637693837</v>
      </c>
      <c r="K1987">
        <v>1260663046</v>
      </c>
      <c r="P1987">
        <v>1156</v>
      </c>
      <c r="Q1987" t="s">
        <v>4298</v>
      </c>
    </row>
    <row r="1988" spans="1:17" x14ac:dyDescent="0.3">
      <c r="A1988" t="s">
        <v>17</v>
      </c>
      <c r="B1988" t="str">
        <f>"688365"</f>
        <v>688365</v>
      </c>
      <c r="C1988" t="s">
        <v>4299</v>
      </c>
      <c r="D1988" t="s">
        <v>316</v>
      </c>
      <c r="F1988">
        <v>1106228944</v>
      </c>
      <c r="G1988">
        <v>1132628611</v>
      </c>
      <c r="H1988">
        <v>721698206</v>
      </c>
      <c r="I1988">
        <v>609148878</v>
      </c>
      <c r="J1988">
        <v>523840285</v>
      </c>
      <c r="K1988">
        <v>249098305</v>
      </c>
      <c r="P1988">
        <v>72</v>
      </c>
      <c r="Q1988" t="s">
        <v>4300</v>
      </c>
    </row>
    <row r="1989" spans="1:17" x14ac:dyDescent="0.3">
      <c r="A1989" t="s">
        <v>17</v>
      </c>
      <c r="B1989" t="str">
        <f>"688366"</f>
        <v>688366</v>
      </c>
      <c r="C1989" t="s">
        <v>4301</v>
      </c>
      <c r="D1989" t="s">
        <v>1077</v>
      </c>
      <c r="F1989">
        <v>5713459639</v>
      </c>
      <c r="G1989">
        <v>5490748516</v>
      </c>
      <c r="H1989">
        <v>5454779644</v>
      </c>
      <c r="I1989">
        <v>3611509748</v>
      </c>
      <c r="J1989">
        <v>3200560457</v>
      </c>
      <c r="K1989">
        <v>2903991355</v>
      </c>
      <c r="P1989">
        <v>265</v>
      </c>
      <c r="Q1989" t="s">
        <v>4302</v>
      </c>
    </row>
    <row r="1990" spans="1:17" x14ac:dyDescent="0.3">
      <c r="A1990" t="s">
        <v>17</v>
      </c>
      <c r="B1990" t="str">
        <f>"688367"</f>
        <v>688367</v>
      </c>
      <c r="C1990" t="s">
        <v>4303</v>
      </c>
      <c r="D1990" t="s">
        <v>1012</v>
      </c>
      <c r="F1990">
        <v>524251503</v>
      </c>
      <c r="G1990">
        <v>279285491</v>
      </c>
      <c r="H1990">
        <v>243763271</v>
      </c>
      <c r="I1990">
        <v>219549568</v>
      </c>
      <c r="J1990">
        <v>198575344</v>
      </c>
      <c r="P1990">
        <v>30</v>
      </c>
      <c r="Q1990" t="s">
        <v>4304</v>
      </c>
    </row>
    <row r="1991" spans="1:17" x14ac:dyDescent="0.3">
      <c r="A1991" t="s">
        <v>17</v>
      </c>
      <c r="B1991" t="str">
        <f>"688368"</f>
        <v>688368</v>
      </c>
      <c r="C1991" t="s">
        <v>4305</v>
      </c>
      <c r="D1991" t="s">
        <v>401</v>
      </c>
      <c r="F1991">
        <v>1906956264</v>
      </c>
      <c r="G1991">
        <v>1258967840</v>
      </c>
      <c r="H1991">
        <v>1132706189</v>
      </c>
      <c r="I1991">
        <v>252566108</v>
      </c>
      <c r="J1991">
        <v>208152609</v>
      </c>
      <c r="K1991">
        <v>99329716</v>
      </c>
      <c r="P1991">
        <v>213</v>
      </c>
      <c r="Q1991" t="s">
        <v>4306</v>
      </c>
    </row>
    <row r="1992" spans="1:17" x14ac:dyDescent="0.3">
      <c r="A1992" t="s">
        <v>17</v>
      </c>
      <c r="B1992" t="str">
        <f>"688369"</f>
        <v>688369</v>
      </c>
      <c r="C1992" t="s">
        <v>4307</v>
      </c>
      <c r="D1992" t="s">
        <v>1189</v>
      </c>
      <c r="F1992">
        <v>1430425089</v>
      </c>
      <c r="G1992">
        <v>1310895760</v>
      </c>
      <c r="H1992">
        <v>1221773280</v>
      </c>
      <c r="I1992">
        <v>308306429</v>
      </c>
      <c r="J1992">
        <v>256465665</v>
      </c>
      <c r="K1992">
        <v>63205433</v>
      </c>
      <c r="P1992">
        <v>168</v>
      </c>
      <c r="Q1992" t="s">
        <v>4308</v>
      </c>
    </row>
    <row r="1993" spans="1:17" x14ac:dyDescent="0.3">
      <c r="A1993" t="s">
        <v>17</v>
      </c>
      <c r="B1993" t="str">
        <f>"688377"</f>
        <v>688377</v>
      </c>
      <c r="C1993" t="s">
        <v>4309</v>
      </c>
      <c r="D1993" t="s">
        <v>395</v>
      </c>
      <c r="F1993">
        <v>1491720748</v>
      </c>
      <c r="G1993">
        <v>1517206813</v>
      </c>
      <c r="H1993">
        <v>713073954</v>
      </c>
      <c r="I1993">
        <v>617544713</v>
      </c>
      <c r="J1993">
        <v>565155447</v>
      </c>
      <c r="K1993">
        <v>448041845</v>
      </c>
      <c r="P1993">
        <v>52</v>
      </c>
      <c r="Q1993" t="s">
        <v>4310</v>
      </c>
    </row>
    <row r="1994" spans="1:17" x14ac:dyDescent="0.3">
      <c r="A1994" t="s">
        <v>17</v>
      </c>
      <c r="B1994" t="str">
        <f>"688378"</f>
        <v>688378</v>
      </c>
      <c r="C1994" t="s">
        <v>4311</v>
      </c>
      <c r="D1994" t="s">
        <v>741</v>
      </c>
      <c r="F1994">
        <v>1655500575</v>
      </c>
      <c r="G1994">
        <v>1583306725</v>
      </c>
      <c r="H1994">
        <v>451151916</v>
      </c>
      <c r="I1994">
        <v>152356878</v>
      </c>
      <c r="J1994">
        <v>63290520</v>
      </c>
      <c r="P1994">
        <v>50</v>
      </c>
      <c r="Q1994" t="s">
        <v>4312</v>
      </c>
    </row>
    <row r="1995" spans="1:17" x14ac:dyDescent="0.3">
      <c r="A1995" t="s">
        <v>17</v>
      </c>
      <c r="B1995" t="str">
        <f>"688379"</f>
        <v>688379</v>
      </c>
      <c r="C1995" t="s">
        <v>4313</v>
      </c>
      <c r="D1995" t="s">
        <v>274</v>
      </c>
      <c r="F1995">
        <v>917233696</v>
      </c>
      <c r="G1995">
        <v>891024972</v>
      </c>
      <c r="H1995">
        <v>507212629</v>
      </c>
      <c r="I1995">
        <v>447890287</v>
      </c>
      <c r="J1995">
        <v>418457840</v>
      </c>
      <c r="K1995">
        <v>329947095</v>
      </c>
      <c r="P1995">
        <v>36</v>
      </c>
      <c r="Q1995" t="s">
        <v>4314</v>
      </c>
    </row>
    <row r="1996" spans="1:17" x14ac:dyDescent="0.3">
      <c r="A1996" t="s">
        <v>17</v>
      </c>
      <c r="B1996" t="str">
        <f>"688383"</f>
        <v>688383</v>
      </c>
      <c r="C1996" t="s">
        <v>4315</v>
      </c>
      <c r="D1996" t="s">
        <v>741</v>
      </c>
      <c r="F1996">
        <v>1249475186</v>
      </c>
      <c r="G1996">
        <v>575204991</v>
      </c>
      <c r="H1996">
        <v>466422012</v>
      </c>
      <c r="I1996">
        <v>344183340</v>
      </c>
      <c r="J1996">
        <v>243024659</v>
      </c>
      <c r="P1996">
        <v>49</v>
      </c>
      <c r="Q1996" t="s">
        <v>4316</v>
      </c>
    </row>
    <row r="1997" spans="1:17" x14ac:dyDescent="0.3">
      <c r="A1997" t="s">
        <v>17</v>
      </c>
      <c r="B1997" t="str">
        <f>"688385"</f>
        <v>688385</v>
      </c>
      <c r="C1997" t="s">
        <v>4317</v>
      </c>
      <c r="D1997" t="s">
        <v>461</v>
      </c>
      <c r="F1997">
        <v>3140245706</v>
      </c>
      <c r="G1997">
        <v>1930252359</v>
      </c>
      <c r="H1997">
        <v>1784723436</v>
      </c>
      <c r="I1997">
        <v>1943328237</v>
      </c>
      <c r="J1997">
        <v>1620200504</v>
      </c>
      <c r="P1997">
        <v>47</v>
      </c>
      <c r="Q1997" t="s">
        <v>4318</v>
      </c>
    </row>
    <row r="1998" spans="1:17" x14ac:dyDescent="0.3">
      <c r="A1998" t="s">
        <v>17</v>
      </c>
      <c r="B1998" t="str">
        <f>"688386"</f>
        <v>688386</v>
      </c>
      <c r="C1998" t="s">
        <v>4319</v>
      </c>
      <c r="D1998" t="s">
        <v>324</v>
      </c>
      <c r="F1998">
        <v>586198375</v>
      </c>
      <c r="G1998">
        <v>554800174</v>
      </c>
      <c r="H1998">
        <v>281948575</v>
      </c>
      <c r="I1998">
        <v>258161231</v>
      </c>
      <c r="J1998">
        <v>237609510</v>
      </c>
      <c r="P1998">
        <v>43</v>
      </c>
      <c r="Q1998" t="s">
        <v>4320</v>
      </c>
    </row>
    <row r="1999" spans="1:17" x14ac:dyDescent="0.3">
      <c r="A1999" t="s">
        <v>17</v>
      </c>
      <c r="B1999" t="str">
        <f>"688388"</f>
        <v>688388</v>
      </c>
      <c r="C1999" t="s">
        <v>4321</v>
      </c>
      <c r="D1999" t="s">
        <v>263</v>
      </c>
      <c r="F1999">
        <v>3408639645</v>
      </c>
      <c r="G1999">
        <v>2610734098</v>
      </c>
      <c r="H1999">
        <v>2523596357</v>
      </c>
      <c r="I1999">
        <v>703335060</v>
      </c>
      <c r="J1999">
        <v>526903935</v>
      </c>
      <c r="K1999">
        <v>340800131</v>
      </c>
      <c r="P1999">
        <v>286</v>
      </c>
      <c r="Q1999" t="s">
        <v>4322</v>
      </c>
    </row>
    <row r="2000" spans="1:17" x14ac:dyDescent="0.3">
      <c r="A2000" t="s">
        <v>17</v>
      </c>
      <c r="B2000" t="str">
        <f>"688389"</f>
        <v>688389</v>
      </c>
      <c r="C2000" t="s">
        <v>4323</v>
      </c>
      <c r="D2000" t="s">
        <v>1305</v>
      </c>
      <c r="F2000">
        <v>1255432407</v>
      </c>
      <c r="G2000">
        <v>1142950841</v>
      </c>
      <c r="H2000">
        <v>1049666622</v>
      </c>
      <c r="I2000">
        <v>668392472</v>
      </c>
      <c r="J2000">
        <v>587248453</v>
      </c>
      <c r="K2000">
        <v>370823503</v>
      </c>
      <c r="P2000">
        <v>161</v>
      </c>
      <c r="Q2000" t="s">
        <v>4324</v>
      </c>
    </row>
    <row r="2001" spans="1:17" x14ac:dyDescent="0.3">
      <c r="A2001" t="s">
        <v>17</v>
      </c>
      <c r="B2001" t="str">
        <f>"688390"</f>
        <v>688390</v>
      </c>
      <c r="C2001" t="s">
        <v>4325</v>
      </c>
      <c r="D2001" t="s">
        <v>3824</v>
      </c>
      <c r="F2001">
        <v>1655924629</v>
      </c>
      <c r="G2001">
        <v>1456681532</v>
      </c>
      <c r="H2001">
        <v>418793310</v>
      </c>
      <c r="I2001">
        <v>321801217</v>
      </c>
      <c r="J2001">
        <v>257118944</v>
      </c>
      <c r="K2001">
        <v>100830523</v>
      </c>
      <c r="P2001">
        <v>283</v>
      </c>
      <c r="Q2001" t="s">
        <v>4326</v>
      </c>
    </row>
    <row r="2002" spans="1:17" x14ac:dyDescent="0.3">
      <c r="A2002" t="s">
        <v>17</v>
      </c>
      <c r="B2002" t="str">
        <f>"688393"</f>
        <v>688393</v>
      </c>
      <c r="C2002" t="s">
        <v>4327</v>
      </c>
      <c r="D2002" t="s">
        <v>1305</v>
      </c>
      <c r="F2002">
        <v>1204002680</v>
      </c>
      <c r="G2002">
        <v>1167971034</v>
      </c>
      <c r="H2002">
        <v>443279794</v>
      </c>
      <c r="I2002">
        <v>386790897</v>
      </c>
      <c r="J2002">
        <v>342819122</v>
      </c>
      <c r="K2002">
        <v>315480374</v>
      </c>
      <c r="P2002">
        <v>76</v>
      </c>
      <c r="Q2002" t="s">
        <v>4328</v>
      </c>
    </row>
    <row r="2003" spans="1:17" x14ac:dyDescent="0.3">
      <c r="A2003" t="s">
        <v>17</v>
      </c>
      <c r="B2003" t="str">
        <f>"688395"</f>
        <v>688395</v>
      </c>
      <c r="C2003" t="s">
        <v>4329</v>
      </c>
      <c r="D2003" t="s">
        <v>2432</v>
      </c>
      <c r="F2003">
        <v>658896008</v>
      </c>
      <c r="G2003">
        <v>305476618</v>
      </c>
      <c r="H2003">
        <v>235117149</v>
      </c>
      <c r="I2003">
        <v>185604395</v>
      </c>
      <c r="J2003">
        <v>155149563</v>
      </c>
      <c r="P2003">
        <v>36</v>
      </c>
      <c r="Q2003" t="s">
        <v>4330</v>
      </c>
    </row>
    <row r="2004" spans="1:17" x14ac:dyDescent="0.3">
      <c r="A2004" t="s">
        <v>17</v>
      </c>
      <c r="B2004" t="str">
        <f>"688396"</f>
        <v>688396</v>
      </c>
      <c r="C2004" t="s">
        <v>4331</v>
      </c>
      <c r="D2004" t="s">
        <v>4332</v>
      </c>
      <c r="F2004">
        <v>17289740962</v>
      </c>
      <c r="G2004">
        <v>10582787885</v>
      </c>
      <c r="H2004">
        <v>5423131165</v>
      </c>
      <c r="I2004">
        <v>4147983663</v>
      </c>
      <c r="J2004">
        <v>3832321556</v>
      </c>
      <c r="K2004">
        <v>2717543463</v>
      </c>
      <c r="P2004">
        <v>495</v>
      </c>
      <c r="Q2004" t="s">
        <v>4333</v>
      </c>
    </row>
    <row r="2005" spans="1:17" x14ac:dyDescent="0.3">
      <c r="A2005" t="s">
        <v>17</v>
      </c>
      <c r="B2005" t="str">
        <f>"688398"</f>
        <v>688398</v>
      </c>
      <c r="C2005" t="s">
        <v>4334</v>
      </c>
      <c r="D2005" t="s">
        <v>386</v>
      </c>
      <c r="F2005">
        <v>909979370</v>
      </c>
      <c r="G2005">
        <v>824404976</v>
      </c>
      <c r="H2005">
        <v>327659415</v>
      </c>
      <c r="I2005">
        <v>259011168</v>
      </c>
      <c r="J2005">
        <v>209273684</v>
      </c>
      <c r="K2005">
        <v>204024337</v>
      </c>
      <c r="P2005">
        <v>81</v>
      </c>
      <c r="Q2005" t="s">
        <v>4335</v>
      </c>
    </row>
    <row r="2006" spans="1:17" x14ac:dyDescent="0.3">
      <c r="A2006" t="s">
        <v>17</v>
      </c>
      <c r="B2006" t="str">
        <f>"688399"</f>
        <v>688399</v>
      </c>
      <c r="C2006" t="s">
        <v>4336</v>
      </c>
      <c r="D2006" t="s">
        <v>1305</v>
      </c>
      <c r="F2006">
        <v>2536449901</v>
      </c>
      <c r="G2006">
        <v>1664496809</v>
      </c>
      <c r="H2006">
        <v>1020789469</v>
      </c>
      <c r="I2006">
        <v>324099719</v>
      </c>
      <c r="J2006">
        <v>260275146</v>
      </c>
      <c r="K2006">
        <v>251895497</v>
      </c>
      <c r="P2006">
        <v>373</v>
      </c>
      <c r="Q2006" t="s">
        <v>4337</v>
      </c>
    </row>
    <row r="2007" spans="1:17" x14ac:dyDescent="0.3">
      <c r="A2007" t="s">
        <v>17</v>
      </c>
      <c r="B2007" t="str">
        <f>"688408"</f>
        <v>688408</v>
      </c>
      <c r="C2007" t="s">
        <v>4338</v>
      </c>
      <c r="D2007" t="s">
        <v>478</v>
      </c>
      <c r="F2007">
        <v>2440278941</v>
      </c>
      <c r="G2007">
        <v>2482272171</v>
      </c>
      <c r="H2007">
        <v>889810184</v>
      </c>
      <c r="I2007">
        <v>756862103</v>
      </c>
      <c r="J2007">
        <v>659785637</v>
      </c>
      <c r="P2007">
        <v>114</v>
      </c>
      <c r="Q2007" t="s">
        <v>4339</v>
      </c>
    </row>
    <row r="2008" spans="1:17" x14ac:dyDescent="0.3">
      <c r="A2008" t="s">
        <v>17</v>
      </c>
      <c r="B2008" t="str">
        <f>"688418"</f>
        <v>688418</v>
      </c>
      <c r="C2008" t="s">
        <v>4340</v>
      </c>
      <c r="D2008" t="s">
        <v>595</v>
      </c>
      <c r="F2008">
        <v>1143479063</v>
      </c>
      <c r="G2008">
        <v>1255707444</v>
      </c>
      <c r="H2008">
        <v>501143490</v>
      </c>
      <c r="I2008">
        <v>440272242</v>
      </c>
      <c r="J2008">
        <v>292248759</v>
      </c>
      <c r="K2008">
        <v>253693910</v>
      </c>
      <c r="P2008">
        <v>40</v>
      </c>
      <c r="Q2008" t="s">
        <v>4341</v>
      </c>
    </row>
    <row r="2009" spans="1:17" x14ac:dyDescent="0.3">
      <c r="A2009" t="s">
        <v>17</v>
      </c>
      <c r="B2009" t="str">
        <f>"688425"</f>
        <v>688425</v>
      </c>
      <c r="C2009" t="s">
        <v>4342</v>
      </c>
      <c r="D2009" t="s">
        <v>83</v>
      </c>
      <c r="F2009">
        <v>14172019067</v>
      </c>
      <c r="G2009">
        <v>8276155713</v>
      </c>
      <c r="H2009">
        <v>7126386373</v>
      </c>
      <c r="I2009">
        <v>9295894810</v>
      </c>
      <c r="J2009">
        <v>7856543142</v>
      </c>
      <c r="P2009">
        <v>40</v>
      </c>
      <c r="Q2009" t="s">
        <v>4343</v>
      </c>
    </row>
    <row r="2010" spans="1:17" x14ac:dyDescent="0.3">
      <c r="A2010" t="s">
        <v>17</v>
      </c>
      <c r="B2010" t="str">
        <f>"688456"</f>
        <v>688456</v>
      </c>
      <c r="C2010" t="s">
        <v>4344</v>
      </c>
      <c r="D2010" t="s">
        <v>263</v>
      </c>
      <c r="F2010">
        <v>1091720275</v>
      </c>
      <c r="G2010">
        <v>746249435</v>
      </c>
      <c r="H2010">
        <v>638000101</v>
      </c>
      <c r="I2010">
        <v>507924533</v>
      </c>
      <c r="J2010">
        <v>383637752</v>
      </c>
      <c r="P2010">
        <v>28</v>
      </c>
      <c r="Q2010" t="s">
        <v>4345</v>
      </c>
    </row>
    <row r="2011" spans="1:17" x14ac:dyDescent="0.3">
      <c r="A2011" t="s">
        <v>17</v>
      </c>
      <c r="B2011" t="str">
        <f>"688466"</f>
        <v>688466</v>
      </c>
      <c r="C2011" t="s">
        <v>4346</v>
      </c>
      <c r="D2011" t="s">
        <v>33</v>
      </c>
      <c r="F2011">
        <v>1020223517</v>
      </c>
      <c r="G2011">
        <v>965484150</v>
      </c>
      <c r="H2011">
        <v>335420768</v>
      </c>
      <c r="I2011">
        <v>260721521</v>
      </c>
      <c r="J2011">
        <v>166129653</v>
      </c>
      <c r="K2011">
        <v>130618718</v>
      </c>
      <c r="P2011">
        <v>60</v>
      </c>
      <c r="Q2011" t="s">
        <v>4347</v>
      </c>
    </row>
    <row r="2012" spans="1:17" x14ac:dyDescent="0.3">
      <c r="A2012" t="s">
        <v>17</v>
      </c>
      <c r="B2012" t="str">
        <f>"688468"</f>
        <v>688468</v>
      </c>
      <c r="C2012" t="s">
        <v>4348</v>
      </c>
      <c r="D2012" t="s">
        <v>1305</v>
      </c>
      <c r="F2012">
        <v>1278672724</v>
      </c>
      <c r="G2012">
        <v>887358555</v>
      </c>
      <c r="H2012">
        <v>866974804</v>
      </c>
      <c r="I2012">
        <v>775381569</v>
      </c>
      <c r="J2012">
        <v>647084393</v>
      </c>
      <c r="P2012">
        <v>39</v>
      </c>
      <c r="Q2012" t="s">
        <v>4349</v>
      </c>
    </row>
    <row r="2013" spans="1:17" x14ac:dyDescent="0.3">
      <c r="A2013" t="s">
        <v>17</v>
      </c>
      <c r="B2013" t="str">
        <f>"688488"</f>
        <v>688488</v>
      </c>
      <c r="C2013" t="s">
        <v>4350</v>
      </c>
      <c r="D2013" t="s">
        <v>1379</v>
      </c>
      <c r="F2013">
        <v>1309797481</v>
      </c>
      <c r="G2013">
        <v>1359856911</v>
      </c>
      <c r="H2013">
        <v>556236959</v>
      </c>
      <c r="I2013">
        <v>522712780</v>
      </c>
      <c r="J2013">
        <v>514094894</v>
      </c>
      <c r="K2013">
        <v>300396043</v>
      </c>
      <c r="P2013">
        <v>44</v>
      </c>
      <c r="Q2013" t="s">
        <v>4351</v>
      </c>
    </row>
    <row r="2014" spans="1:17" x14ac:dyDescent="0.3">
      <c r="A2014" t="s">
        <v>17</v>
      </c>
      <c r="B2014" t="str">
        <f>"688499"</f>
        <v>688499</v>
      </c>
      <c r="C2014" t="s">
        <v>4352</v>
      </c>
      <c r="D2014" t="s">
        <v>3776</v>
      </c>
      <c r="F2014">
        <v>1997790925</v>
      </c>
      <c r="G2014">
        <v>1048745704</v>
      </c>
      <c r="H2014">
        <v>643034360</v>
      </c>
      <c r="I2014">
        <v>562967373</v>
      </c>
      <c r="J2014">
        <v>176251683</v>
      </c>
      <c r="K2014">
        <v>18109130</v>
      </c>
      <c r="P2014">
        <v>65</v>
      </c>
      <c r="Q2014" t="s">
        <v>4353</v>
      </c>
    </row>
    <row r="2015" spans="1:17" x14ac:dyDescent="0.3">
      <c r="A2015" t="s">
        <v>17</v>
      </c>
      <c r="B2015" t="str">
        <f>"688500"</f>
        <v>688500</v>
      </c>
      <c r="C2015" t="s">
        <v>4354</v>
      </c>
      <c r="D2015" t="s">
        <v>316</v>
      </c>
      <c r="F2015">
        <v>1180791573</v>
      </c>
      <c r="G2015">
        <v>1231214111</v>
      </c>
      <c r="H2015">
        <v>597654481</v>
      </c>
      <c r="I2015">
        <v>536487083</v>
      </c>
      <c r="J2015">
        <v>487799803</v>
      </c>
      <c r="K2015">
        <v>116740682</v>
      </c>
      <c r="P2015">
        <v>26</v>
      </c>
      <c r="Q2015" t="s">
        <v>4355</v>
      </c>
    </row>
    <row r="2016" spans="1:17" x14ac:dyDescent="0.3">
      <c r="A2016" t="s">
        <v>17</v>
      </c>
      <c r="B2016" t="str">
        <f>"688501"</f>
        <v>688501</v>
      </c>
      <c r="C2016" t="s">
        <v>4356</v>
      </c>
      <c r="D2016" t="s">
        <v>1070</v>
      </c>
      <c r="F2016">
        <v>758118651</v>
      </c>
      <c r="G2016">
        <v>502166912</v>
      </c>
      <c r="H2016">
        <v>454147558</v>
      </c>
      <c r="I2016">
        <v>407811948</v>
      </c>
      <c r="J2016">
        <v>352861347</v>
      </c>
      <c r="P2016">
        <v>24</v>
      </c>
      <c r="Q2016" t="s">
        <v>4357</v>
      </c>
    </row>
    <row r="2017" spans="1:17" x14ac:dyDescent="0.3">
      <c r="A2017" t="s">
        <v>17</v>
      </c>
      <c r="B2017" t="str">
        <f>"688505"</f>
        <v>688505</v>
      </c>
      <c r="C2017" t="s">
        <v>4358</v>
      </c>
      <c r="D2017" t="s">
        <v>143</v>
      </c>
      <c r="F2017">
        <v>2192945932</v>
      </c>
      <c r="G2017">
        <v>2010930752</v>
      </c>
      <c r="H2017">
        <v>931525379</v>
      </c>
      <c r="I2017">
        <v>982070927</v>
      </c>
      <c r="J2017">
        <v>872389612</v>
      </c>
      <c r="K2017">
        <v>843553695</v>
      </c>
      <c r="P2017">
        <v>69</v>
      </c>
      <c r="Q2017" t="s">
        <v>4359</v>
      </c>
    </row>
    <row r="2018" spans="1:17" x14ac:dyDescent="0.3">
      <c r="A2018" t="s">
        <v>17</v>
      </c>
      <c r="B2018" t="str">
        <f>"688508"</f>
        <v>688508</v>
      </c>
      <c r="C2018" t="s">
        <v>4360</v>
      </c>
      <c r="D2018" t="s">
        <v>401</v>
      </c>
      <c r="F2018">
        <v>1514677280</v>
      </c>
      <c r="G2018">
        <v>1291100894</v>
      </c>
      <c r="H2018">
        <v>467320486</v>
      </c>
      <c r="I2018">
        <v>258847779</v>
      </c>
      <c r="J2018">
        <v>224583125</v>
      </c>
      <c r="K2018">
        <v>184872566</v>
      </c>
      <c r="P2018">
        <v>165</v>
      </c>
      <c r="Q2018" t="s">
        <v>4361</v>
      </c>
    </row>
    <row r="2019" spans="1:17" x14ac:dyDescent="0.3">
      <c r="A2019" t="s">
        <v>17</v>
      </c>
      <c r="B2019" t="str">
        <f>"688509"</f>
        <v>688509</v>
      </c>
      <c r="C2019" t="s">
        <v>4362</v>
      </c>
      <c r="D2019" t="s">
        <v>316</v>
      </c>
      <c r="F2019">
        <v>1505492939</v>
      </c>
      <c r="G2019">
        <v>1180221443</v>
      </c>
      <c r="H2019">
        <v>1134047459</v>
      </c>
      <c r="I2019">
        <v>1067192304</v>
      </c>
      <c r="J2019">
        <v>907867000</v>
      </c>
      <c r="P2019">
        <v>17</v>
      </c>
      <c r="Q2019" t="s">
        <v>4363</v>
      </c>
    </row>
    <row r="2020" spans="1:17" x14ac:dyDescent="0.3">
      <c r="A2020" t="s">
        <v>17</v>
      </c>
      <c r="B2020" t="str">
        <f>"688510"</f>
        <v>688510</v>
      </c>
      <c r="C2020" t="s">
        <v>4364</v>
      </c>
      <c r="D2020" t="s">
        <v>98</v>
      </c>
      <c r="F2020">
        <v>960628936</v>
      </c>
      <c r="G2020">
        <v>939817946</v>
      </c>
      <c r="H2020">
        <v>405609223</v>
      </c>
      <c r="I2020">
        <v>365145047</v>
      </c>
      <c r="J2020">
        <v>178141071</v>
      </c>
      <c r="K2020">
        <v>137562320</v>
      </c>
      <c r="P2020">
        <v>66</v>
      </c>
      <c r="Q2020" t="s">
        <v>4365</v>
      </c>
    </row>
    <row r="2021" spans="1:17" x14ac:dyDescent="0.3">
      <c r="A2021" t="s">
        <v>17</v>
      </c>
      <c r="B2021" t="str">
        <f>"688511"</f>
        <v>688511</v>
      </c>
      <c r="C2021" t="s">
        <v>4366</v>
      </c>
      <c r="D2021" t="s">
        <v>1136</v>
      </c>
      <c r="F2021">
        <v>842643186</v>
      </c>
      <c r="G2021">
        <v>219558125</v>
      </c>
      <c r="H2021">
        <v>136276059</v>
      </c>
      <c r="I2021">
        <v>76936767</v>
      </c>
      <c r="J2021">
        <v>67314061</v>
      </c>
      <c r="P2021">
        <v>23</v>
      </c>
      <c r="Q2021" t="s">
        <v>4367</v>
      </c>
    </row>
    <row r="2022" spans="1:17" x14ac:dyDescent="0.3">
      <c r="A2022" t="s">
        <v>17</v>
      </c>
      <c r="B2022" t="str">
        <f>"688513"</f>
        <v>688513</v>
      </c>
      <c r="C2022" t="s">
        <v>4368</v>
      </c>
      <c r="D2022" t="s">
        <v>143</v>
      </c>
      <c r="F2022">
        <v>2291664729</v>
      </c>
      <c r="G2022">
        <v>2095247259</v>
      </c>
      <c r="H2022">
        <v>697443762</v>
      </c>
      <c r="I2022">
        <v>582193498</v>
      </c>
      <c r="J2022">
        <v>445279911</v>
      </c>
      <c r="K2022">
        <v>389789531</v>
      </c>
      <c r="P2022">
        <v>58</v>
      </c>
      <c r="Q2022" t="s">
        <v>4369</v>
      </c>
    </row>
    <row r="2023" spans="1:17" x14ac:dyDescent="0.3">
      <c r="A2023" t="s">
        <v>17</v>
      </c>
      <c r="B2023" t="str">
        <f>"688516"</f>
        <v>688516</v>
      </c>
      <c r="C2023" t="s">
        <v>4370</v>
      </c>
      <c r="D2023" t="s">
        <v>2671</v>
      </c>
      <c r="F2023">
        <v>1407736698</v>
      </c>
      <c r="G2023">
        <v>1089597745</v>
      </c>
      <c r="H2023">
        <v>450885366</v>
      </c>
      <c r="I2023">
        <v>350398274</v>
      </c>
      <c r="J2023">
        <v>300141964</v>
      </c>
      <c r="K2023">
        <v>123971318</v>
      </c>
      <c r="P2023">
        <v>152</v>
      </c>
      <c r="Q2023" t="s">
        <v>4371</v>
      </c>
    </row>
    <row r="2024" spans="1:17" x14ac:dyDescent="0.3">
      <c r="A2024" t="s">
        <v>17</v>
      </c>
      <c r="B2024" t="str">
        <f>"688517"</f>
        <v>688517</v>
      </c>
      <c r="C2024" t="s">
        <v>4372</v>
      </c>
      <c r="D2024" t="s">
        <v>657</v>
      </c>
      <c r="F2024">
        <v>712553971</v>
      </c>
      <c r="G2024">
        <v>447610754</v>
      </c>
      <c r="H2024">
        <v>373582256</v>
      </c>
      <c r="I2024">
        <v>294727736</v>
      </c>
      <c r="J2024">
        <v>244269769</v>
      </c>
      <c r="P2024">
        <v>19</v>
      </c>
      <c r="Q2024" t="s">
        <v>4373</v>
      </c>
    </row>
    <row r="2025" spans="1:17" x14ac:dyDescent="0.3">
      <c r="A2025" t="s">
        <v>17</v>
      </c>
      <c r="B2025" t="str">
        <f>"688518"</f>
        <v>688518</v>
      </c>
      <c r="C2025" t="s">
        <v>4374</v>
      </c>
      <c r="D2025" t="s">
        <v>3811</v>
      </c>
      <c r="F2025">
        <v>1518931747</v>
      </c>
      <c r="G2025">
        <v>1440990942</v>
      </c>
      <c r="H2025">
        <v>875201463</v>
      </c>
      <c r="I2025">
        <v>802937329</v>
      </c>
      <c r="J2025">
        <v>401036423</v>
      </c>
      <c r="K2025">
        <v>313004949</v>
      </c>
      <c r="P2025">
        <v>65</v>
      </c>
      <c r="Q2025" t="s">
        <v>4375</v>
      </c>
    </row>
    <row r="2026" spans="1:17" x14ac:dyDescent="0.3">
      <c r="A2026" t="s">
        <v>17</v>
      </c>
      <c r="B2026" t="str">
        <f>"688519"</f>
        <v>688519</v>
      </c>
      <c r="C2026" t="s">
        <v>4376</v>
      </c>
      <c r="D2026" t="s">
        <v>425</v>
      </c>
      <c r="F2026">
        <v>2893849389</v>
      </c>
      <c r="G2026">
        <v>2592862906</v>
      </c>
      <c r="H2026">
        <v>671027311</v>
      </c>
      <c r="I2026">
        <v>537152056</v>
      </c>
      <c r="J2026">
        <v>421424990</v>
      </c>
      <c r="P2026">
        <v>80</v>
      </c>
      <c r="Q2026" t="s">
        <v>4377</v>
      </c>
    </row>
    <row r="2027" spans="1:17" x14ac:dyDescent="0.3">
      <c r="A2027" t="s">
        <v>17</v>
      </c>
      <c r="B2027" t="str">
        <f>"688520"</f>
        <v>688520</v>
      </c>
      <c r="C2027" t="s">
        <v>4378</v>
      </c>
      <c r="D2027" t="s">
        <v>1379</v>
      </c>
      <c r="F2027">
        <v>-226506916</v>
      </c>
      <c r="G2027">
        <v>590829130</v>
      </c>
      <c r="H2027">
        <v>36295897</v>
      </c>
      <c r="I2027">
        <v>-22364603</v>
      </c>
      <c r="J2027">
        <v>175444769</v>
      </c>
      <c r="K2027">
        <v>83391048</v>
      </c>
      <c r="P2027">
        <v>90</v>
      </c>
      <c r="Q2027" t="s">
        <v>4379</v>
      </c>
    </row>
    <row r="2028" spans="1:17" x14ac:dyDescent="0.3">
      <c r="A2028" t="s">
        <v>17</v>
      </c>
      <c r="B2028" t="str">
        <f>"688521"</f>
        <v>688521</v>
      </c>
      <c r="C2028" t="s">
        <v>4380</v>
      </c>
      <c r="D2028" t="s">
        <v>461</v>
      </c>
      <c r="F2028">
        <v>2721118453</v>
      </c>
      <c r="G2028">
        <v>2626447624</v>
      </c>
      <c r="H2028">
        <v>961490145</v>
      </c>
      <c r="I2028">
        <v>171139780</v>
      </c>
      <c r="J2028">
        <v>288986587</v>
      </c>
      <c r="K2028">
        <v>422478159</v>
      </c>
      <c r="P2028">
        <v>140</v>
      </c>
      <c r="Q2028" t="s">
        <v>4381</v>
      </c>
    </row>
    <row r="2029" spans="1:17" x14ac:dyDescent="0.3">
      <c r="A2029" t="s">
        <v>17</v>
      </c>
      <c r="B2029" t="str">
        <f>"688526"</f>
        <v>688526</v>
      </c>
      <c r="C2029" t="s">
        <v>4382</v>
      </c>
      <c r="D2029" t="s">
        <v>453</v>
      </c>
      <c r="F2029">
        <v>3153476193</v>
      </c>
      <c r="G2029">
        <v>2708517210</v>
      </c>
      <c r="H2029">
        <v>1118981323</v>
      </c>
      <c r="I2029">
        <v>876338836</v>
      </c>
      <c r="J2029">
        <v>673084128</v>
      </c>
      <c r="K2029">
        <v>412765973</v>
      </c>
      <c r="P2029">
        <v>147</v>
      </c>
      <c r="Q2029" t="s">
        <v>4383</v>
      </c>
    </row>
    <row r="2030" spans="1:17" x14ac:dyDescent="0.3">
      <c r="A2030" t="s">
        <v>17</v>
      </c>
      <c r="B2030" t="str">
        <f>"688528"</f>
        <v>688528</v>
      </c>
      <c r="C2030" t="s">
        <v>4384</v>
      </c>
      <c r="D2030" t="s">
        <v>2566</v>
      </c>
      <c r="F2030">
        <v>758644840</v>
      </c>
      <c r="G2030">
        <v>754641532</v>
      </c>
      <c r="H2030">
        <v>291844568</v>
      </c>
      <c r="I2030">
        <v>247615108</v>
      </c>
      <c r="J2030">
        <v>173740111</v>
      </c>
      <c r="K2030">
        <v>132255790</v>
      </c>
      <c r="P2030">
        <v>42</v>
      </c>
      <c r="Q2030" t="s">
        <v>4385</v>
      </c>
    </row>
    <row r="2031" spans="1:17" x14ac:dyDescent="0.3">
      <c r="A2031" t="s">
        <v>17</v>
      </c>
      <c r="B2031" t="str">
        <f>"688529"</f>
        <v>688529</v>
      </c>
      <c r="C2031" t="s">
        <v>4386</v>
      </c>
      <c r="D2031" t="s">
        <v>741</v>
      </c>
      <c r="F2031">
        <v>1096855712</v>
      </c>
      <c r="G2031">
        <v>1045068258</v>
      </c>
      <c r="H2031">
        <v>359610428</v>
      </c>
      <c r="I2031">
        <v>54159635</v>
      </c>
      <c r="J2031">
        <v>83406744</v>
      </c>
      <c r="P2031">
        <v>33</v>
      </c>
      <c r="Q2031" t="s">
        <v>4387</v>
      </c>
    </row>
    <row r="2032" spans="1:17" x14ac:dyDescent="0.3">
      <c r="A2032" t="s">
        <v>17</v>
      </c>
      <c r="B2032" t="str">
        <f>"688533"</f>
        <v>688533</v>
      </c>
      <c r="C2032" t="s">
        <v>4388</v>
      </c>
      <c r="D2032" t="s">
        <v>1415</v>
      </c>
      <c r="F2032">
        <v>1029328375</v>
      </c>
      <c r="G2032">
        <v>713274375</v>
      </c>
      <c r="H2032">
        <v>686449254</v>
      </c>
      <c r="I2032">
        <v>601448647</v>
      </c>
      <c r="J2032">
        <v>491460659</v>
      </c>
      <c r="P2032">
        <v>39</v>
      </c>
      <c r="Q2032" t="s">
        <v>4389</v>
      </c>
    </row>
    <row r="2033" spans="1:17" x14ac:dyDescent="0.3">
      <c r="A2033" t="s">
        <v>17</v>
      </c>
      <c r="B2033" t="str">
        <f>"688536"</f>
        <v>688536</v>
      </c>
      <c r="C2033" t="s">
        <v>4390</v>
      </c>
      <c r="D2033" t="s">
        <v>401</v>
      </c>
      <c r="F2033">
        <v>3175652645</v>
      </c>
      <c r="G2033">
        <v>2573757156</v>
      </c>
      <c r="H2033">
        <v>218983263</v>
      </c>
      <c r="I2033">
        <v>63294353</v>
      </c>
      <c r="J2033">
        <v>54343122</v>
      </c>
      <c r="P2033">
        <v>199</v>
      </c>
      <c r="Q2033" t="s">
        <v>4391</v>
      </c>
    </row>
    <row r="2034" spans="1:17" x14ac:dyDescent="0.3">
      <c r="A2034" t="s">
        <v>17</v>
      </c>
      <c r="B2034" t="str">
        <f>"688538"</f>
        <v>688538</v>
      </c>
      <c r="C2034" t="s">
        <v>4392</v>
      </c>
      <c r="D2034" t="s">
        <v>1117</v>
      </c>
      <c r="F2034">
        <v>17398334072</v>
      </c>
      <c r="G2034">
        <v>10341356523</v>
      </c>
      <c r="H2034">
        <v>11004471953</v>
      </c>
      <c r="I2034">
        <v>10450477308</v>
      </c>
      <c r="J2034">
        <v>8100724710</v>
      </c>
      <c r="P2034">
        <v>37</v>
      </c>
      <c r="Q2034" t="s">
        <v>4393</v>
      </c>
    </row>
    <row r="2035" spans="1:17" x14ac:dyDescent="0.3">
      <c r="A2035" t="s">
        <v>17</v>
      </c>
      <c r="B2035" t="str">
        <f>"688550"</f>
        <v>688550</v>
      </c>
      <c r="C2035" t="s">
        <v>4394</v>
      </c>
      <c r="D2035" t="s">
        <v>2408</v>
      </c>
      <c r="F2035">
        <v>2854629226</v>
      </c>
      <c r="G2035">
        <v>2691795491</v>
      </c>
      <c r="H2035">
        <v>672350127</v>
      </c>
      <c r="I2035">
        <v>563885650</v>
      </c>
      <c r="J2035">
        <v>499243520</v>
      </c>
      <c r="P2035">
        <v>54</v>
      </c>
      <c r="Q2035" t="s">
        <v>4395</v>
      </c>
    </row>
    <row r="2036" spans="1:17" x14ac:dyDescent="0.3">
      <c r="A2036" t="s">
        <v>17</v>
      </c>
      <c r="B2036" t="str">
        <f>"688551"</f>
        <v>688551</v>
      </c>
      <c r="C2036" t="s">
        <v>4396</v>
      </c>
      <c r="D2036" t="s">
        <v>880</v>
      </c>
      <c r="F2036">
        <v>968221057</v>
      </c>
      <c r="G2036">
        <v>921179161</v>
      </c>
      <c r="H2036">
        <v>187792891</v>
      </c>
      <c r="I2036">
        <v>134268378</v>
      </c>
      <c r="J2036">
        <v>53787882</v>
      </c>
      <c r="P2036">
        <v>39</v>
      </c>
      <c r="Q2036" t="s">
        <v>4397</v>
      </c>
    </row>
    <row r="2037" spans="1:17" x14ac:dyDescent="0.3">
      <c r="A2037" t="s">
        <v>17</v>
      </c>
      <c r="B2037" t="str">
        <f>"688553"</f>
        <v>688553</v>
      </c>
      <c r="C2037" t="s">
        <v>4398</v>
      </c>
      <c r="D2037" t="s">
        <v>143</v>
      </c>
      <c r="F2037">
        <v>3558496853</v>
      </c>
      <c r="G2037">
        <v>751484544</v>
      </c>
      <c r="H2037">
        <v>408682331</v>
      </c>
      <c r="I2037">
        <v>-150704385</v>
      </c>
      <c r="J2037">
        <v>-185323863</v>
      </c>
      <c r="P2037">
        <v>30</v>
      </c>
      <c r="Q2037" t="s">
        <v>4399</v>
      </c>
    </row>
    <row r="2038" spans="1:17" x14ac:dyDescent="0.3">
      <c r="A2038" t="s">
        <v>17</v>
      </c>
      <c r="B2038" t="str">
        <f>"688555"</f>
        <v>688555</v>
      </c>
      <c r="C2038" t="s">
        <v>4400</v>
      </c>
      <c r="D2038" t="s">
        <v>945</v>
      </c>
      <c r="F2038">
        <v>852974888</v>
      </c>
      <c r="G2038">
        <v>831251934</v>
      </c>
      <c r="H2038">
        <v>410821216</v>
      </c>
      <c r="I2038">
        <v>324422130</v>
      </c>
      <c r="J2038">
        <v>173014634</v>
      </c>
      <c r="K2038">
        <v>114285938</v>
      </c>
      <c r="P2038">
        <v>55</v>
      </c>
      <c r="Q2038" t="s">
        <v>4401</v>
      </c>
    </row>
    <row r="2039" spans="1:17" x14ac:dyDescent="0.3">
      <c r="A2039" t="s">
        <v>17</v>
      </c>
      <c r="B2039" t="str">
        <f>"688556"</f>
        <v>688556</v>
      </c>
      <c r="C2039" t="s">
        <v>4402</v>
      </c>
      <c r="D2039" t="s">
        <v>2671</v>
      </c>
      <c r="F2039">
        <v>1154114381</v>
      </c>
      <c r="G2039">
        <v>984399170</v>
      </c>
      <c r="H2039">
        <v>393609825</v>
      </c>
      <c r="I2039">
        <v>216766120</v>
      </c>
      <c r="J2039">
        <v>163233009</v>
      </c>
      <c r="K2039">
        <v>67179635</v>
      </c>
      <c r="P2039">
        <v>69</v>
      </c>
      <c r="Q2039" t="s">
        <v>4403</v>
      </c>
    </row>
    <row r="2040" spans="1:17" x14ac:dyDescent="0.3">
      <c r="A2040" t="s">
        <v>17</v>
      </c>
      <c r="B2040" t="str">
        <f>"688557"</f>
        <v>688557</v>
      </c>
      <c r="C2040" t="s">
        <v>4404</v>
      </c>
      <c r="D2040" t="s">
        <v>560</v>
      </c>
      <c r="F2040">
        <v>928257747</v>
      </c>
      <c r="G2040">
        <v>873189831</v>
      </c>
      <c r="H2040">
        <v>333450584</v>
      </c>
      <c r="I2040">
        <v>184616613</v>
      </c>
      <c r="J2040">
        <v>137048963</v>
      </c>
      <c r="P2040">
        <v>47</v>
      </c>
      <c r="Q2040" t="s">
        <v>4405</v>
      </c>
    </row>
    <row r="2041" spans="1:17" x14ac:dyDescent="0.3">
      <c r="A2041" t="s">
        <v>17</v>
      </c>
      <c r="B2041" t="str">
        <f>"688558"</f>
        <v>688558</v>
      </c>
      <c r="C2041" t="s">
        <v>4406</v>
      </c>
      <c r="D2041" t="s">
        <v>2321</v>
      </c>
      <c r="F2041">
        <v>1393616713</v>
      </c>
      <c r="G2041">
        <v>1232526769</v>
      </c>
      <c r="H2041">
        <v>591680863</v>
      </c>
      <c r="I2041">
        <v>523167513</v>
      </c>
      <c r="J2041">
        <v>443331390</v>
      </c>
      <c r="K2041">
        <v>385325594</v>
      </c>
      <c r="P2041">
        <v>95</v>
      </c>
      <c r="Q2041" t="s">
        <v>4407</v>
      </c>
    </row>
    <row r="2042" spans="1:17" x14ac:dyDescent="0.3">
      <c r="A2042" t="s">
        <v>17</v>
      </c>
      <c r="B2042" t="str">
        <f>"688559"</f>
        <v>688559</v>
      </c>
      <c r="C2042" t="s">
        <v>4408</v>
      </c>
      <c r="D2042" t="s">
        <v>3811</v>
      </c>
      <c r="F2042">
        <v>1537818959</v>
      </c>
      <c r="G2042">
        <v>1380745815</v>
      </c>
      <c r="H2042">
        <v>654390674</v>
      </c>
      <c r="I2042">
        <v>507196643</v>
      </c>
      <c r="J2042">
        <v>423852617</v>
      </c>
      <c r="K2042">
        <v>125279464</v>
      </c>
      <c r="P2042">
        <v>68</v>
      </c>
      <c r="Q2042" t="s">
        <v>4409</v>
      </c>
    </row>
    <row r="2043" spans="1:17" x14ac:dyDescent="0.3">
      <c r="A2043" t="s">
        <v>17</v>
      </c>
      <c r="B2043" t="str">
        <f>"688560"</f>
        <v>688560</v>
      </c>
      <c r="C2043" t="s">
        <v>4410</v>
      </c>
      <c r="D2043" t="s">
        <v>478</v>
      </c>
      <c r="F2043">
        <v>1415734282</v>
      </c>
      <c r="G2043">
        <v>1325751209</v>
      </c>
      <c r="H2043">
        <v>647239003</v>
      </c>
      <c r="I2043">
        <v>542183901</v>
      </c>
      <c r="J2043">
        <v>453691985</v>
      </c>
      <c r="K2043">
        <v>416433280</v>
      </c>
      <c r="P2043">
        <v>38</v>
      </c>
      <c r="Q2043" t="s">
        <v>4411</v>
      </c>
    </row>
    <row r="2044" spans="1:17" x14ac:dyDescent="0.3">
      <c r="A2044" t="s">
        <v>17</v>
      </c>
      <c r="B2044" t="str">
        <f>"688561"</f>
        <v>688561</v>
      </c>
      <c r="C2044" t="s">
        <v>4412</v>
      </c>
      <c r="D2044" t="s">
        <v>1189</v>
      </c>
      <c r="F2044">
        <v>9896102940</v>
      </c>
      <c r="G2044">
        <v>10007666179</v>
      </c>
      <c r="H2044">
        <v>5022490717</v>
      </c>
      <c r="I2044">
        <v>4297159546</v>
      </c>
      <c r="J2044">
        <v>3250705842</v>
      </c>
      <c r="P2044">
        <v>192</v>
      </c>
      <c r="Q2044" t="s">
        <v>4413</v>
      </c>
    </row>
    <row r="2045" spans="1:17" x14ac:dyDescent="0.3">
      <c r="A2045" t="s">
        <v>17</v>
      </c>
      <c r="B2045" t="str">
        <f>"688565"</f>
        <v>688565</v>
      </c>
      <c r="C2045" t="s">
        <v>4414</v>
      </c>
      <c r="D2045" t="s">
        <v>33</v>
      </c>
      <c r="F2045">
        <v>653435873</v>
      </c>
      <c r="G2045">
        <v>418390995</v>
      </c>
      <c r="H2045">
        <v>379619653</v>
      </c>
      <c r="I2045">
        <v>337071910</v>
      </c>
      <c r="J2045">
        <v>274651719</v>
      </c>
      <c r="P2045">
        <v>38</v>
      </c>
      <c r="Q2045" t="s">
        <v>4415</v>
      </c>
    </row>
    <row r="2046" spans="1:17" x14ac:dyDescent="0.3">
      <c r="A2046" t="s">
        <v>17</v>
      </c>
      <c r="B2046" t="str">
        <f>"688566"</f>
        <v>688566</v>
      </c>
      <c r="C2046" t="s">
        <v>4416</v>
      </c>
      <c r="D2046" t="s">
        <v>143</v>
      </c>
      <c r="F2046">
        <v>1601985102</v>
      </c>
      <c r="G2046">
        <v>1569482876</v>
      </c>
      <c r="H2046">
        <v>462943638</v>
      </c>
      <c r="I2046">
        <v>350828274</v>
      </c>
      <c r="J2046">
        <v>434216749</v>
      </c>
      <c r="K2046">
        <v>356692787</v>
      </c>
      <c r="P2046">
        <v>69</v>
      </c>
      <c r="Q2046" t="s">
        <v>4417</v>
      </c>
    </row>
    <row r="2047" spans="1:17" x14ac:dyDescent="0.3">
      <c r="A2047" t="s">
        <v>17</v>
      </c>
      <c r="B2047" t="str">
        <f>"688567"</f>
        <v>688567</v>
      </c>
      <c r="C2047" t="s">
        <v>4418</v>
      </c>
      <c r="D2047" t="s">
        <v>359</v>
      </c>
      <c r="F2047">
        <v>9274103713</v>
      </c>
      <c r="G2047">
        <v>10076582745</v>
      </c>
      <c r="H2047">
        <v>7103370887</v>
      </c>
      <c r="I2047">
        <v>6626749148</v>
      </c>
      <c r="J2047">
        <v>405285539</v>
      </c>
      <c r="K2047">
        <v>313506604</v>
      </c>
      <c r="P2047">
        <v>107</v>
      </c>
      <c r="Q2047" t="s">
        <v>4419</v>
      </c>
    </row>
    <row r="2048" spans="1:17" x14ac:dyDescent="0.3">
      <c r="A2048" t="s">
        <v>17</v>
      </c>
      <c r="B2048" t="str">
        <f>"688568"</f>
        <v>688568</v>
      </c>
      <c r="C2048" t="s">
        <v>4420</v>
      </c>
      <c r="D2048" t="s">
        <v>316</v>
      </c>
      <c r="F2048">
        <v>1434418132</v>
      </c>
      <c r="G2048">
        <v>1237778873</v>
      </c>
      <c r="H2048">
        <v>289041628</v>
      </c>
      <c r="I2048">
        <v>183505424</v>
      </c>
      <c r="J2048">
        <v>62662164</v>
      </c>
      <c r="K2048">
        <v>33714288</v>
      </c>
      <c r="P2048">
        <v>98</v>
      </c>
      <c r="Q2048" t="s">
        <v>4421</v>
      </c>
    </row>
    <row r="2049" spans="1:17" x14ac:dyDescent="0.3">
      <c r="A2049" t="s">
        <v>17</v>
      </c>
      <c r="B2049" t="str">
        <f>"688569"</f>
        <v>688569</v>
      </c>
      <c r="C2049" t="s">
        <v>4422</v>
      </c>
      <c r="D2049" t="s">
        <v>1012</v>
      </c>
      <c r="F2049">
        <v>2321853558</v>
      </c>
      <c r="G2049">
        <v>2179162128</v>
      </c>
      <c r="H2049">
        <v>1000619886</v>
      </c>
      <c r="I2049">
        <v>827386925</v>
      </c>
      <c r="J2049">
        <v>731529406</v>
      </c>
      <c r="K2049">
        <v>645907482</v>
      </c>
      <c r="P2049">
        <v>31</v>
      </c>
      <c r="Q2049" t="s">
        <v>4423</v>
      </c>
    </row>
    <row r="2050" spans="1:17" x14ac:dyDescent="0.3">
      <c r="A2050" t="s">
        <v>17</v>
      </c>
      <c r="B2050" t="str">
        <f>"688571"</f>
        <v>688571</v>
      </c>
      <c r="C2050" t="s">
        <v>4424</v>
      </c>
      <c r="D2050" t="s">
        <v>2585</v>
      </c>
      <c r="F2050">
        <v>1381426693</v>
      </c>
      <c r="G2050">
        <v>1309952783</v>
      </c>
      <c r="H2050">
        <v>873262824</v>
      </c>
      <c r="I2050">
        <v>815291706</v>
      </c>
      <c r="J2050">
        <v>770091299</v>
      </c>
      <c r="P2050">
        <v>29</v>
      </c>
      <c r="Q2050" t="s">
        <v>4425</v>
      </c>
    </row>
    <row r="2051" spans="1:17" x14ac:dyDescent="0.3">
      <c r="A2051" t="s">
        <v>17</v>
      </c>
      <c r="B2051" t="str">
        <f>"688575"</f>
        <v>688575</v>
      </c>
      <c r="C2051" t="s">
        <v>4426</v>
      </c>
      <c r="D2051" t="s">
        <v>1305</v>
      </c>
      <c r="F2051">
        <v>1525711801</v>
      </c>
      <c r="G2051">
        <v>767791474</v>
      </c>
      <c r="H2051">
        <v>579404865</v>
      </c>
      <c r="I2051">
        <v>332830836</v>
      </c>
      <c r="J2051">
        <v>294796754</v>
      </c>
      <c r="P2051">
        <v>46</v>
      </c>
      <c r="Q2051" t="s">
        <v>4427</v>
      </c>
    </row>
    <row r="2052" spans="1:17" x14ac:dyDescent="0.3">
      <c r="A2052" t="s">
        <v>17</v>
      </c>
      <c r="B2052" t="str">
        <f>"688577"</f>
        <v>688577</v>
      </c>
      <c r="C2052" t="s">
        <v>4428</v>
      </c>
      <c r="D2052" t="s">
        <v>2321</v>
      </c>
      <c r="F2052">
        <v>812860968</v>
      </c>
      <c r="G2052">
        <v>765735428</v>
      </c>
      <c r="H2052">
        <v>330554458</v>
      </c>
      <c r="I2052">
        <v>302584043</v>
      </c>
      <c r="J2052">
        <v>195706608</v>
      </c>
      <c r="K2052">
        <v>130040665</v>
      </c>
      <c r="P2052">
        <v>56</v>
      </c>
      <c r="Q2052" t="s">
        <v>4429</v>
      </c>
    </row>
    <row r="2053" spans="1:17" x14ac:dyDescent="0.3">
      <c r="A2053" t="s">
        <v>17</v>
      </c>
      <c r="B2053" t="str">
        <f>"688578"</f>
        <v>688578</v>
      </c>
      <c r="C2053" t="s">
        <v>4430</v>
      </c>
      <c r="D2053" t="s">
        <v>143</v>
      </c>
      <c r="F2053">
        <v>2973264921</v>
      </c>
      <c r="G2053">
        <v>2878048551</v>
      </c>
      <c r="H2053">
        <v>1184392146</v>
      </c>
      <c r="I2053">
        <v>71035946</v>
      </c>
      <c r="J2053">
        <v>381261065</v>
      </c>
      <c r="P2053">
        <v>47</v>
      </c>
      <c r="Q2053" t="s">
        <v>4431</v>
      </c>
    </row>
    <row r="2054" spans="1:17" x14ac:dyDescent="0.3">
      <c r="A2054" t="s">
        <v>17</v>
      </c>
      <c r="B2054" t="str">
        <f>"688579"</f>
        <v>688579</v>
      </c>
      <c r="C2054" t="s">
        <v>4432</v>
      </c>
      <c r="D2054" t="s">
        <v>945</v>
      </c>
      <c r="F2054">
        <v>1273136872</v>
      </c>
      <c r="G2054">
        <v>1207811717</v>
      </c>
      <c r="H2054">
        <v>840738208</v>
      </c>
      <c r="I2054">
        <v>794961576</v>
      </c>
      <c r="J2054">
        <v>521554499</v>
      </c>
      <c r="K2054">
        <v>242483572</v>
      </c>
      <c r="P2054">
        <v>34</v>
      </c>
      <c r="Q2054" t="s">
        <v>4433</v>
      </c>
    </row>
    <row r="2055" spans="1:17" x14ac:dyDescent="0.3">
      <c r="A2055" t="s">
        <v>17</v>
      </c>
      <c r="B2055" t="str">
        <f>"688580"</f>
        <v>688580</v>
      </c>
      <c r="C2055" t="s">
        <v>4434</v>
      </c>
      <c r="D2055" t="s">
        <v>122</v>
      </c>
      <c r="F2055">
        <v>1533062871</v>
      </c>
      <c r="G2055">
        <v>1406015538</v>
      </c>
      <c r="H2055">
        <v>249248735</v>
      </c>
      <c r="I2055">
        <v>187427142</v>
      </c>
      <c r="J2055">
        <v>144072268</v>
      </c>
      <c r="K2055">
        <v>118195671</v>
      </c>
      <c r="P2055">
        <v>246</v>
      </c>
      <c r="Q2055" t="s">
        <v>4435</v>
      </c>
    </row>
    <row r="2056" spans="1:17" x14ac:dyDescent="0.3">
      <c r="A2056" t="s">
        <v>17</v>
      </c>
      <c r="B2056" t="str">
        <f>"688585"</f>
        <v>688585</v>
      </c>
      <c r="C2056" t="s">
        <v>4436</v>
      </c>
      <c r="D2056" t="s">
        <v>3377</v>
      </c>
      <c r="F2056">
        <v>1052832491</v>
      </c>
      <c r="G2056">
        <v>1064541353</v>
      </c>
      <c r="H2056">
        <v>861445115</v>
      </c>
      <c r="I2056">
        <v>790655666</v>
      </c>
      <c r="J2056">
        <v>800176156</v>
      </c>
      <c r="K2056">
        <v>877973390</v>
      </c>
      <c r="P2056">
        <v>26</v>
      </c>
      <c r="Q2056" t="s">
        <v>4437</v>
      </c>
    </row>
    <row r="2057" spans="1:17" x14ac:dyDescent="0.3">
      <c r="A2057" t="s">
        <v>17</v>
      </c>
      <c r="B2057" t="str">
        <f>"688586"</f>
        <v>688586</v>
      </c>
      <c r="C2057" t="s">
        <v>4438</v>
      </c>
      <c r="D2057" t="s">
        <v>98</v>
      </c>
      <c r="F2057">
        <v>2084324022</v>
      </c>
      <c r="G2057">
        <v>1930116195</v>
      </c>
      <c r="H2057">
        <v>804345192</v>
      </c>
      <c r="I2057">
        <v>698793990</v>
      </c>
      <c r="J2057">
        <v>286648897</v>
      </c>
      <c r="K2057">
        <v>514126937</v>
      </c>
      <c r="P2057">
        <v>70</v>
      </c>
      <c r="Q2057" t="s">
        <v>4439</v>
      </c>
    </row>
    <row r="2058" spans="1:17" x14ac:dyDescent="0.3">
      <c r="A2058" t="s">
        <v>17</v>
      </c>
      <c r="B2058" t="str">
        <f>"688588"</f>
        <v>688588</v>
      </c>
      <c r="C2058" t="s">
        <v>4440</v>
      </c>
      <c r="D2058" t="s">
        <v>945</v>
      </c>
      <c r="F2058">
        <v>1272981985</v>
      </c>
      <c r="G2058">
        <v>1200149319</v>
      </c>
      <c r="H2058">
        <v>679711001</v>
      </c>
      <c r="I2058">
        <v>586671230</v>
      </c>
      <c r="J2058">
        <v>531158739</v>
      </c>
      <c r="K2058">
        <v>467364081</v>
      </c>
      <c r="P2058">
        <v>79</v>
      </c>
      <c r="Q2058" t="s">
        <v>4441</v>
      </c>
    </row>
    <row r="2059" spans="1:17" x14ac:dyDescent="0.3">
      <c r="A2059" t="s">
        <v>17</v>
      </c>
      <c r="B2059" t="str">
        <f>"688589"</f>
        <v>688589</v>
      </c>
      <c r="C2059" t="s">
        <v>4442</v>
      </c>
      <c r="D2059" t="s">
        <v>461</v>
      </c>
      <c r="F2059">
        <v>746274128</v>
      </c>
      <c r="G2059">
        <v>716022175</v>
      </c>
      <c r="H2059">
        <v>262747168</v>
      </c>
      <c r="I2059">
        <v>219248845</v>
      </c>
      <c r="J2059">
        <v>203466368</v>
      </c>
      <c r="K2059">
        <v>197497425</v>
      </c>
      <c r="P2059">
        <v>73</v>
      </c>
      <c r="Q2059" t="s">
        <v>4443</v>
      </c>
    </row>
    <row r="2060" spans="1:17" x14ac:dyDescent="0.3">
      <c r="A2060" t="s">
        <v>17</v>
      </c>
      <c r="B2060" t="str">
        <f>"688590"</f>
        <v>688590</v>
      </c>
      <c r="C2060" t="s">
        <v>4444</v>
      </c>
      <c r="D2060" t="s">
        <v>945</v>
      </c>
      <c r="F2060">
        <v>1156554994</v>
      </c>
      <c r="G2060">
        <v>1048829682</v>
      </c>
      <c r="H2060">
        <v>556166823</v>
      </c>
      <c r="I2060">
        <v>487495897</v>
      </c>
      <c r="J2060">
        <v>425850744</v>
      </c>
      <c r="K2060">
        <v>281446329</v>
      </c>
      <c r="P2060">
        <v>29</v>
      </c>
      <c r="Q2060" t="s">
        <v>4445</v>
      </c>
    </row>
    <row r="2061" spans="1:17" x14ac:dyDescent="0.3">
      <c r="A2061" t="s">
        <v>17</v>
      </c>
      <c r="B2061" t="str">
        <f>"688595"</f>
        <v>688595</v>
      </c>
      <c r="C2061" t="s">
        <v>4446</v>
      </c>
      <c r="D2061" t="s">
        <v>401</v>
      </c>
      <c r="F2061">
        <v>988375523</v>
      </c>
      <c r="G2061">
        <v>858227532</v>
      </c>
      <c r="H2061">
        <v>271073668</v>
      </c>
      <c r="I2061">
        <v>209251841</v>
      </c>
      <c r="J2061">
        <v>188904687</v>
      </c>
      <c r="K2061">
        <v>116849967</v>
      </c>
      <c r="P2061">
        <v>128</v>
      </c>
      <c r="Q2061" t="s">
        <v>4447</v>
      </c>
    </row>
    <row r="2062" spans="1:17" x14ac:dyDescent="0.3">
      <c r="A2062" t="s">
        <v>17</v>
      </c>
      <c r="B2062" t="str">
        <f>"688596"</f>
        <v>688596</v>
      </c>
      <c r="C2062" t="s">
        <v>4448</v>
      </c>
      <c r="D2062" t="s">
        <v>741</v>
      </c>
      <c r="F2062">
        <v>1864400247</v>
      </c>
      <c r="G2062">
        <v>1704790259</v>
      </c>
      <c r="H2062">
        <v>668857182</v>
      </c>
      <c r="I2062">
        <v>472942497</v>
      </c>
      <c r="J2062">
        <v>355566237</v>
      </c>
      <c r="P2062">
        <v>61</v>
      </c>
      <c r="Q2062" t="s">
        <v>4449</v>
      </c>
    </row>
    <row r="2063" spans="1:17" x14ac:dyDescent="0.3">
      <c r="A2063" t="s">
        <v>17</v>
      </c>
      <c r="B2063" t="str">
        <f>"688597"</f>
        <v>688597</v>
      </c>
      <c r="C2063" t="s">
        <v>4450</v>
      </c>
      <c r="D2063" t="s">
        <v>2180</v>
      </c>
      <c r="F2063">
        <v>782521364</v>
      </c>
      <c r="G2063">
        <v>549803037</v>
      </c>
      <c r="H2063">
        <v>457230948</v>
      </c>
      <c r="I2063">
        <v>421725973</v>
      </c>
      <c r="J2063">
        <v>390559131</v>
      </c>
      <c r="P2063">
        <v>17</v>
      </c>
      <c r="Q2063" t="s">
        <v>4451</v>
      </c>
    </row>
    <row r="2064" spans="1:17" x14ac:dyDescent="0.3">
      <c r="A2064" t="s">
        <v>17</v>
      </c>
      <c r="B2064" t="str">
        <f>"688598"</f>
        <v>688598</v>
      </c>
      <c r="C2064" t="s">
        <v>4452</v>
      </c>
      <c r="D2064" t="s">
        <v>478</v>
      </c>
      <c r="F2064">
        <v>1853085873</v>
      </c>
      <c r="G2064">
        <v>1292670997</v>
      </c>
      <c r="H2064">
        <v>269996129</v>
      </c>
      <c r="I2064">
        <v>211858663</v>
      </c>
      <c r="J2064">
        <v>163139715</v>
      </c>
      <c r="K2064">
        <v>125870975</v>
      </c>
      <c r="P2064">
        <v>262</v>
      </c>
      <c r="Q2064" t="s">
        <v>4453</v>
      </c>
    </row>
    <row r="2065" spans="1:17" x14ac:dyDescent="0.3">
      <c r="A2065" t="s">
        <v>17</v>
      </c>
      <c r="B2065" t="str">
        <f>"688599"</f>
        <v>688599</v>
      </c>
      <c r="C2065" t="s">
        <v>4454</v>
      </c>
      <c r="D2065" t="s">
        <v>356</v>
      </c>
      <c r="F2065">
        <v>16775122884</v>
      </c>
      <c r="G2065">
        <v>15081182548</v>
      </c>
      <c r="H2065">
        <v>11956299391</v>
      </c>
      <c r="I2065">
        <v>11352819632</v>
      </c>
      <c r="J2065">
        <v>10766858026</v>
      </c>
      <c r="K2065">
        <v>8537284501</v>
      </c>
      <c r="P2065">
        <v>371</v>
      </c>
      <c r="Q2065" t="s">
        <v>4455</v>
      </c>
    </row>
    <row r="2066" spans="1:17" x14ac:dyDescent="0.3">
      <c r="A2066" t="s">
        <v>17</v>
      </c>
      <c r="B2066" t="str">
        <f>"688600"</f>
        <v>688600</v>
      </c>
      <c r="C2066" t="s">
        <v>4456</v>
      </c>
      <c r="D2066" t="s">
        <v>1070</v>
      </c>
      <c r="F2066">
        <v>854321205</v>
      </c>
      <c r="G2066">
        <v>833898170</v>
      </c>
      <c r="H2066">
        <v>316738338</v>
      </c>
      <c r="I2066">
        <v>235994270</v>
      </c>
      <c r="J2066">
        <v>196707634</v>
      </c>
      <c r="K2066">
        <v>160212938</v>
      </c>
      <c r="P2066">
        <v>62</v>
      </c>
      <c r="Q2066" t="s">
        <v>4457</v>
      </c>
    </row>
    <row r="2067" spans="1:17" x14ac:dyDescent="0.3">
      <c r="A2067" t="s">
        <v>17</v>
      </c>
      <c r="B2067" t="str">
        <f>"688601"</f>
        <v>688601</v>
      </c>
      <c r="C2067" t="s">
        <v>4458</v>
      </c>
      <c r="D2067" t="s">
        <v>401</v>
      </c>
      <c r="F2067">
        <v>971933939</v>
      </c>
      <c r="G2067">
        <v>323066704</v>
      </c>
      <c r="H2067">
        <v>276115884</v>
      </c>
      <c r="I2067">
        <v>244879893</v>
      </c>
      <c r="J2067">
        <v>229498110</v>
      </c>
      <c r="P2067">
        <v>57</v>
      </c>
      <c r="Q2067" t="s">
        <v>4459</v>
      </c>
    </row>
    <row r="2068" spans="1:17" x14ac:dyDescent="0.3">
      <c r="A2068" t="s">
        <v>17</v>
      </c>
      <c r="B2068" t="str">
        <f>"688606"</f>
        <v>688606</v>
      </c>
      <c r="C2068" t="s">
        <v>4460</v>
      </c>
      <c r="D2068" t="s">
        <v>1305</v>
      </c>
      <c r="F2068">
        <v>3273637115</v>
      </c>
      <c r="G2068">
        <v>972663844</v>
      </c>
      <c r="H2068">
        <v>293203304</v>
      </c>
      <c r="I2068">
        <v>215095054</v>
      </c>
      <c r="J2068">
        <v>138612358</v>
      </c>
      <c r="P2068">
        <v>104</v>
      </c>
      <c r="Q2068" t="s">
        <v>4461</v>
      </c>
    </row>
    <row r="2069" spans="1:17" x14ac:dyDescent="0.3">
      <c r="A2069" t="s">
        <v>17</v>
      </c>
      <c r="B2069" t="str">
        <f>"688607"</f>
        <v>688607</v>
      </c>
      <c r="C2069" t="s">
        <v>4462</v>
      </c>
      <c r="D2069" t="s">
        <v>122</v>
      </c>
      <c r="F2069">
        <v>870901047</v>
      </c>
      <c r="G2069">
        <v>368803961</v>
      </c>
      <c r="H2069">
        <v>293546230</v>
      </c>
      <c r="I2069">
        <v>245208019</v>
      </c>
      <c r="J2069">
        <v>194090016</v>
      </c>
      <c r="P2069">
        <v>55</v>
      </c>
      <c r="Q2069" t="s">
        <v>4463</v>
      </c>
    </row>
    <row r="2070" spans="1:17" x14ac:dyDescent="0.3">
      <c r="A2070" t="s">
        <v>17</v>
      </c>
      <c r="B2070" t="str">
        <f>"688608"</f>
        <v>688608</v>
      </c>
      <c r="C2070" t="s">
        <v>4464</v>
      </c>
      <c r="D2070" t="s">
        <v>461</v>
      </c>
      <c r="F2070">
        <v>5903332668</v>
      </c>
      <c r="G2070">
        <v>5495786327</v>
      </c>
      <c r="H2070">
        <v>522053347</v>
      </c>
      <c r="I2070">
        <v>114072899</v>
      </c>
      <c r="J2070">
        <v>53165713</v>
      </c>
      <c r="P2070">
        <v>123</v>
      </c>
      <c r="Q2070" t="s">
        <v>4465</v>
      </c>
    </row>
    <row r="2071" spans="1:17" x14ac:dyDescent="0.3">
      <c r="A2071" t="s">
        <v>17</v>
      </c>
      <c r="B2071" t="str">
        <f>"688609"</f>
        <v>688609</v>
      </c>
      <c r="C2071" t="s">
        <v>4466</v>
      </c>
      <c r="D2071" t="s">
        <v>4467</v>
      </c>
      <c r="F2071">
        <v>1295555953</v>
      </c>
      <c r="G2071">
        <v>851795780</v>
      </c>
      <c r="H2071">
        <v>715774617</v>
      </c>
      <c r="I2071">
        <v>592520246</v>
      </c>
      <c r="J2071">
        <v>544410013</v>
      </c>
      <c r="P2071">
        <v>31</v>
      </c>
      <c r="Q2071" t="s">
        <v>4468</v>
      </c>
    </row>
    <row r="2072" spans="1:17" x14ac:dyDescent="0.3">
      <c r="A2072" t="s">
        <v>17</v>
      </c>
      <c r="B2072" t="str">
        <f>"688611"</f>
        <v>688611</v>
      </c>
      <c r="C2072" t="s">
        <v>4469</v>
      </c>
      <c r="D2072" t="s">
        <v>610</v>
      </c>
      <c r="F2072">
        <v>837444356</v>
      </c>
      <c r="G2072">
        <v>345600146</v>
      </c>
      <c r="H2072">
        <v>239794851</v>
      </c>
      <c r="I2072">
        <v>150291240</v>
      </c>
      <c r="J2072">
        <v>126031560</v>
      </c>
      <c r="P2072">
        <v>38</v>
      </c>
      <c r="Q2072" t="s">
        <v>4470</v>
      </c>
    </row>
    <row r="2073" spans="1:17" x14ac:dyDescent="0.3">
      <c r="A2073" t="s">
        <v>17</v>
      </c>
      <c r="B2073" t="str">
        <f>"688613"</f>
        <v>688613</v>
      </c>
      <c r="C2073" t="s">
        <v>4471</v>
      </c>
      <c r="D2073" t="s">
        <v>1077</v>
      </c>
      <c r="F2073">
        <v>1244274504</v>
      </c>
      <c r="G2073">
        <v>622667125</v>
      </c>
      <c r="H2073">
        <v>532946270</v>
      </c>
      <c r="I2073">
        <v>438458388</v>
      </c>
      <c r="J2073">
        <v>312197348</v>
      </c>
      <c r="P2073">
        <v>51</v>
      </c>
      <c r="Q2073" t="s">
        <v>4472</v>
      </c>
    </row>
    <row r="2074" spans="1:17" x14ac:dyDescent="0.3">
      <c r="A2074" t="s">
        <v>17</v>
      </c>
      <c r="B2074" t="str">
        <f>"688616"</f>
        <v>688616</v>
      </c>
      <c r="C2074" t="s">
        <v>4473</v>
      </c>
      <c r="D2074" t="s">
        <v>2180</v>
      </c>
      <c r="F2074">
        <v>730980609</v>
      </c>
      <c r="G2074">
        <v>460488001</v>
      </c>
      <c r="H2074">
        <v>398016862</v>
      </c>
      <c r="I2074">
        <v>347084876</v>
      </c>
      <c r="J2074">
        <v>326488329</v>
      </c>
      <c r="P2074">
        <v>23</v>
      </c>
      <c r="Q2074" t="s">
        <v>4474</v>
      </c>
    </row>
    <row r="2075" spans="1:17" x14ac:dyDescent="0.3">
      <c r="A2075" t="s">
        <v>17</v>
      </c>
      <c r="B2075" t="str">
        <f>"688617"</f>
        <v>688617</v>
      </c>
      <c r="C2075" t="s">
        <v>4475</v>
      </c>
      <c r="D2075" t="s">
        <v>1077</v>
      </c>
      <c r="F2075">
        <v>1778111513</v>
      </c>
      <c r="G2075">
        <v>460356246</v>
      </c>
      <c r="H2075">
        <v>349588677</v>
      </c>
      <c r="I2075">
        <v>269841992</v>
      </c>
      <c r="J2075">
        <v>214182762</v>
      </c>
      <c r="P2075">
        <v>137</v>
      </c>
      <c r="Q2075" t="s">
        <v>4476</v>
      </c>
    </row>
    <row r="2076" spans="1:17" x14ac:dyDescent="0.3">
      <c r="A2076" t="s">
        <v>17</v>
      </c>
      <c r="B2076" t="str">
        <f>"688618"</f>
        <v>688618</v>
      </c>
      <c r="C2076" t="s">
        <v>4477</v>
      </c>
      <c r="D2076" t="s">
        <v>1019</v>
      </c>
      <c r="F2076">
        <v>712960332</v>
      </c>
      <c r="G2076">
        <v>672748956</v>
      </c>
      <c r="H2076">
        <v>223916048</v>
      </c>
      <c r="I2076">
        <v>120481117</v>
      </c>
      <c r="J2076">
        <v>109101509</v>
      </c>
      <c r="P2076">
        <v>41</v>
      </c>
      <c r="Q2076" t="s">
        <v>4478</v>
      </c>
    </row>
    <row r="2077" spans="1:17" x14ac:dyDescent="0.3">
      <c r="A2077" t="s">
        <v>17</v>
      </c>
      <c r="B2077" t="str">
        <f>"688619"</f>
        <v>688619</v>
      </c>
      <c r="C2077" t="s">
        <v>4479</v>
      </c>
      <c r="D2077" t="s">
        <v>2980</v>
      </c>
      <c r="F2077">
        <v>1518915756</v>
      </c>
      <c r="G2077">
        <v>626558945</v>
      </c>
      <c r="H2077">
        <v>468077756</v>
      </c>
      <c r="I2077">
        <v>296260349</v>
      </c>
      <c r="J2077">
        <v>238690108</v>
      </c>
      <c r="P2077">
        <v>31</v>
      </c>
      <c r="Q2077" t="s">
        <v>4480</v>
      </c>
    </row>
    <row r="2078" spans="1:17" x14ac:dyDescent="0.3">
      <c r="A2078" t="s">
        <v>17</v>
      </c>
      <c r="B2078" t="str">
        <f>"688621"</f>
        <v>688621</v>
      </c>
      <c r="C2078" t="s">
        <v>4481</v>
      </c>
      <c r="D2078" t="s">
        <v>1461</v>
      </c>
      <c r="F2078">
        <v>761948618</v>
      </c>
      <c r="G2078">
        <v>189104686</v>
      </c>
      <c r="H2078">
        <v>116639795</v>
      </c>
      <c r="I2078">
        <v>75239124</v>
      </c>
      <c r="J2078">
        <v>34111391</v>
      </c>
      <c r="P2078">
        <v>63</v>
      </c>
      <c r="Q2078" t="s">
        <v>4482</v>
      </c>
    </row>
    <row r="2079" spans="1:17" x14ac:dyDescent="0.3">
      <c r="A2079" t="s">
        <v>17</v>
      </c>
      <c r="B2079" t="str">
        <f>"688622"</f>
        <v>688622</v>
      </c>
      <c r="C2079" t="s">
        <v>4483</v>
      </c>
      <c r="D2079" t="s">
        <v>2566</v>
      </c>
      <c r="F2079">
        <v>605122842</v>
      </c>
      <c r="G2079">
        <v>250624681</v>
      </c>
      <c r="H2079">
        <v>178941279</v>
      </c>
      <c r="I2079">
        <v>131246651</v>
      </c>
      <c r="J2079">
        <v>110563639</v>
      </c>
      <c r="K2079">
        <v>95577632</v>
      </c>
      <c r="P2079">
        <v>29</v>
      </c>
      <c r="Q2079" t="s">
        <v>4484</v>
      </c>
    </row>
    <row r="2080" spans="1:17" x14ac:dyDescent="0.3">
      <c r="A2080" t="s">
        <v>17</v>
      </c>
      <c r="B2080" t="str">
        <f>"688625"</f>
        <v>688625</v>
      </c>
      <c r="C2080" t="s">
        <v>4485</v>
      </c>
      <c r="D2080" t="s">
        <v>386</v>
      </c>
      <c r="F2080">
        <v>908801169</v>
      </c>
      <c r="G2080">
        <v>307592996</v>
      </c>
      <c r="H2080">
        <v>229945876</v>
      </c>
      <c r="I2080">
        <v>158053474</v>
      </c>
      <c r="J2080">
        <v>100627109</v>
      </c>
      <c r="P2080">
        <v>63</v>
      </c>
      <c r="Q2080" t="s">
        <v>4486</v>
      </c>
    </row>
    <row r="2081" spans="1:17" x14ac:dyDescent="0.3">
      <c r="A2081" t="s">
        <v>17</v>
      </c>
      <c r="B2081" t="str">
        <f>"688626"</f>
        <v>688626</v>
      </c>
      <c r="C2081" t="s">
        <v>4487</v>
      </c>
      <c r="D2081" t="s">
        <v>122</v>
      </c>
      <c r="F2081">
        <v>1935048112</v>
      </c>
      <c r="G2081">
        <v>743518367</v>
      </c>
      <c r="H2081">
        <v>547255348</v>
      </c>
      <c r="I2081">
        <v>414810594</v>
      </c>
      <c r="J2081">
        <v>99086945</v>
      </c>
      <c r="P2081">
        <v>82</v>
      </c>
      <c r="Q2081" t="s">
        <v>4488</v>
      </c>
    </row>
    <row r="2082" spans="1:17" x14ac:dyDescent="0.3">
      <c r="A2082" t="s">
        <v>17</v>
      </c>
      <c r="B2082" t="str">
        <f>"688628"</f>
        <v>688628</v>
      </c>
      <c r="C2082" t="s">
        <v>4489</v>
      </c>
      <c r="D2082" t="s">
        <v>2566</v>
      </c>
      <c r="F2082">
        <v>949726040</v>
      </c>
      <c r="G2082">
        <v>413230423</v>
      </c>
      <c r="H2082">
        <v>266968003</v>
      </c>
      <c r="I2082">
        <v>166738778</v>
      </c>
      <c r="J2082">
        <v>109614167</v>
      </c>
      <c r="P2082">
        <v>35</v>
      </c>
      <c r="Q2082" t="s">
        <v>4490</v>
      </c>
    </row>
    <row r="2083" spans="1:17" x14ac:dyDescent="0.3">
      <c r="A2083" t="s">
        <v>17</v>
      </c>
      <c r="B2083" t="str">
        <f>"688630"</f>
        <v>688630</v>
      </c>
      <c r="C2083" t="s">
        <v>4491</v>
      </c>
      <c r="D2083" t="s">
        <v>741</v>
      </c>
      <c r="F2083">
        <v>931109907</v>
      </c>
      <c r="G2083">
        <v>408594422</v>
      </c>
      <c r="H2083">
        <v>337333078</v>
      </c>
      <c r="I2083">
        <v>112648667</v>
      </c>
      <c r="J2083">
        <v>39383509</v>
      </c>
      <c r="P2083">
        <v>63</v>
      </c>
      <c r="Q2083" t="s">
        <v>4492</v>
      </c>
    </row>
    <row r="2084" spans="1:17" x14ac:dyDescent="0.3">
      <c r="A2084" t="s">
        <v>17</v>
      </c>
      <c r="B2084" t="str">
        <f>"688633"</f>
        <v>688633</v>
      </c>
      <c r="C2084" t="s">
        <v>4493</v>
      </c>
      <c r="D2084" t="s">
        <v>395</v>
      </c>
      <c r="F2084">
        <v>1214319245</v>
      </c>
      <c r="G2084">
        <v>593950851</v>
      </c>
      <c r="H2084">
        <v>471918751</v>
      </c>
      <c r="I2084">
        <v>381043106</v>
      </c>
      <c r="J2084">
        <v>293790957</v>
      </c>
      <c r="P2084">
        <v>38</v>
      </c>
      <c r="Q2084" t="s">
        <v>4494</v>
      </c>
    </row>
    <row r="2085" spans="1:17" x14ac:dyDescent="0.3">
      <c r="A2085" t="s">
        <v>17</v>
      </c>
      <c r="B2085" t="str">
        <f>"688636"</f>
        <v>688636</v>
      </c>
      <c r="C2085" t="s">
        <v>4495</v>
      </c>
      <c r="D2085" t="s">
        <v>1136</v>
      </c>
      <c r="F2085">
        <v>886600033</v>
      </c>
      <c r="G2085">
        <v>371059247</v>
      </c>
      <c r="H2085">
        <v>288234190</v>
      </c>
      <c r="I2085">
        <v>233500089</v>
      </c>
      <c r="J2085">
        <v>174173346</v>
      </c>
      <c r="P2085">
        <v>32</v>
      </c>
      <c r="Q2085" t="s">
        <v>4496</v>
      </c>
    </row>
    <row r="2086" spans="1:17" x14ac:dyDescent="0.3">
      <c r="A2086" t="s">
        <v>17</v>
      </c>
      <c r="B2086" t="str">
        <f>"688639"</f>
        <v>688639</v>
      </c>
      <c r="C2086" t="s">
        <v>4497</v>
      </c>
      <c r="D2086" t="s">
        <v>677</v>
      </c>
      <c r="F2086">
        <v>1183125105</v>
      </c>
      <c r="G2086">
        <v>489780335</v>
      </c>
      <c r="H2086">
        <v>368680110</v>
      </c>
      <c r="I2086">
        <v>310291621</v>
      </c>
      <c r="J2086">
        <v>210728210</v>
      </c>
      <c r="P2086">
        <v>58</v>
      </c>
      <c r="Q2086" t="s">
        <v>4498</v>
      </c>
    </row>
    <row r="2087" spans="1:17" x14ac:dyDescent="0.3">
      <c r="A2087" t="s">
        <v>17</v>
      </c>
      <c r="B2087" t="str">
        <f>"688655"</f>
        <v>688655</v>
      </c>
      <c r="C2087" t="s">
        <v>4499</v>
      </c>
      <c r="D2087" t="s">
        <v>425</v>
      </c>
      <c r="F2087">
        <v>648195873</v>
      </c>
      <c r="G2087">
        <v>384065212</v>
      </c>
      <c r="H2087">
        <v>327521726</v>
      </c>
      <c r="I2087">
        <v>289704284</v>
      </c>
      <c r="J2087">
        <v>202582619</v>
      </c>
      <c r="P2087">
        <v>21</v>
      </c>
      <c r="Q2087" t="s">
        <v>4500</v>
      </c>
    </row>
    <row r="2088" spans="1:17" x14ac:dyDescent="0.3">
      <c r="A2088" t="s">
        <v>17</v>
      </c>
      <c r="B2088" t="str">
        <f>"688656"</f>
        <v>688656</v>
      </c>
      <c r="C2088" t="s">
        <v>4501</v>
      </c>
      <c r="D2088" t="s">
        <v>1305</v>
      </c>
      <c r="F2088">
        <v>770001651</v>
      </c>
      <c r="G2088">
        <v>206387320</v>
      </c>
      <c r="H2088">
        <v>149636057</v>
      </c>
      <c r="I2088">
        <v>133119352</v>
      </c>
      <c r="J2088">
        <v>79027049</v>
      </c>
      <c r="K2088">
        <v>56711239</v>
      </c>
      <c r="P2088">
        <v>59</v>
      </c>
      <c r="Q2088" t="s">
        <v>4502</v>
      </c>
    </row>
    <row r="2089" spans="1:17" x14ac:dyDescent="0.3">
      <c r="A2089" t="s">
        <v>17</v>
      </c>
      <c r="B2089" t="str">
        <f>"688658"</f>
        <v>688658</v>
      </c>
      <c r="C2089" t="s">
        <v>4503</v>
      </c>
      <c r="D2089" t="s">
        <v>143</v>
      </c>
      <c r="F2089">
        <v>3923740372</v>
      </c>
      <c r="G2089">
        <v>3580924323</v>
      </c>
      <c r="H2089">
        <v>1121272185</v>
      </c>
      <c r="I2089">
        <v>835539487</v>
      </c>
      <c r="J2089">
        <v>705590390</v>
      </c>
      <c r="P2089">
        <v>75</v>
      </c>
      <c r="Q2089" t="s">
        <v>4504</v>
      </c>
    </row>
    <row r="2090" spans="1:17" x14ac:dyDescent="0.3">
      <c r="A2090" t="s">
        <v>17</v>
      </c>
      <c r="B2090" t="str">
        <f>"688659"</f>
        <v>688659</v>
      </c>
      <c r="C2090" t="s">
        <v>4505</v>
      </c>
      <c r="D2090" t="s">
        <v>386</v>
      </c>
      <c r="F2090">
        <v>656470819</v>
      </c>
      <c r="G2090">
        <v>396056647</v>
      </c>
      <c r="H2090">
        <v>334006365</v>
      </c>
      <c r="I2090">
        <v>291893511</v>
      </c>
      <c r="J2090">
        <v>254032934</v>
      </c>
      <c r="P2090">
        <v>40</v>
      </c>
      <c r="Q2090" t="s">
        <v>4506</v>
      </c>
    </row>
    <row r="2091" spans="1:17" x14ac:dyDescent="0.3">
      <c r="A2091" t="s">
        <v>17</v>
      </c>
      <c r="B2091" t="str">
        <f>"688660"</f>
        <v>688660</v>
      </c>
      <c r="C2091" t="s">
        <v>4507</v>
      </c>
      <c r="D2091" t="s">
        <v>895</v>
      </c>
      <c r="F2091">
        <v>7622641415</v>
      </c>
      <c r="G2091">
        <v>4324591206</v>
      </c>
      <c r="H2091">
        <v>3896494620</v>
      </c>
      <c r="I2091">
        <v>2148570583</v>
      </c>
      <c r="J2091">
        <v>2201012371</v>
      </c>
      <c r="P2091">
        <v>54</v>
      </c>
      <c r="Q2091" t="s">
        <v>4508</v>
      </c>
    </row>
    <row r="2092" spans="1:17" x14ac:dyDescent="0.3">
      <c r="A2092" t="s">
        <v>17</v>
      </c>
      <c r="B2092" t="str">
        <f>"688661"</f>
        <v>688661</v>
      </c>
      <c r="C2092" t="s">
        <v>4509</v>
      </c>
      <c r="D2092" t="s">
        <v>313</v>
      </c>
      <c r="F2092">
        <v>571164765</v>
      </c>
      <c r="G2092">
        <v>162295034</v>
      </c>
      <c r="H2092">
        <v>100898664</v>
      </c>
      <c r="I2092">
        <v>73876557</v>
      </c>
      <c r="J2092">
        <v>46775718</v>
      </c>
      <c r="P2092">
        <v>64</v>
      </c>
      <c r="Q2092" t="s">
        <v>4510</v>
      </c>
    </row>
    <row r="2093" spans="1:17" x14ac:dyDescent="0.3">
      <c r="A2093" t="s">
        <v>17</v>
      </c>
      <c r="B2093" t="str">
        <f>"688662"</f>
        <v>688662</v>
      </c>
      <c r="C2093" t="s">
        <v>4511</v>
      </c>
      <c r="D2093" t="s">
        <v>651</v>
      </c>
      <c r="F2093">
        <v>714115843</v>
      </c>
      <c r="G2093">
        <v>349054188</v>
      </c>
      <c r="H2093">
        <v>304529589</v>
      </c>
      <c r="I2093">
        <v>255609251</v>
      </c>
      <c r="J2093">
        <v>216875185</v>
      </c>
      <c r="P2093">
        <v>23</v>
      </c>
      <c r="Q2093" t="s">
        <v>4512</v>
      </c>
    </row>
    <row r="2094" spans="1:17" x14ac:dyDescent="0.3">
      <c r="A2094" t="s">
        <v>17</v>
      </c>
      <c r="B2094" t="str">
        <f>"688663"</f>
        <v>688663</v>
      </c>
      <c r="C2094" t="s">
        <v>4513</v>
      </c>
      <c r="D2094" t="s">
        <v>657</v>
      </c>
      <c r="F2094">
        <v>1064615288</v>
      </c>
      <c r="G2094">
        <v>547225570</v>
      </c>
      <c r="H2094">
        <v>482490540</v>
      </c>
      <c r="I2094">
        <v>406651975</v>
      </c>
      <c r="J2094">
        <v>327838471</v>
      </c>
      <c r="P2094">
        <v>32</v>
      </c>
      <c r="Q2094" t="s">
        <v>4514</v>
      </c>
    </row>
    <row r="2095" spans="1:17" x14ac:dyDescent="0.3">
      <c r="A2095" t="s">
        <v>17</v>
      </c>
      <c r="B2095" t="str">
        <f>"688665"</f>
        <v>688665</v>
      </c>
      <c r="C2095" t="s">
        <v>4515</v>
      </c>
      <c r="D2095" t="s">
        <v>2566</v>
      </c>
      <c r="F2095">
        <v>828855119</v>
      </c>
      <c r="G2095">
        <v>221676569</v>
      </c>
      <c r="H2095">
        <v>156395519</v>
      </c>
      <c r="I2095">
        <v>94347737</v>
      </c>
      <c r="J2095">
        <v>62773571</v>
      </c>
      <c r="P2095">
        <v>63</v>
      </c>
      <c r="Q2095" t="s">
        <v>4516</v>
      </c>
    </row>
    <row r="2096" spans="1:17" x14ac:dyDescent="0.3">
      <c r="A2096" t="s">
        <v>17</v>
      </c>
      <c r="B2096" t="str">
        <f>"688667"</f>
        <v>688667</v>
      </c>
      <c r="C2096" t="s">
        <v>4517</v>
      </c>
      <c r="D2096" t="s">
        <v>1415</v>
      </c>
      <c r="F2096">
        <v>1406422596</v>
      </c>
      <c r="G2096">
        <v>395891182</v>
      </c>
      <c r="H2096">
        <v>239046174</v>
      </c>
      <c r="I2096">
        <v>163688446</v>
      </c>
      <c r="J2096">
        <v>141715068</v>
      </c>
      <c r="P2096">
        <v>66</v>
      </c>
      <c r="Q2096" t="s">
        <v>4518</v>
      </c>
    </row>
    <row r="2097" spans="1:17" x14ac:dyDescent="0.3">
      <c r="A2097" t="s">
        <v>17</v>
      </c>
      <c r="B2097" t="str">
        <f>"688668"</f>
        <v>688668</v>
      </c>
      <c r="C2097" t="s">
        <v>4519</v>
      </c>
      <c r="D2097" t="s">
        <v>1019</v>
      </c>
      <c r="F2097">
        <v>805760048</v>
      </c>
      <c r="G2097">
        <v>733935869</v>
      </c>
      <c r="H2097">
        <v>282982861</v>
      </c>
      <c r="I2097">
        <v>209035177</v>
      </c>
      <c r="J2097">
        <v>152310205</v>
      </c>
      <c r="P2097">
        <v>44</v>
      </c>
      <c r="Q2097" t="s">
        <v>4520</v>
      </c>
    </row>
    <row r="2098" spans="1:17" x14ac:dyDescent="0.3">
      <c r="A2098" t="s">
        <v>17</v>
      </c>
      <c r="B2098" t="str">
        <f>"688669"</f>
        <v>688669</v>
      </c>
      <c r="C2098" t="s">
        <v>4521</v>
      </c>
      <c r="D2098" t="s">
        <v>341</v>
      </c>
      <c r="F2098">
        <v>1496562446</v>
      </c>
      <c r="G2098">
        <v>653122455</v>
      </c>
      <c r="H2098">
        <v>509389086</v>
      </c>
      <c r="I2098">
        <v>393154690</v>
      </c>
      <c r="J2098">
        <v>327810921</v>
      </c>
      <c r="P2098">
        <v>36</v>
      </c>
      <c r="Q2098" t="s">
        <v>4522</v>
      </c>
    </row>
    <row r="2099" spans="1:17" x14ac:dyDescent="0.3">
      <c r="A2099" t="s">
        <v>17</v>
      </c>
      <c r="B2099" t="str">
        <f>"688670"</f>
        <v>688670</v>
      </c>
      <c r="C2099" t="s">
        <v>4523</v>
      </c>
      <c r="D2099" t="s">
        <v>1499</v>
      </c>
      <c r="F2099">
        <v>1461370161</v>
      </c>
      <c r="G2099">
        <v>242504379</v>
      </c>
      <c r="H2099">
        <v>-108379747</v>
      </c>
      <c r="I2099">
        <v>-89342057</v>
      </c>
      <c r="J2099">
        <v>-61328916</v>
      </c>
      <c r="P2099">
        <v>19</v>
      </c>
      <c r="Q2099" t="s">
        <v>4524</v>
      </c>
    </row>
    <row r="2100" spans="1:17" x14ac:dyDescent="0.3">
      <c r="A2100" t="s">
        <v>17</v>
      </c>
      <c r="B2100" t="str">
        <f>"688676"</f>
        <v>688676</v>
      </c>
      <c r="C2100" t="s">
        <v>4525</v>
      </c>
      <c r="D2100" t="s">
        <v>210</v>
      </c>
      <c r="F2100">
        <v>2462329120</v>
      </c>
      <c r="G2100">
        <v>1956918122</v>
      </c>
      <c r="H2100">
        <v>1761171002</v>
      </c>
      <c r="I2100">
        <v>1586343414</v>
      </c>
      <c r="J2100">
        <v>1289192424</v>
      </c>
      <c r="P2100">
        <v>42</v>
      </c>
      <c r="Q2100" t="s">
        <v>4526</v>
      </c>
    </row>
    <row r="2101" spans="1:17" x14ac:dyDescent="0.3">
      <c r="A2101" t="s">
        <v>17</v>
      </c>
      <c r="B2101" t="str">
        <f>"688677"</f>
        <v>688677</v>
      </c>
      <c r="C2101" t="s">
        <v>4527</v>
      </c>
      <c r="D2101" t="s">
        <v>122</v>
      </c>
      <c r="F2101">
        <v>1090999997</v>
      </c>
      <c r="G2101">
        <v>315379210</v>
      </c>
      <c r="H2101">
        <v>220142951</v>
      </c>
      <c r="I2101">
        <v>223973416</v>
      </c>
      <c r="J2101">
        <v>194078507</v>
      </c>
      <c r="P2101">
        <v>94</v>
      </c>
      <c r="Q2101" t="s">
        <v>4528</v>
      </c>
    </row>
    <row r="2102" spans="1:17" x14ac:dyDescent="0.3">
      <c r="A2102" t="s">
        <v>17</v>
      </c>
      <c r="B2102" t="str">
        <f>"688678"</f>
        <v>688678</v>
      </c>
      <c r="C2102" t="s">
        <v>4529</v>
      </c>
      <c r="D2102" t="s">
        <v>313</v>
      </c>
      <c r="F2102">
        <v>1387845081</v>
      </c>
      <c r="G2102">
        <v>1316153790</v>
      </c>
      <c r="H2102">
        <v>530757871</v>
      </c>
      <c r="I2102">
        <v>330616031</v>
      </c>
      <c r="J2102">
        <v>293279706</v>
      </c>
      <c r="K2102">
        <v>115982576</v>
      </c>
      <c r="P2102">
        <v>29</v>
      </c>
      <c r="Q2102" t="s">
        <v>4530</v>
      </c>
    </row>
    <row r="2103" spans="1:17" x14ac:dyDescent="0.3">
      <c r="A2103" t="s">
        <v>17</v>
      </c>
      <c r="B2103" t="str">
        <f>"688679"</f>
        <v>688679</v>
      </c>
      <c r="C2103" t="s">
        <v>4531</v>
      </c>
      <c r="D2103" t="s">
        <v>499</v>
      </c>
      <c r="F2103">
        <v>1077928480</v>
      </c>
      <c r="G2103">
        <v>1062583551</v>
      </c>
      <c r="H2103">
        <v>636869247</v>
      </c>
      <c r="I2103">
        <v>462823250</v>
      </c>
      <c r="J2103">
        <v>405514416</v>
      </c>
      <c r="K2103">
        <v>373231298</v>
      </c>
      <c r="P2103">
        <v>31</v>
      </c>
      <c r="Q2103" t="s">
        <v>4532</v>
      </c>
    </row>
    <row r="2104" spans="1:17" x14ac:dyDescent="0.3">
      <c r="A2104" t="s">
        <v>17</v>
      </c>
      <c r="B2104" t="str">
        <f>"688680"</f>
        <v>688680</v>
      </c>
      <c r="C2104" t="s">
        <v>4533</v>
      </c>
      <c r="D2104" t="s">
        <v>478</v>
      </c>
      <c r="F2104">
        <v>2306384312</v>
      </c>
      <c r="G2104">
        <v>752733058</v>
      </c>
      <c r="H2104">
        <v>542858944</v>
      </c>
      <c r="I2104">
        <v>449878372</v>
      </c>
      <c r="J2104">
        <v>425806751</v>
      </c>
      <c r="P2104">
        <v>79</v>
      </c>
      <c r="Q2104" t="s">
        <v>4534</v>
      </c>
    </row>
    <row r="2105" spans="1:17" x14ac:dyDescent="0.3">
      <c r="A2105" t="s">
        <v>17</v>
      </c>
      <c r="B2105" t="str">
        <f>"688681"</f>
        <v>688681</v>
      </c>
      <c r="C2105" t="s">
        <v>4535</v>
      </c>
      <c r="D2105" t="s">
        <v>610</v>
      </c>
      <c r="F2105">
        <v>584984624</v>
      </c>
      <c r="G2105">
        <v>338531126</v>
      </c>
      <c r="H2105">
        <v>292536155</v>
      </c>
      <c r="I2105">
        <v>259919040</v>
      </c>
      <c r="J2105">
        <v>251306002</v>
      </c>
      <c r="P2105">
        <v>31</v>
      </c>
      <c r="Q2105" t="s">
        <v>4536</v>
      </c>
    </row>
    <row r="2106" spans="1:17" x14ac:dyDescent="0.3">
      <c r="A2106" t="s">
        <v>17</v>
      </c>
      <c r="B2106" t="str">
        <f>"688682"</f>
        <v>688682</v>
      </c>
      <c r="C2106" t="s">
        <v>4537</v>
      </c>
      <c r="D2106" t="s">
        <v>1136</v>
      </c>
      <c r="F2106">
        <v>603085807</v>
      </c>
      <c r="G2106">
        <v>194178277</v>
      </c>
      <c r="H2106">
        <v>177300249</v>
      </c>
      <c r="I2106">
        <v>71301541</v>
      </c>
      <c r="J2106">
        <v>41480769</v>
      </c>
      <c r="P2106">
        <v>33</v>
      </c>
      <c r="Q2106" t="s">
        <v>4538</v>
      </c>
    </row>
    <row r="2107" spans="1:17" x14ac:dyDescent="0.3">
      <c r="A2107" t="s">
        <v>17</v>
      </c>
      <c r="B2107" t="str">
        <f>"688683"</f>
        <v>688683</v>
      </c>
      <c r="C2107" t="s">
        <v>4539</v>
      </c>
      <c r="D2107" t="s">
        <v>313</v>
      </c>
      <c r="F2107">
        <v>835559646</v>
      </c>
      <c r="G2107">
        <v>496002076</v>
      </c>
      <c r="H2107">
        <v>432691149</v>
      </c>
      <c r="I2107">
        <v>287680920</v>
      </c>
      <c r="J2107">
        <v>206860626</v>
      </c>
      <c r="P2107">
        <v>18</v>
      </c>
      <c r="Q2107" t="s">
        <v>4540</v>
      </c>
    </row>
    <row r="2108" spans="1:17" x14ac:dyDescent="0.3">
      <c r="A2108" t="s">
        <v>17</v>
      </c>
      <c r="B2108" t="str">
        <f>"688685"</f>
        <v>688685</v>
      </c>
      <c r="C2108" t="s">
        <v>4541</v>
      </c>
      <c r="D2108" t="s">
        <v>98</v>
      </c>
      <c r="F2108">
        <v>665286243</v>
      </c>
      <c r="G2108">
        <v>414267785</v>
      </c>
      <c r="H2108">
        <v>361942360</v>
      </c>
      <c r="I2108">
        <v>231480773</v>
      </c>
      <c r="J2108">
        <v>209937999</v>
      </c>
      <c r="P2108">
        <v>21</v>
      </c>
      <c r="Q2108" t="s">
        <v>4542</v>
      </c>
    </row>
    <row r="2109" spans="1:17" x14ac:dyDescent="0.3">
      <c r="A2109" t="s">
        <v>17</v>
      </c>
      <c r="B2109" t="str">
        <f>"688686"</f>
        <v>688686</v>
      </c>
      <c r="C2109" t="s">
        <v>4543</v>
      </c>
      <c r="D2109" t="s">
        <v>3477</v>
      </c>
      <c r="F2109">
        <v>2514866797</v>
      </c>
      <c r="G2109">
        <v>2292056077</v>
      </c>
      <c r="H2109">
        <v>563535767</v>
      </c>
      <c r="I2109">
        <v>357455321</v>
      </c>
      <c r="J2109">
        <v>218447189</v>
      </c>
      <c r="P2109">
        <v>117</v>
      </c>
      <c r="Q2109" t="s">
        <v>4544</v>
      </c>
    </row>
    <row r="2110" spans="1:17" x14ac:dyDescent="0.3">
      <c r="A2110" t="s">
        <v>17</v>
      </c>
      <c r="B2110" t="str">
        <f>"688687"</f>
        <v>688687</v>
      </c>
      <c r="C2110" t="s">
        <v>4545</v>
      </c>
      <c r="D2110" t="s">
        <v>1379</v>
      </c>
      <c r="F2110">
        <v>1678568307</v>
      </c>
      <c r="G2110">
        <v>847717183</v>
      </c>
      <c r="H2110">
        <v>772151783</v>
      </c>
      <c r="I2110">
        <v>655415118</v>
      </c>
      <c r="J2110">
        <v>609451928</v>
      </c>
      <c r="P2110">
        <v>41</v>
      </c>
      <c r="Q2110" t="s">
        <v>4546</v>
      </c>
    </row>
    <row r="2111" spans="1:17" x14ac:dyDescent="0.3">
      <c r="A2111" t="s">
        <v>17</v>
      </c>
      <c r="B2111" t="str">
        <f>"688688"</f>
        <v>688688</v>
      </c>
      <c r="C2111" t="s">
        <v>4547</v>
      </c>
      <c r="H2111">
        <v>114171301000</v>
      </c>
      <c r="I2111">
        <v>79474935000</v>
      </c>
      <c r="J2111">
        <v>62227072000</v>
      </c>
      <c r="P2111">
        <v>42</v>
      </c>
      <c r="Q2111" t="s">
        <v>4548</v>
      </c>
    </row>
    <row r="2112" spans="1:17" x14ac:dyDescent="0.3">
      <c r="A2112" t="s">
        <v>17</v>
      </c>
      <c r="B2112" t="str">
        <f>"688689"</f>
        <v>688689</v>
      </c>
      <c r="C2112" t="s">
        <v>4549</v>
      </c>
      <c r="D2112" t="s">
        <v>795</v>
      </c>
      <c r="F2112">
        <v>1074550646</v>
      </c>
      <c r="G2112">
        <v>576207759</v>
      </c>
      <c r="H2112">
        <v>505956238</v>
      </c>
      <c r="I2112">
        <v>473194139</v>
      </c>
      <c r="J2112">
        <v>416601439</v>
      </c>
      <c r="P2112">
        <v>46</v>
      </c>
      <c r="Q2112" t="s">
        <v>4550</v>
      </c>
    </row>
    <row r="2113" spans="1:17" x14ac:dyDescent="0.3">
      <c r="A2113" t="s">
        <v>17</v>
      </c>
      <c r="B2113" t="str">
        <f>"688690"</f>
        <v>688690</v>
      </c>
      <c r="C2113" t="s">
        <v>4551</v>
      </c>
      <c r="D2113" t="s">
        <v>496</v>
      </c>
      <c r="F2113">
        <v>1042264097</v>
      </c>
      <c r="G2113">
        <v>535122798</v>
      </c>
      <c r="H2113">
        <v>459357279</v>
      </c>
      <c r="I2113">
        <v>205723434</v>
      </c>
      <c r="J2113">
        <v>84059640</v>
      </c>
      <c r="P2113">
        <v>116</v>
      </c>
      <c r="Q2113" t="s">
        <v>4552</v>
      </c>
    </row>
    <row r="2114" spans="1:17" x14ac:dyDescent="0.3">
      <c r="A2114" t="s">
        <v>17</v>
      </c>
      <c r="B2114" t="str">
        <f>"688696"</f>
        <v>688696</v>
      </c>
      <c r="C2114" t="s">
        <v>4553</v>
      </c>
      <c r="D2114" t="s">
        <v>137</v>
      </c>
      <c r="F2114">
        <v>2761926068</v>
      </c>
      <c r="G2114">
        <v>781672684</v>
      </c>
      <c r="H2114">
        <v>571196645</v>
      </c>
      <c r="I2114">
        <v>442277554</v>
      </c>
      <c r="J2114">
        <v>427612281</v>
      </c>
      <c r="P2114">
        <v>150</v>
      </c>
      <c r="Q2114" t="s">
        <v>4554</v>
      </c>
    </row>
    <row r="2115" spans="1:17" x14ac:dyDescent="0.3">
      <c r="A2115" t="s">
        <v>17</v>
      </c>
      <c r="B2115" t="str">
        <f>"688697"</f>
        <v>688697</v>
      </c>
      <c r="C2115" t="s">
        <v>4555</v>
      </c>
      <c r="D2115" t="s">
        <v>2321</v>
      </c>
      <c r="F2115">
        <v>1241099882</v>
      </c>
      <c r="G2115">
        <v>498711776</v>
      </c>
      <c r="H2115">
        <v>389776191</v>
      </c>
      <c r="I2115">
        <v>313147097</v>
      </c>
      <c r="J2115">
        <v>274900528</v>
      </c>
      <c r="P2115">
        <v>16</v>
      </c>
      <c r="Q2115" t="s">
        <v>4556</v>
      </c>
    </row>
    <row r="2116" spans="1:17" x14ac:dyDescent="0.3">
      <c r="A2116" t="s">
        <v>17</v>
      </c>
      <c r="B2116" t="str">
        <f>"688698"</f>
        <v>688698</v>
      </c>
      <c r="C2116" t="s">
        <v>4557</v>
      </c>
      <c r="D2116" t="s">
        <v>2432</v>
      </c>
      <c r="F2116">
        <v>866325597</v>
      </c>
      <c r="G2116">
        <v>763069662</v>
      </c>
      <c r="H2116">
        <v>265440644</v>
      </c>
      <c r="I2116">
        <v>203981409</v>
      </c>
      <c r="J2116">
        <v>178501816</v>
      </c>
      <c r="P2116">
        <v>74</v>
      </c>
      <c r="Q2116" t="s">
        <v>4558</v>
      </c>
    </row>
    <row r="2117" spans="1:17" x14ac:dyDescent="0.3">
      <c r="A2117" t="s">
        <v>17</v>
      </c>
      <c r="B2117" t="str">
        <f>"688699"</f>
        <v>688699</v>
      </c>
      <c r="C2117" t="s">
        <v>4559</v>
      </c>
      <c r="D2117" t="s">
        <v>401</v>
      </c>
      <c r="F2117">
        <v>1687947515</v>
      </c>
      <c r="G2117">
        <v>1085821207</v>
      </c>
      <c r="H2117">
        <v>335317914</v>
      </c>
      <c r="I2117">
        <v>267725230</v>
      </c>
      <c r="J2117">
        <v>239779769</v>
      </c>
      <c r="K2117">
        <v>177595527</v>
      </c>
      <c r="P2117">
        <v>140</v>
      </c>
      <c r="Q2117" t="s">
        <v>4560</v>
      </c>
    </row>
    <row r="2118" spans="1:17" x14ac:dyDescent="0.3">
      <c r="A2118" t="s">
        <v>17</v>
      </c>
      <c r="B2118" t="str">
        <f>"688700"</f>
        <v>688700</v>
      </c>
      <c r="C2118" t="s">
        <v>4561</v>
      </c>
      <c r="D2118" t="s">
        <v>741</v>
      </c>
      <c r="F2118">
        <v>768798667</v>
      </c>
      <c r="G2118">
        <v>358030551</v>
      </c>
      <c r="H2118">
        <v>291689602</v>
      </c>
      <c r="I2118">
        <v>145446974</v>
      </c>
      <c r="J2118">
        <v>92226005</v>
      </c>
      <c r="P2118">
        <v>34</v>
      </c>
      <c r="Q2118" t="s">
        <v>4562</v>
      </c>
    </row>
    <row r="2119" spans="1:17" x14ac:dyDescent="0.3">
      <c r="A2119" t="s">
        <v>17</v>
      </c>
      <c r="B2119" t="str">
        <f>"688701"</f>
        <v>688701</v>
      </c>
      <c r="C2119" t="s">
        <v>4563</v>
      </c>
      <c r="D2119" t="s">
        <v>3575</v>
      </c>
      <c r="F2119">
        <v>532209062</v>
      </c>
      <c r="G2119">
        <v>291550202</v>
      </c>
      <c r="H2119">
        <v>247330934</v>
      </c>
      <c r="I2119">
        <v>191097660</v>
      </c>
      <c r="J2119">
        <v>150800952</v>
      </c>
      <c r="P2119">
        <v>19</v>
      </c>
      <c r="Q2119" t="s">
        <v>4564</v>
      </c>
    </row>
    <row r="2120" spans="1:17" x14ac:dyDescent="0.3">
      <c r="A2120" t="s">
        <v>17</v>
      </c>
      <c r="B2120" t="str">
        <f>"688707"</f>
        <v>688707</v>
      </c>
      <c r="C2120" t="s">
        <v>4565</v>
      </c>
      <c r="D2120" t="s">
        <v>1790</v>
      </c>
      <c r="F2120">
        <v>2927419190</v>
      </c>
      <c r="G2120">
        <v>1279612866</v>
      </c>
      <c r="H2120">
        <v>1449159280</v>
      </c>
      <c r="I2120">
        <v>902881852</v>
      </c>
      <c r="J2120">
        <v>850081586</v>
      </c>
      <c r="P2120">
        <v>31</v>
      </c>
      <c r="Q2120" t="s">
        <v>4566</v>
      </c>
    </row>
    <row r="2121" spans="1:17" x14ac:dyDescent="0.3">
      <c r="A2121" t="s">
        <v>17</v>
      </c>
      <c r="B2121" t="str">
        <f>"688711"</f>
        <v>688711</v>
      </c>
      <c r="C2121" t="s">
        <v>4567</v>
      </c>
      <c r="D2121" t="s">
        <v>795</v>
      </c>
      <c r="F2121">
        <v>876502937</v>
      </c>
      <c r="G2121">
        <v>230863404</v>
      </c>
      <c r="H2121">
        <v>154228698</v>
      </c>
      <c r="I2121">
        <v>163028907</v>
      </c>
      <c r="J2121">
        <v>143182737</v>
      </c>
      <c r="P2121">
        <v>38</v>
      </c>
      <c r="Q2121" t="s">
        <v>4568</v>
      </c>
    </row>
    <row r="2122" spans="1:17" x14ac:dyDescent="0.3">
      <c r="A2122" t="s">
        <v>17</v>
      </c>
      <c r="B2122" t="str">
        <f>"688718"</f>
        <v>688718</v>
      </c>
      <c r="C2122" t="s">
        <v>4569</v>
      </c>
      <c r="D2122" t="s">
        <v>324</v>
      </c>
      <c r="F2122">
        <v>684326314</v>
      </c>
      <c r="G2122">
        <v>431424854</v>
      </c>
      <c r="H2122">
        <v>428667274</v>
      </c>
      <c r="I2122">
        <v>362890698</v>
      </c>
      <c r="J2122">
        <v>306419804</v>
      </c>
      <c r="P2122">
        <v>20</v>
      </c>
      <c r="Q2122" t="s">
        <v>4570</v>
      </c>
    </row>
    <row r="2123" spans="1:17" x14ac:dyDescent="0.3">
      <c r="A2123" t="s">
        <v>17</v>
      </c>
      <c r="B2123" t="str">
        <f>"688722"</f>
        <v>688722</v>
      </c>
      <c r="C2123" t="s">
        <v>4571</v>
      </c>
      <c r="D2123" t="s">
        <v>146</v>
      </c>
      <c r="F2123">
        <v>1000840547</v>
      </c>
      <c r="G2123">
        <v>720956438</v>
      </c>
      <c r="H2123">
        <v>717648076</v>
      </c>
      <c r="I2123">
        <v>243830095</v>
      </c>
      <c r="J2123">
        <v>198855843</v>
      </c>
      <c r="P2123">
        <v>13</v>
      </c>
      <c r="Q2123" t="s">
        <v>4572</v>
      </c>
    </row>
    <row r="2124" spans="1:17" x14ac:dyDescent="0.3">
      <c r="A2124" t="s">
        <v>17</v>
      </c>
      <c r="B2124" t="str">
        <f>"688728"</f>
        <v>688728</v>
      </c>
      <c r="C2124" t="s">
        <v>4573</v>
      </c>
      <c r="D2124" t="s">
        <v>461</v>
      </c>
      <c r="F2124">
        <v>7549704072</v>
      </c>
      <c r="G2124">
        <v>2719009846</v>
      </c>
      <c r="H2124">
        <v>266221590</v>
      </c>
      <c r="I2124">
        <v>1106458235</v>
      </c>
      <c r="J2124">
        <v>420985323</v>
      </c>
      <c r="P2124">
        <v>58</v>
      </c>
      <c r="Q2124" t="s">
        <v>4574</v>
      </c>
    </row>
    <row r="2125" spans="1:17" x14ac:dyDescent="0.3">
      <c r="A2125" t="s">
        <v>17</v>
      </c>
      <c r="B2125" t="str">
        <f>"688733"</f>
        <v>688733</v>
      </c>
      <c r="C2125" t="s">
        <v>4575</v>
      </c>
      <c r="D2125" t="s">
        <v>1790</v>
      </c>
      <c r="F2125">
        <v>1225492075</v>
      </c>
      <c r="G2125">
        <v>484350006</v>
      </c>
      <c r="H2125">
        <v>447989891</v>
      </c>
      <c r="I2125">
        <v>167075486</v>
      </c>
      <c r="J2125">
        <v>103201686</v>
      </c>
      <c r="P2125">
        <v>47</v>
      </c>
      <c r="Q2125" t="s">
        <v>4576</v>
      </c>
    </row>
    <row r="2126" spans="1:17" x14ac:dyDescent="0.3">
      <c r="A2126" t="s">
        <v>17</v>
      </c>
      <c r="B2126" t="str">
        <f>"688737"</f>
        <v>688737</v>
      </c>
      <c r="C2126" t="s">
        <v>4577</v>
      </c>
      <c r="D2126" t="s">
        <v>985</v>
      </c>
      <c r="F2126">
        <v>1977623952</v>
      </c>
      <c r="G2126">
        <v>560025107</v>
      </c>
      <c r="H2126">
        <v>169502966</v>
      </c>
      <c r="I2126">
        <v>-7050691</v>
      </c>
      <c r="J2126">
        <v>52258960</v>
      </c>
      <c r="P2126">
        <v>15</v>
      </c>
      <c r="Q2126" t="s">
        <v>4578</v>
      </c>
    </row>
    <row r="2127" spans="1:17" x14ac:dyDescent="0.3">
      <c r="A2127" t="s">
        <v>17</v>
      </c>
      <c r="B2127" t="str">
        <f>"688739"</f>
        <v>688739</v>
      </c>
      <c r="C2127" t="s">
        <v>4579</v>
      </c>
      <c r="D2127" t="s">
        <v>1499</v>
      </c>
      <c r="F2127">
        <v>9352015548</v>
      </c>
      <c r="G2127">
        <v>4118145456</v>
      </c>
      <c r="H2127">
        <v>3424831491</v>
      </c>
      <c r="I2127">
        <v>2939643634</v>
      </c>
      <c r="J2127">
        <v>2506783382</v>
      </c>
      <c r="P2127">
        <v>36</v>
      </c>
      <c r="Q2127" t="s">
        <v>4580</v>
      </c>
    </row>
    <row r="2128" spans="1:17" x14ac:dyDescent="0.3">
      <c r="A2128" t="s">
        <v>17</v>
      </c>
      <c r="B2128" t="str">
        <f>"688766"</f>
        <v>688766</v>
      </c>
      <c r="C2128" t="s">
        <v>4581</v>
      </c>
      <c r="D2128" t="s">
        <v>461</v>
      </c>
      <c r="F2128">
        <v>1931920162</v>
      </c>
      <c r="G2128">
        <v>391206947</v>
      </c>
      <c r="H2128">
        <v>212416127</v>
      </c>
      <c r="I2128">
        <v>49100541</v>
      </c>
      <c r="J2128">
        <v>34370702</v>
      </c>
      <c r="P2128">
        <v>42</v>
      </c>
      <c r="Q2128" t="s">
        <v>4582</v>
      </c>
    </row>
    <row r="2129" spans="1:17" x14ac:dyDescent="0.3">
      <c r="A2129" t="s">
        <v>17</v>
      </c>
      <c r="B2129" t="str">
        <f>"688767"</f>
        <v>688767</v>
      </c>
      <c r="C2129" t="s">
        <v>4583</v>
      </c>
      <c r="D2129" t="s">
        <v>1305</v>
      </c>
      <c r="F2129">
        <v>2107098138</v>
      </c>
      <c r="G2129">
        <v>444137738</v>
      </c>
      <c r="H2129">
        <v>126960639</v>
      </c>
      <c r="I2129">
        <v>98858624</v>
      </c>
      <c r="J2129">
        <v>80251507</v>
      </c>
      <c r="P2129">
        <v>43</v>
      </c>
      <c r="Q2129" t="s">
        <v>4584</v>
      </c>
    </row>
    <row r="2130" spans="1:17" x14ac:dyDescent="0.3">
      <c r="A2130" t="s">
        <v>17</v>
      </c>
      <c r="B2130" t="str">
        <f>"688768"</f>
        <v>688768</v>
      </c>
      <c r="C2130" t="s">
        <v>4585</v>
      </c>
      <c r="D2130" t="s">
        <v>2566</v>
      </c>
      <c r="F2130">
        <v>634534162</v>
      </c>
      <c r="G2130">
        <v>357022507</v>
      </c>
      <c r="H2130">
        <v>280563767</v>
      </c>
      <c r="I2130">
        <v>226991473</v>
      </c>
      <c r="J2130">
        <v>213061423</v>
      </c>
      <c r="P2130">
        <v>30</v>
      </c>
      <c r="Q2130" t="s">
        <v>4586</v>
      </c>
    </row>
    <row r="2131" spans="1:17" x14ac:dyDescent="0.3">
      <c r="A2131" t="s">
        <v>17</v>
      </c>
      <c r="B2131" t="str">
        <f>"688772"</f>
        <v>688772</v>
      </c>
      <c r="C2131" t="s">
        <v>4587</v>
      </c>
      <c r="D2131" t="s">
        <v>359</v>
      </c>
      <c r="F2131">
        <v>6298144137</v>
      </c>
      <c r="G2131">
        <v>3246075824</v>
      </c>
      <c r="H2131">
        <v>2220738149</v>
      </c>
      <c r="I2131">
        <v>1564901223</v>
      </c>
      <c r="J2131">
        <v>586183944</v>
      </c>
      <c r="P2131">
        <v>33</v>
      </c>
      <c r="Q2131" t="s">
        <v>4588</v>
      </c>
    </row>
    <row r="2132" spans="1:17" x14ac:dyDescent="0.3">
      <c r="A2132" t="s">
        <v>17</v>
      </c>
      <c r="B2132" t="str">
        <f>"688776"</f>
        <v>688776</v>
      </c>
      <c r="C2132" t="s">
        <v>4589</v>
      </c>
      <c r="D2132" t="s">
        <v>1136</v>
      </c>
      <c r="F2132">
        <v>1625263560</v>
      </c>
      <c r="G2132">
        <v>552203836</v>
      </c>
      <c r="H2132">
        <v>515048345</v>
      </c>
      <c r="I2132">
        <v>509916010</v>
      </c>
      <c r="J2132">
        <v>702512669</v>
      </c>
      <c r="P2132">
        <v>23</v>
      </c>
      <c r="Q2132" t="s">
        <v>4590</v>
      </c>
    </row>
    <row r="2133" spans="1:17" x14ac:dyDescent="0.3">
      <c r="A2133" t="s">
        <v>17</v>
      </c>
      <c r="B2133" t="str">
        <f>"688777"</f>
        <v>688777</v>
      </c>
      <c r="C2133" t="s">
        <v>4591</v>
      </c>
      <c r="D2133" t="s">
        <v>2432</v>
      </c>
      <c r="F2133">
        <v>4525058319</v>
      </c>
      <c r="G2133">
        <v>3985644070</v>
      </c>
      <c r="H2133">
        <v>1821820851</v>
      </c>
      <c r="I2133">
        <v>1156493675</v>
      </c>
      <c r="J2133">
        <v>871107018</v>
      </c>
      <c r="K2133">
        <v>857148068</v>
      </c>
      <c r="P2133">
        <v>180</v>
      </c>
      <c r="Q2133" t="s">
        <v>4592</v>
      </c>
    </row>
    <row r="2134" spans="1:17" x14ac:dyDescent="0.3">
      <c r="A2134" t="s">
        <v>17</v>
      </c>
      <c r="B2134" t="str">
        <f>"688778"</f>
        <v>688778</v>
      </c>
      <c r="C2134" t="s">
        <v>4593</v>
      </c>
      <c r="D2134" t="s">
        <v>1790</v>
      </c>
      <c r="F2134">
        <v>3735883405</v>
      </c>
      <c r="G2134">
        <v>1748109617</v>
      </c>
      <c r="H2134">
        <v>1512038335</v>
      </c>
      <c r="I2134">
        <v>746696464</v>
      </c>
      <c r="J2134">
        <v>666850139</v>
      </c>
      <c r="P2134">
        <v>44</v>
      </c>
      <c r="Q2134" t="s">
        <v>4594</v>
      </c>
    </row>
    <row r="2135" spans="1:17" x14ac:dyDescent="0.3">
      <c r="A2135" t="s">
        <v>17</v>
      </c>
      <c r="B2135" t="str">
        <f>"688779"</f>
        <v>688779</v>
      </c>
      <c r="C2135" t="s">
        <v>4595</v>
      </c>
      <c r="D2135" t="s">
        <v>1790</v>
      </c>
      <c r="F2135">
        <v>6523302912</v>
      </c>
      <c r="G2135">
        <v>3175339743</v>
      </c>
      <c r="H2135">
        <v>3065550429</v>
      </c>
      <c r="I2135">
        <v>2675977546</v>
      </c>
      <c r="J2135">
        <v>904265330</v>
      </c>
      <c r="P2135">
        <v>53</v>
      </c>
      <c r="Q2135" t="s">
        <v>4596</v>
      </c>
    </row>
    <row r="2136" spans="1:17" x14ac:dyDescent="0.3">
      <c r="A2136" t="s">
        <v>17</v>
      </c>
      <c r="B2136" t="str">
        <f>"688786"</f>
        <v>688786</v>
      </c>
      <c r="C2136" t="s">
        <v>4597</v>
      </c>
      <c r="D2136" t="s">
        <v>581</v>
      </c>
      <c r="F2136">
        <v>606260303</v>
      </c>
      <c r="G2136">
        <v>305491591</v>
      </c>
      <c r="H2136">
        <v>255977127</v>
      </c>
      <c r="I2136">
        <v>99926410</v>
      </c>
      <c r="J2136">
        <v>108335788</v>
      </c>
      <c r="P2136">
        <v>31</v>
      </c>
      <c r="Q2136" t="s">
        <v>4598</v>
      </c>
    </row>
    <row r="2137" spans="1:17" x14ac:dyDescent="0.3">
      <c r="A2137" t="s">
        <v>17</v>
      </c>
      <c r="B2137" t="str">
        <f>"688787"</f>
        <v>688787</v>
      </c>
      <c r="C2137" t="s">
        <v>4599</v>
      </c>
      <c r="D2137" t="s">
        <v>316</v>
      </c>
      <c r="F2137">
        <v>805908403</v>
      </c>
      <c r="G2137">
        <v>437956373</v>
      </c>
      <c r="H2137">
        <v>355951438</v>
      </c>
      <c r="I2137">
        <v>166133123</v>
      </c>
      <c r="J2137">
        <v>98930380</v>
      </c>
      <c r="K2137">
        <v>39490205</v>
      </c>
      <c r="P2137">
        <v>32</v>
      </c>
      <c r="Q2137" t="s">
        <v>4600</v>
      </c>
    </row>
    <row r="2138" spans="1:17" x14ac:dyDescent="0.3">
      <c r="A2138" t="s">
        <v>17</v>
      </c>
      <c r="B2138" t="str">
        <f>"688788"</f>
        <v>688788</v>
      </c>
      <c r="C2138" t="s">
        <v>4601</v>
      </c>
      <c r="D2138" t="s">
        <v>1136</v>
      </c>
      <c r="F2138">
        <v>2953123171</v>
      </c>
      <c r="G2138">
        <v>2844628117</v>
      </c>
      <c r="H2138">
        <v>756950630</v>
      </c>
      <c r="I2138">
        <v>361998976</v>
      </c>
      <c r="J2138">
        <v>154641800</v>
      </c>
      <c r="P2138">
        <v>57</v>
      </c>
      <c r="Q2138" t="s">
        <v>4602</v>
      </c>
    </row>
    <row r="2139" spans="1:17" x14ac:dyDescent="0.3">
      <c r="A2139" t="s">
        <v>17</v>
      </c>
      <c r="B2139" t="str">
        <f>"688789"</f>
        <v>688789</v>
      </c>
      <c r="C2139" t="s">
        <v>4603</v>
      </c>
      <c r="D2139" t="s">
        <v>534</v>
      </c>
      <c r="F2139">
        <v>1481337775</v>
      </c>
      <c r="G2139">
        <v>743126738</v>
      </c>
      <c r="H2139">
        <v>571946889</v>
      </c>
      <c r="I2139">
        <v>419617896</v>
      </c>
      <c r="J2139">
        <v>314711571</v>
      </c>
      <c r="P2139">
        <v>43</v>
      </c>
      <c r="Q2139" t="s">
        <v>4604</v>
      </c>
    </row>
    <row r="2140" spans="1:17" x14ac:dyDescent="0.3">
      <c r="A2140" t="s">
        <v>17</v>
      </c>
      <c r="B2140" t="str">
        <f>"688793"</f>
        <v>688793</v>
      </c>
      <c r="C2140" t="s">
        <v>4605</v>
      </c>
      <c r="D2140" t="s">
        <v>3364</v>
      </c>
      <c r="F2140">
        <v>655330601</v>
      </c>
      <c r="G2140">
        <v>234476931</v>
      </c>
      <c r="H2140">
        <v>163194200</v>
      </c>
      <c r="I2140">
        <v>116488584</v>
      </c>
      <c r="J2140">
        <v>47273000</v>
      </c>
      <c r="P2140">
        <v>48</v>
      </c>
      <c r="Q2140" t="s">
        <v>4606</v>
      </c>
    </row>
    <row r="2141" spans="1:17" x14ac:dyDescent="0.3">
      <c r="A2141" t="s">
        <v>17</v>
      </c>
      <c r="B2141" t="str">
        <f>"688798"</f>
        <v>688798</v>
      </c>
      <c r="C2141" t="s">
        <v>4607</v>
      </c>
      <c r="D2141" t="s">
        <v>401</v>
      </c>
      <c r="F2141">
        <v>3727893056</v>
      </c>
      <c r="G2141">
        <v>380552128</v>
      </c>
      <c r="H2141">
        <v>322460694</v>
      </c>
      <c r="I2141">
        <v>270720817</v>
      </c>
      <c r="J2141">
        <v>206552113</v>
      </c>
      <c r="P2141">
        <v>67</v>
      </c>
      <c r="Q2141" t="s">
        <v>4608</v>
      </c>
    </row>
    <row r="2142" spans="1:17" x14ac:dyDescent="0.3">
      <c r="A2142" t="s">
        <v>17</v>
      </c>
      <c r="B2142" t="str">
        <f>"688799"</f>
        <v>688799</v>
      </c>
      <c r="C2142" t="s">
        <v>4609</v>
      </c>
      <c r="D2142" t="s">
        <v>143</v>
      </c>
      <c r="F2142">
        <v>1479465291</v>
      </c>
      <c r="G2142">
        <v>663049798</v>
      </c>
      <c r="H2142">
        <v>553169818</v>
      </c>
      <c r="I2142">
        <v>458248779</v>
      </c>
      <c r="J2142">
        <v>383819338</v>
      </c>
      <c r="P2142">
        <v>35</v>
      </c>
      <c r="Q2142" t="s">
        <v>4610</v>
      </c>
    </row>
    <row r="2143" spans="1:17" x14ac:dyDescent="0.3">
      <c r="A2143" t="s">
        <v>17</v>
      </c>
      <c r="B2143" t="str">
        <f>"688800"</f>
        <v>688800</v>
      </c>
      <c r="C2143" t="s">
        <v>4611</v>
      </c>
      <c r="D2143" t="s">
        <v>651</v>
      </c>
      <c r="F2143">
        <v>997328213</v>
      </c>
      <c r="G2143">
        <v>533664191</v>
      </c>
      <c r="H2143">
        <v>476237545</v>
      </c>
      <c r="I2143">
        <v>442305001</v>
      </c>
      <c r="J2143">
        <v>404274403</v>
      </c>
      <c r="P2143">
        <v>51</v>
      </c>
      <c r="Q2143" t="s">
        <v>4612</v>
      </c>
    </row>
    <row r="2144" spans="1:17" x14ac:dyDescent="0.3">
      <c r="A2144" t="s">
        <v>17</v>
      </c>
      <c r="B2144" t="str">
        <f>"688819"</f>
        <v>688819</v>
      </c>
      <c r="C2144" t="s">
        <v>4613</v>
      </c>
      <c r="D2144" t="s">
        <v>555</v>
      </c>
      <c r="F2144">
        <v>12271989801</v>
      </c>
      <c r="G2144">
        <v>6739384815</v>
      </c>
      <c r="H2144">
        <v>4945587678</v>
      </c>
      <c r="I2144">
        <v>3849353807</v>
      </c>
      <c r="J2144">
        <v>4142144175</v>
      </c>
      <c r="K2144">
        <v>3261473000</v>
      </c>
      <c r="P2144">
        <v>159</v>
      </c>
      <c r="Q2144" t="s">
        <v>4614</v>
      </c>
    </row>
    <row r="2145" spans="1:17" x14ac:dyDescent="0.3">
      <c r="A2145" t="s">
        <v>17</v>
      </c>
      <c r="B2145" t="str">
        <f>"688981"</f>
        <v>688981</v>
      </c>
      <c r="C2145" t="s">
        <v>4615</v>
      </c>
      <c r="D2145" t="s">
        <v>4332</v>
      </c>
      <c r="F2145">
        <v>109198772000</v>
      </c>
      <c r="G2145">
        <v>97142278000</v>
      </c>
      <c r="H2145">
        <v>39833508645</v>
      </c>
      <c r="I2145">
        <v>37418471389</v>
      </c>
      <c r="J2145">
        <v>33825716803</v>
      </c>
      <c r="P2145">
        <v>1041</v>
      </c>
      <c r="Q2145" t="s">
        <v>4616</v>
      </c>
    </row>
    <row r="2146" spans="1:17" x14ac:dyDescent="0.3">
      <c r="A2146" t="s">
        <v>17</v>
      </c>
      <c r="B2146" t="str">
        <f>"689009"</f>
        <v>689009</v>
      </c>
      <c r="C2146" t="s">
        <v>4617</v>
      </c>
      <c r="D2146" t="s">
        <v>233</v>
      </c>
      <c r="F2146">
        <v>4274779973</v>
      </c>
      <c r="G2146">
        <v>3696778411</v>
      </c>
      <c r="H2146">
        <v>2119621234</v>
      </c>
      <c r="I2146">
        <v>-3236003313</v>
      </c>
      <c r="J2146">
        <v>-1265812573</v>
      </c>
      <c r="K2146">
        <v>-720333444</v>
      </c>
      <c r="P2146">
        <v>114</v>
      </c>
      <c r="Q2146" t="s">
        <v>4618</v>
      </c>
    </row>
    <row r="2147" spans="1:17" x14ac:dyDescent="0.3">
      <c r="A2147" t="s">
        <v>17</v>
      </c>
      <c r="B2147" t="str">
        <f>"900901"</f>
        <v>900901</v>
      </c>
      <c r="C2147" t="s">
        <v>4619</v>
      </c>
      <c r="G2147">
        <v>656171003.88709998</v>
      </c>
      <c r="H2147">
        <v>591611748.37919998</v>
      </c>
      <c r="I2147">
        <v>581472745.19299996</v>
      </c>
      <c r="J2147">
        <v>586291500.74880004</v>
      </c>
      <c r="K2147">
        <v>505748249.56800002</v>
      </c>
      <c r="L2147">
        <v>507089090.97000003</v>
      </c>
      <c r="M2147">
        <v>422208701.93839997</v>
      </c>
      <c r="N2147">
        <v>413698923.69959998</v>
      </c>
      <c r="O2147">
        <v>384155261.36250001</v>
      </c>
      <c r="P2147">
        <v>7</v>
      </c>
      <c r="Q2147" t="s">
        <v>4620</v>
      </c>
    </row>
    <row r="2148" spans="1:17" x14ac:dyDescent="0.3">
      <c r="A2148" t="s">
        <v>17</v>
      </c>
      <c r="B2148" t="str">
        <f>"900902"</f>
        <v>900902</v>
      </c>
      <c r="C2148" t="s">
        <v>4621</v>
      </c>
      <c r="G2148">
        <v>988992936.43069994</v>
      </c>
      <c r="H2148">
        <v>901202669.70879996</v>
      </c>
      <c r="I2148">
        <v>888075535.32360005</v>
      </c>
      <c r="J2148">
        <v>904856006.09280002</v>
      </c>
      <c r="K2148">
        <v>817686579.45599997</v>
      </c>
      <c r="L2148">
        <v>444488701.88800001</v>
      </c>
      <c r="M2148">
        <v>207637270.3964</v>
      </c>
      <c r="N2148">
        <v>213263454.852</v>
      </c>
      <c r="O2148">
        <v>182163823.42649999</v>
      </c>
      <c r="P2148">
        <v>10</v>
      </c>
      <c r="Q2148" t="s">
        <v>4622</v>
      </c>
    </row>
    <row r="2149" spans="1:17" x14ac:dyDescent="0.3">
      <c r="A2149" t="s">
        <v>17</v>
      </c>
      <c r="B2149" t="str">
        <f>"900903"</f>
        <v>900903</v>
      </c>
      <c r="C2149" t="s">
        <v>4623</v>
      </c>
      <c r="G2149">
        <v>1419728066.7465999</v>
      </c>
      <c r="H2149">
        <v>1352908735.1592</v>
      </c>
      <c r="I2149">
        <v>1255509237.0866001</v>
      </c>
      <c r="J2149">
        <v>1423124958.4128001</v>
      </c>
      <c r="K2149">
        <v>1334770775.424</v>
      </c>
      <c r="L2149">
        <v>1320190480.5320001</v>
      </c>
      <c r="M2149">
        <v>1021395437.7431999</v>
      </c>
      <c r="N2149">
        <v>912470782.36720002</v>
      </c>
      <c r="O2149">
        <v>870568810.28849995</v>
      </c>
      <c r="P2149">
        <v>32</v>
      </c>
      <c r="Q2149" t="s">
        <v>4624</v>
      </c>
    </row>
    <row r="2150" spans="1:17" x14ac:dyDescent="0.3">
      <c r="A2150" t="s">
        <v>17</v>
      </c>
      <c r="B2150" t="str">
        <f>"900904"</f>
        <v>900904</v>
      </c>
      <c r="C2150" t="s">
        <v>4625</v>
      </c>
      <c r="G2150">
        <v>348232279.8689</v>
      </c>
      <c r="H2150">
        <v>375791966.23280001</v>
      </c>
      <c r="I2150">
        <v>369295091.0438</v>
      </c>
      <c r="J2150">
        <v>378376507.85280001</v>
      </c>
      <c r="K2150">
        <v>339686881.19999999</v>
      </c>
      <c r="L2150">
        <v>343422039.73000002</v>
      </c>
      <c r="M2150">
        <v>316905568.6056</v>
      </c>
      <c r="N2150">
        <v>294989462.10439998</v>
      </c>
      <c r="O2150">
        <v>32912730.27</v>
      </c>
      <c r="P2150">
        <v>8</v>
      </c>
      <c r="Q2150" t="s">
        <v>4626</v>
      </c>
    </row>
    <row r="2151" spans="1:17" x14ac:dyDescent="0.3">
      <c r="A2151" t="s">
        <v>17</v>
      </c>
      <c r="B2151" t="str">
        <f>"900905"</f>
        <v>900905</v>
      </c>
      <c r="C2151" t="s">
        <v>4627</v>
      </c>
      <c r="G2151">
        <v>1217912719.5460999</v>
      </c>
      <c r="H2151">
        <v>1008067779.0216</v>
      </c>
      <c r="I2151">
        <v>900223747.48959994</v>
      </c>
      <c r="J2151">
        <v>861298600.704</v>
      </c>
      <c r="K2151">
        <v>728846129.23199999</v>
      </c>
      <c r="L2151">
        <v>699529668.68400002</v>
      </c>
      <c r="M2151">
        <v>636102299.5704</v>
      </c>
      <c r="N2151">
        <v>550615036.15999997</v>
      </c>
      <c r="O2151">
        <v>443218654.833</v>
      </c>
      <c r="P2151">
        <v>473</v>
      </c>
      <c r="Q2151" t="s">
        <v>4628</v>
      </c>
    </row>
    <row r="2152" spans="1:17" x14ac:dyDescent="0.3">
      <c r="A2152" t="s">
        <v>17</v>
      </c>
      <c r="B2152" t="str">
        <f>"900906"</f>
        <v>900906</v>
      </c>
      <c r="C2152" t="s">
        <v>4629</v>
      </c>
      <c r="G2152">
        <v>13751911.3072</v>
      </c>
      <c r="H2152">
        <v>6372443.2856000001</v>
      </c>
      <c r="I2152">
        <v>-67276808.568800002</v>
      </c>
      <c r="J2152">
        <v>3307488.7680000002</v>
      </c>
      <c r="K2152">
        <v>167560450.27200001</v>
      </c>
      <c r="L2152">
        <v>178474605.07800001</v>
      </c>
      <c r="M2152">
        <v>162074652.82319999</v>
      </c>
      <c r="N2152">
        <v>14422878.842399999</v>
      </c>
      <c r="O2152">
        <v>20680442.013</v>
      </c>
      <c r="P2152">
        <v>4</v>
      </c>
      <c r="Q2152" t="s">
        <v>4630</v>
      </c>
    </row>
    <row r="2153" spans="1:17" x14ac:dyDescent="0.3">
      <c r="A2153" t="s">
        <v>17</v>
      </c>
      <c r="B2153" t="str">
        <f>"900907"</f>
        <v>900907</v>
      </c>
      <c r="C2153" t="s">
        <v>4631</v>
      </c>
      <c r="G2153">
        <v>5926480.4282</v>
      </c>
      <c r="H2153">
        <v>22306670.922400001</v>
      </c>
      <c r="I2153">
        <v>157962127.72580001</v>
      </c>
      <c r="J2153">
        <v>754939200</v>
      </c>
      <c r="K2153">
        <v>664870197.88800001</v>
      </c>
      <c r="L2153">
        <v>698233448.83599997</v>
      </c>
      <c r="M2153">
        <v>400972857.28759998</v>
      </c>
      <c r="N2153">
        <v>147308219.3436</v>
      </c>
      <c r="O2153">
        <v>141492196.0575</v>
      </c>
      <c r="P2153">
        <v>4</v>
      </c>
      <c r="Q2153" t="s">
        <v>4632</v>
      </c>
    </row>
    <row r="2154" spans="1:17" x14ac:dyDescent="0.3">
      <c r="A2154" t="s">
        <v>17</v>
      </c>
      <c r="B2154" t="str">
        <f>"900908"</f>
        <v>900908</v>
      </c>
      <c r="C2154" t="s">
        <v>4633</v>
      </c>
      <c r="G2154">
        <v>786071975.0043</v>
      </c>
      <c r="H2154">
        <v>668366087.24039996</v>
      </c>
      <c r="I2154">
        <v>569271744.83000004</v>
      </c>
      <c r="J2154">
        <v>448271341.67040002</v>
      </c>
      <c r="K2154">
        <v>279607793.472</v>
      </c>
      <c r="L2154">
        <v>348277937.08399999</v>
      </c>
      <c r="M2154">
        <v>348942467.72839999</v>
      </c>
      <c r="N2154">
        <v>470522805.86080003</v>
      </c>
      <c r="O2154">
        <v>453968563.6455</v>
      </c>
      <c r="P2154">
        <v>50</v>
      </c>
      <c r="Q2154" t="s">
        <v>4634</v>
      </c>
    </row>
    <row r="2155" spans="1:17" x14ac:dyDescent="0.3">
      <c r="A2155" t="s">
        <v>17</v>
      </c>
      <c r="B2155" t="str">
        <f>"900909"</f>
        <v>900909</v>
      </c>
      <c r="C2155" t="s">
        <v>4635</v>
      </c>
      <c r="G2155">
        <v>2842912919.7086</v>
      </c>
      <c r="H2155">
        <v>2635592806.2600002</v>
      </c>
      <c r="I2155">
        <v>2626752255.6876001</v>
      </c>
      <c r="J2155">
        <v>2555196737.7407999</v>
      </c>
      <c r="K2155">
        <v>2337251280.0479999</v>
      </c>
      <c r="L2155">
        <v>2475992950.1999998</v>
      </c>
      <c r="M2155">
        <v>487259129.90039998</v>
      </c>
      <c r="N2155">
        <v>449880489.97359997</v>
      </c>
      <c r="O2155">
        <v>400296603.03600001</v>
      </c>
      <c r="P2155">
        <v>24</v>
      </c>
      <c r="Q2155" t="s">
        <v>4636</v>
      </c>
    </row>
    <row r="2156" spans="1:17" x14ac:dyDescent="0.3">
      <c r="A2156" t="s">
        <v>17</v>
      </c>
      <c r="B2156" t="str">
        <f>"900910"</f>
        <v>900910</v>
      </c>
      <c r="C2156" t="s">
        <v>4637</v>
      </c>
      <c r="G2156">
        <v>689711575.37660003</v>
      </c>
      <c r="H2156">
        <v>647592274.37440002</v>
      </c>
      <c r="I2156">
        <v>634596931.05900002</v>
      </c>
      <c r="J2156">
        <v>642073937.51040006</v>
      </c>
      <c r="K2156">
        <v>574826001.12</v>
      </c>
      <c r="L2156">
        <v>599501565.74000001</v>
      </c>
      <c r="M2156">
        <v>386311818.36000001</v>
      </c>
      <c r="N2156">
        <v>391534433.04079998</v>
      </c>
      <c r="O2156">
        <v>379585910.94599998</v>
      </c>
      <c r="P2156">
        <v>13</v>
      </c>
      <c r="Q2156" t="s">
        <v>4638</v>
      </c>
    </row>
    <row r="2157" spans="1:17" x14ac:dyDescent="0.3">
      <c r="A2157" t="s">
        <v>17</v>
      </c>
      <c r="B2157" t="str">
        <f>"900911"</f>
        <v>900911</v>
      </c>
      <c r="C2157" t="s">
        <v>4639</v>
      </c>
      <c r="G2157">
        <v>1645314186.3197</v>
      </c>
      <c r="H2157">
        <v>1425297002.0367999</v>
      </c>
      <c r="I2157">
        <v>1285055499.1182001</v>
      </c>
      <c r="J2157">
        <v>1373073237.9647999</v>
      </c>
      <c r="K2157">
        <v>1245049831.4400001</v>
      </c>
      <c r="L2157">
        <v>976028655.75600004</v>
      </c>
      <c r="M2157">
        <v>936762176.18359995</v>
      </c>
      <c r="N2157">
        <v>762699956.85520005</v>
      </c>
      <c r="O2157">
        <v>689818732.81500006</v>
      </c>
      <c r="P2157">
        <v>73</v>
      </c>
      <c r="Q2157" t="s">
        <v>4640</v>
      </c>
    </row>
    <row r="2158" spans="1:17" x14ac:dyDescent="0.3">
      <c r="A2158" t="s">
        <v>17</v>
      </c>
      <c r="B2158" t="str">
        <f>"900912"</f>
        <v>900912</v>
      </c>
      <c r="C2158" t="s">
        <v>4641</v>
      </c>
      <c r="G2158">
        <v>1675483747.8343999</v>
      </c>
      <c r="H2158">
        <v>1514829052.7060001</v>
      </c>
      <c r="I2158">
        <v>1481288382.5086</v>
      </c>
      <c r="J2158">
        <v>1525881222.4512</v>
      </c>
      <c r="K2158">
        <v>1356017440.1760001</v>
      </c>
      <c r="L2158">
        <v>1388559014.4579999</v>
      </c>
      <c r="M2158">
        <v>1432845482.5827999</v>
      </c>
      <c r="N2158">
        <v>891432120.45720005</v>
      </c>
      <c r="O2158">
        <v>794948171.81550002</v>
      </c>
      <c r="P2158">
        <v>18</v>
      </c>
      <c r="Q2158" t="s">
        <v>4642</v>
      </c>
    </row>
    <row r="2159" spans="1:17" x14ac:dyDescent="0.3">
      <c r="A2159" t="s">
        <v>17</v>
      </c>
      <c r="B2159" t="str">
        <f>"900913"</f>
        <v>900913</v>
      </c>
      <c r="C2159" t="s">
        <v>4643</v>
      </c>
      <c r="G2159">
        <v>461504882.6943</v>
      </c>
      <c r="H2159">
        <v>543795141.58200002</v>
      </c>
      <c r="I2159">
        <v>548998063.76699996</v>
      </c>
      <c r="J2159">
        <v>570430322.22720003</v>
      </c>
      <c r="K2159">
        <v>534420370.80000001</v>
      </c>
      <c r="L2159">
        <v>541968834.48399997</v>
      </c>
      <c r="M2159">
        <v>336225721.48360002</v>
      </c>
      <c r="N2159">
        <v>188827697.78600001</v>
      </c>
      <c r="O2159">
        <v>-11072672.7075</v>
      </c>
      <c r="P2159">
        <v>7</v>
      </c>
      <c r="Q2159" t="s">
        <v>4644</v>
      </c>
    </row>
    <row r="2160" spans="1:17" x14ac:dyDescent="0.3">
      <c r="A2160" t="s">
        <v>17</v>
      </c>
      <c r="B2160" t="str">
        <f>"900914"</f>
        <v>900914</v>
      </c>
      <c r="C2160" t="s">
        <v>4645</v>
      </c>
      <c r="G2160">
        <v>542291423.44050002</v>
      </c>
      <c r="H2160">
        <v>503472210.60399997</v>
      </c>
      <c r="I2160">
        <v>471512061.51840001</v>
      </c>
      <c r="J2160">
        <v>516287408.02560002</v>
      </c>
      <c r="K2160">
        <v>468577272.67199999</v>
      </c>
      <c r="L2160">
        <v>533957599.09799999</v>
      </c>
      <c r="M2160">
        <v>374768620.3664</v>
      </c>
      <c r="N2160">
        <v>366359244.57440001</v>
      </c>
      <c r="O2160">
        <v>339965210.93400002</v>
      </c>
      <c r="P2160">
        <v>20</v>
      </c>
      <c r="Q2160" t="s">
        <v>4646</v>
      </c>
    </row>
    <row r="2161" spans="1:17" x14ac:dyDescent="0.3">
      <c r="A2161" t="s">
        <v>17</v>
      </c>
      <c r="B2161" t="str">
        <f>"900915"</f>
        <v>900915</v>
      </c>
      <c r="C2161" t="s">
        <v>4647</v>
      </c>
      <c r="G2161">
        <v>98695384.258900002</v>
      </c>
      <c r="H2161">
        <v>81638731.167600006</v>
      </c>
      <c r="I2161">
        <v>92319119.488399997</v>
      </c>
      <c r="J2161">
        <v>103158799.56479999</v>
      </c>
      <c r="K2161">
        <v>84945284.496000007</v>
      </c>
      <c r="L2161">
        <v>75250732.172000006</v>
      </c>
      <c r="M2161">
        <v>61244239.815200001</v>
      </c>
      <c r="N2161">
        <v>62546320.457599998</v>
      </c>
      <c r="O2161">
        <v>61956461.5035</v>
      </c>
      <c r="P2161">
        <v>6</v>
      </c>
      <c r="Q2161" t="s">
        <v>4648</v>
      </c>
    </row>
    <row r="2162" spans="1:17" x14ac:dyDescent="0.3">
      <c r="A2162" t="s">
        <v>17</v>
      </c>
      <c r="B2162" t="str">
        <f>"900916"</f>
        <v>900916</v>
      </c>
      <c r="C2162" t="s">
        <v>4649</v>
      </c>
      <c r="G2162">
        <v>290760911.71600002</v>
      </c>
      <c r="H2162">
        <v>197387704.16600001</v>
      </c>
      <c r="I2162">
        <v>194654540.65459999</v>
      </c>
      <c r="J2162">
        <v>205574780.00639999</v>
      </c>
      <c r="K2162">
        <v>181865621.23199999</v>
      </c>
      <c r="L2162">
        <v>187663016.46399999</v>
      </c>
      <c r="M2162">
        <v>107175786.3176</v>
      </c>
      <c r="N2162">
        <v>98316869.627200007</v>
      </c>
      <c r="O2162">
        <v>94603100.589000002</v>
      </c>
      <c r="P2162">
        <v>7</v>
      </c>
      <c r="Q2162" t="s">
        <v>4650</v>
      </c>
    </row>
    <row r="2163" spans="1:17" x14ac:dyDescent="0.3">
      <c r="A2163" t="s">
        <v>17</v>
      </c>
      <c r="B2163" t="str">
        <f>"900917"</f>
        <v>900917</v>
      </c>
      <c r="C2163" t="s">
        <v>4651</v>
      </c>
      <c r="G2163">
        <v>640550896.9174</v>
      </c>
      <c r="H2163">
        <v>552674725.98759997</v>
      </c>
      <c r="I2163">
        <v>497367511.03299999</v>
      </c>
      <c r="J2163">
        <v>580867819.9296</v>
      </c>
      <c r="K2163">
        <v>597182620.75199997</v>
      </c>
      <c r="L2163">
        <v>704456636.26800001</v>
      </c>
      <c r="M2163">
        <v>858773689.20720005</v>
      </c>
      <c r="N2163">
        <v>494182620.01359999</v>
      </c>
      <c r="O2163">
        <v>462302688.73199999</v>
      </c>
      <c r="P2163">
        <v>12</v>
      </c>
      <c r="Q2163" t="s">
        <v>4652</v>
      </c>
    </row>
    <row r="2164" spans="1:17" x14ac:dyDescent="0.3">
      <c r="A2164" t="s">
        <v>17</v>
      </c>
      <c r="B2164" t="str">
        <f>"900918"</f>
        <v>900918</v>
      </c>
      <c r="C2164" t="s">
        <v>4653</v>
      </c>
      <c r="G2164">
        <v>526520420.75419998</v>
      </c>
      <c r="H2164">
        <v>472191326.75319999</v>
      </c>
      <c r="I2164">
        <v>448347489.23720002</v>
      </c>
      <c r="J2164">
        <v>462001478.09280002</v>
      </c>
      <c r="K2164">
        <v>435070677.88800001</v>
      </c>
      <c r="L2164">
        <v>442963977.61000001</v>
      </c>
      <c r="M2164">
        <v>512376641.85759997</v>
      </c>
      <c r="N2164">
        <v>525860225.85600001</v>
      </c>
      <c r="O2164">
        <v>337645379.88599998</v>
      </c>
      <c r="P2164">
        <v>10</v>
      </c>
      <c r="Q2164" t="s">
        <v>4654</v>
      </c>
    </row>
    <row r="2165" spans="1:17" x14ac:dyDescent="0.3">
      <c r="A2165" t="s">
        <v>17</v>
      </c>
      <c r="B2165" t="str">
        <f>"900919"</f>
        <v>900919</v>
      </c>
      <c r="C2165" t="s">
        <v>4655</v>
      </c>
      <c r="G2165">
        <v>101795099.62970001</v>
      </c>
      <c r="H2165">
        <v>101240132.31640001</v>
      </c>
      <c r="I2165">
        <v>95262311.231999993</v>
      </c>
      <c r="J2165">
        <v>106581737.93279999</v>
      </c>
      <c r="K2165">
        <v>104201722.368</v>
      </c>
      <c r="L2165">
        <v>119687599.56999999</v>
      </c>
      <c r="M2165">
        <v>81879428.602400005</v>
      </c>
      <c r="N2165">
        <v>67280973.107600003</v>
      </c>
      <c r="O2165">
        <v>46572757.512000002</v>
      </c>
      <c r="P2165">
        <v>5</v>
      </c>
      <c r="Q2165" t="s">
        <v>4656</v>
      </c>
    </row>
    <row r="2166" spans="1:17" x14ac:dyDescent="0.3">
      <c r="A2166" t="s">
        <v>17</v>
      </c>
      <c r="B2166" t="str">
        <f>"900920"</f>
        <v>900920</v>
      </c>
      <c r="C2166" t="s">
        <v>4657</v>
      </c>
      <c r="G2166">
        <v>608893194.79279995</v>
      </c>
      <c r="H2166">
        <v>545506461.12320006</v>
      </c>
      <c r="I2166">
        <v>541158461.30260003</v>
      </c>
      <c r="J2166">
        <v>556658350.69439995</v>
      </c>
      <c r="K2166">
        <v>508490312.39999998</v>
      </c>
      <c r="L2166">
        <v>534714740.86799997</v>
      </c>
      <c r="M2166">
        <v>552337806.22800004</v>
      </c>
      <c r="N2166">
        <v>547243457.63080001</v>
      </c>
      <c r="O2166">
        <v>509399684.82599998</v>
      </c>
      <c r="P2166">
        <v>12</v>
      </c>
      <c r="Q2166" t="s">
        <v>4658</v>
      </c>
    </row>
    <row r="2167" spans="1:17" x14ac:dyDescent="0.3">
      <c r="A2167" t="s">
        <v>17</v>
      </c>
      <c r="B2167" t="str">
        <f>"900921"</f>
        <v>900921</v>
      </c>
      <c r="C2167" t="s">
        <v>4659</v>
      </c>
      <c r="G2167">
        <v>202807554.80739999</v>
      </c>
      <c r="H2167">
        <v>242903878.45320001</v>
      </c>
      <c r="I2167">
        <v>308882179.40259999</v>
      </c>
      <c r="J2167">
        <v>325992105.52319998</v>
      </c>
      <c r="K2167">
        <v>267301532.44800001</v>
      </c>
      <c r="L2167">
        <v>126092734.61399999</v>
      </c>
      <c r="M2167">
        <v>136931622.4224</v>
      </c>
      <c r="N2167">
        <v>137449927.5156</v>
      </c>
      <c r="O2167">
        <v>161570137.602</v>
      </c>
      <c r="P2167">
        <v>6</v>
      </c>
      <c r="Q2167" t="s">
        <v>4660</v>
      </c>
    </row>
    <row r="2168" spans="1:17" x14ac:dyDescent="0.3">
      <c r="A2168" t="s">
        <v>17</v>
      </c>
      <c r="B2168" t="str">
        <f>"900922"</f>
        <v>900922</v>
      </c>
      <c r="C2168" t="s">
        <v>4661</v>
      </c>
      <c r="G2168">
        <v>65245248.942299999</v>
      </c>
      <c r="H2168">
        <v>66738739.020000003</v>
      </c>
      <c r="I2168">
        <v>66877686.441200003</v>
      </c>
      <c r="J2168">
        <v>70489612.492799997</v>
      </c>
      <c r="K2168">
        <v>61031871.648000002</v>
      </c>
      <c r="L2168">
        <v>49773763.578000002</v>
      </c>
      <c r="M2168">
        <v>65458471.104000002</v>
      </c>
      <c r="N2168">
        <v>52602184.597199999</v>
      </c>
      <c r="O2168">
        <v>58190180.380500004</v>
      </c>
      <c r="P2168">
        <v>9</v>
      </c>
      <c r="Q2168" t="s">
        <v>4662</v>
      </c>
    </row>
    <row r="2169" spans="1:17" x14ac:dyDescent="0.3">
      <c r="A2169" t="s">
        <v>17</v>
      </c>
      <c r="B2169" t="str">
        <f>"900923"</f>
        <v>900923</v>
      </c>
      <c r="C2169" t="s">
        <v>4663</v>
      </c>
      <c r="G2169">
        <v>2795732571.4727001</v>
      </c>
      <c r="H2169">
        <v>2627648913.4232001</v>
      </c>
      <c r="I2169">
        <v>2372061814.3959999</v>
      </c>
      <c r="J2169">
        <v>2557453617.8688002</v>
      </c>
      <c r="K2169">
        <v>2388271982.4000001</v>
      </c>
      <c r="L2169">
        <v>2331394060.842</v>
      </c>
      <c r="M2169">
        <v>2574633892.1627998</v>
      </c>
      <c r="N2169">
        <v>2135697448.5364001</v>
      </c>
      <c r="O2169">
        <v>1967379677.2920001</v>
      </c>
      <c r="P2169">
        <v>26</v>
      </c>
      <c r="Q2169" t="s">
        <v>4664</v>
      </c>
    </row>
    <row r="2170" spans="1:17" x14ac:dyDescent="0.3">
      <c r="A2170" t="s">
        <v>17</v>
      </c>
      <c r="B2170" t="str">
        <f>"900924"</f>
        <v>900924</v>
      </c>
      <c r="C2170" t="s">
        <v>4665</v>
      </c>
      <c r="G2170">
        <v>359133150.28009999</v>
      </c>
      <c r="H2170">
        <v>331849891.204</v>
      </c>
      <c r="I2170">
        <v>321749589.55000001</v>
      </c>
      <c r="J2170">
        <v>329504974.3872</v>
      </c>
      <c r="K2170">
        <v>275954311.00800002</v>
      </c>
      <c r="L2170">
        <v>273299809.398</v>
      </c>
      <c r="M2170">
        <v>257288930.6936</v>
      </c>
      <c r="N2170">
        <v>131481719.5272</v>
      </c>
      <c r="O2170">
        <v>117080463.5265</v>
      </c>
      <c r="P2170">
        <v>11</v>
      </c>
      <c r="Q2170" t="s">
        <v>4666</v>
      </c>
    </row>
    <row r="2171" spans="1:17" x14ac:dyDescent="0.3">
      <c r="A2171" t="s">
        <v>17</v>
      </c>
      <c r="B2171" t="str">
        <f>"900925"</f>
        <v>900925</v>
      </c>
      <c r="C2171" t="s">
        <v>4667</v>
      </c>
      <c r="G2171">
        <v>1823972760.0901</v>
      </c>
      <c r="H2171">
        <v>1633488870.6531999</v>
      </c>
      <c r="I2171">
        <v>1570918798.4935999</v>
      </c>
      <c r="J2171">
        <v>1541505675.4175999</v>
      </c>
      <c r="K2171">
        <v>1326900162.816</v>
      </c>
      <c r="L2171">
        <v>1250343160.3740001</v>
      </c>
      <c r="M2171">
        <v>1009211206.6712</v>
      </c>
      <c r="N2171">
        <v>950631952.79639995</v>
      </c>
      <c r="O2171">
        <v>819282271.13849998</v>
      </c>
      <c r="P2171">
        <v>83</v>
      </c>
      <c r="Q2171" t="s">
        <v>4668</v>
      </c>
    </row>
    <row r="2172" spans="1:17" x14ac:dyDescent="0.3">
      <c r="A2172" t="s">
        <v>17</v>
      </c>
      <c r="B2172" t="str">
        <f>"900926"</f>
        <v>900926</v>
      </c>
      <c r="C2172" t="s">
        <v>4669</v>
      </c>
      <c r="G2172">
        <v>1113565639.0222001</v>
      </c>
      <c r="H2172">
        <v>1014476485.3279999</v>
      </c>
      <c r="I2172">
        <v>961696714.69719994</v>
      </c>
      <c r="J2172">
        <v>686949803.82720006</v>
      </c>
      <c r="K2172">
        <v>597459053.37600005</v>
      </c>
      <c r="L2172">
        <v>602850330.08200002</v>
      </c>
      <c r="M2172">
        <v>411071874.31440002</v>
      </c>
      <c r="N2172">
        <v>278031290.25</v>
      </c>
      <c r="O2172">
        <v>236467950.36149999</v>
      </c>
      <c r="P2172">
        <v>63</v>
      </c>
      <c r="Q2172" t="s">
        <v>4670</v>
      </c>
    </row>
    <row r="2173" spans="1:17" x14ac:dyDescent="0.3">
      <c r="A2173" t="s">
        <v>17</v>
      </c>
      <c r="B2173" t="str">
        <f>"900927"</f>
        <v>900927</v>
      </c>
      <c r="C2173" t="s">
        <v>4671</v>
      </c>
      <c r="G2173">
        <v>120579986.8572</v>
      </c>
      <c r="H2173">
        <v>96364687.582399994</v>
      </c>
      <c r="I2173">
        <v>87746972.286799997</v>
      </c>
      <c r="J2173">
        <v>85905264.230399996</v>
      </c>
      <c r="K2173">
        <v>76332023.280000001</v>
      </c>
      <c r="L2173">
        <v>42702234.035999998</v>
      </c>
      <c r="M2173">
        <v>156856098.46399999</v>
      </c>
      <c r="N2173">
        <v>159451786.86919999</v>
      </c>
      <c r="O2173">
        <v>156540036.465</v>
      </c>
      <c r="P2173">
        <v>5</v>
      </c>
      <c r="Q2173" t="s">
        <v>4672</v>
      </c>
    </row>
    <row r="2174" spans="1:17" x14ac:dyDescent="0.3">
      <c r="A2174" t="s">
        <v>17</v>
      </c>
      <c r="B2174" t="str">
        <f>"900928"</f>
        <v>900928</v>
      </c>
      <c r="C2174" t="s">
        <v>4673</v>
      </c>
      <c r="G2174">
        <v>2222311191.3772998</v>
      </c>
      <c r="H2174">
        <v>1956346956.3492</v>
      </c>
      <c r="I2174">
        <v>990104747.87020004</v>
      </c>
      <c r="J2174">
        <v>999721466.41919994</v>
      </c>
      <c r="K2174">
        <v>665670052.65600002</v>
      </c>
      <c r="L2174">
        <v>479521401.28200001</v>
      </c>
      <c r="M2174">
        <v>21729407.133200001</v>
      </c>
      <c r="N2174">
        <v>32092581.799600001</v>
      </c>
      <c r="O2174">
        <v>29271497.907000002</v>
      </c>
      <c r="P2174">
        <v>14</v>
      </c>
      <c r="Q2174" t="s">
        <v>4674</v>
      </c>
    </row>
    <row r="2175" spans="1:17" x14ac:dyDescent="0.3">
      <c r="A2175" t="s">
        <v>17</v>
      </c>
      <c r="B2175" t="str">
        <f>"900929"</f>
        <v>900929</v>
      </c>
      <c r="C2175" t="s">
        <v>4675</v>
      </c>
      <c r="F2175">
        <v>118566284.60860001</v>
      </c>
      <c r="G2175">
        <v>114448810.2465</v>
      </c>
      <c r="H2175">
        <v>125118094.54279999</v>
      </c>
      <c r="I2175">
        <v>125265451.3246</v>
      </c>
      <c r="J2175">
        <v>176264546.76480001</v>
      </c>
      <c r="K2175">
        <v>168171639.12</v>
      </c>
      <c r="L2175">
        <v>195437224.752</v>
      </c>
      <c r="M2175">
        <v>191943903.2836</v>
      </c>
      <c r="N2175">
        <v>148655233.38119999</v>
      </c>
      <c r="O2175">
        <v>144697166.148</v>
      </c>
      <c r="P2175">
        <v>11</v>
      </c>
      <c r="Q2175" t="s">
        <v>4676</v>
      </c>
    </row>
    <row r="2176" spans="1:17" x14ac:dyDescent="0.3">
      <c r="A2176" t="s">
        <v>17</v>
      </c>
      <c r="B2176" t="str">
        <f>"900930"</f>
        <v>900930</v>
      </c>
      <c r="C2176" t="s">
        <v>4677</v>
      </c>
      <c r="H2176">
        <v>2253424.3319999999</v>
      </c>
      <c r="I2176">
        <v>24147046.478799999</v>
      </c>
      <c r="J2176">
        <v>56065250.611199997</v>
      </c>
      <c r="K2176">
        <v>115180826.40000001</v>
      </c>
      <c r="L2176">
        <v>195907957.4883</v>
      </c>
      <c r="M2176">
        <v>221120530.6593</v>
      </c>
      <c r="N2176">
        <v>224417005.882</v>
      </c>
      <c r="O2176">
        <v>215586887.1877</v>
      </c>
      <c r="P2176">
        <v>1</v>
      </c>
      <c r="Q2176" t="s">
        <v>4678</v>
      </c>
    </row>
    <row r="2177" spans="1:17" x14ac:dyDescent="0.3">
      <c r="A2177" t="s">
        <v>17</v>
      </c>
      <c r="B2177" t="str">
        <f>"900931"</f>
        <v>900931</v>
      </c>
      <c r="C2177" t="s">
        <v>4679</v>
      </c>
      <c r="K2177">
        <v>-6867386.2339000003</v>
      </c>
      <c r="L2177">
        <v>-9158794.4355999995</v>
      </c>
      <c r="M2177">
        <v>-10357678.6274</v>
      </c>
      <c r="N2177">
        <v>-12208420.930500001</v>
      </c>
      <c r="O2177">
        <v>-12008900.7281</v>
      </c>
      <c r="P2177">
        <v>1</v>
      </c>
      <c r="Q2177" t="s">
        <v>4680</v>
      </c>
    </row>
    <row r="2178" spans="1:17" x14ac:dyDescent="0.3">
      <c r="A2178" t="s">
        <v>17</v>
      </c>
      <c r="B2178" t="str">
        <f>"900932"</f>
        <v>900932</v>
      </c>
      <c r="C2178" t="s">
        <v>4681</v>
      </c>
      <c r="G2178">
        <v>3098643210.2438998</v>
      </c>
      <c r="H2178">
        <v>2601921727.4060001</v>
      </c>
      <c r="I2178">
        <v>2340203070.0524001</v>
      </c>
      <c r="J2178">
        <v>2199420111.8207998</v>
      </c>
      <c r="K2178">
        <v>1966698095.3280001</v>
      </c>
      <c r="L2178">
        <v>2001578406.0580001</v>
      </c>
      <c r="M2178">
        <v>1858398784.3668001</v>
      </c>
      <c r="N2178">
        <v>1862073929.2007999</v>
      </c>
      <c r="O2178">
        <v>1859281889.0174999</v>
      </c>
      <c r="P2178">
        <v>138</v>
      </c>
      <c r="Q2178" t="s">
        <v>4682</v>
      </c>
    </row>
    <row r="2179" spans="1:17" x14ac:dyDescent="0.3">
      <c r="A2179" t="s">
        <v>17</v>
      </c>
      <c r="B2179" t="str">
        <f>"900933"</f>
        <v>900933</v>
      </c>
      <c r="C2179" t="s">
        <v>4683</v>
      </c>
      <c r="G2179">
        <v>3604298999.7224998</v>
      </c>
      <c r="H2179">
        <v>3059978530.2839999</v>
      </c>
      <c r="I2179">
        <v>2424248787.9211998</v>
      </c>
      <c r="J2179">
        <v>1827809936.4863999</v>
      </c>
      <c r="K2179">
        <v>1439260449.552</v>
      </c>
      <c r="L2179">
        <v>1479273064.654</v>
      </c>
      <c r="M2179">
        <v>1576615834.3</v>
      </c>
      <c r="N2179">
        <v>1443925273.4563999</v>
      </c>
      <c r="O2179">
        <v>1241399657.934</v>
      </c>
      <c r="P2179">
        <v>142</v>
      </c>
      <c r="Q2179" t="s">
        <v>4684</v>
      </c>
    </row>
    <row r="2180" spans="1:17" x14ac:dyDescent="0.3">
      <c r="A2180" t="s">
        <v>17</v>
      </c>
      <c r="B2180" t="str">
        <f>"900934"</f>
        <v>900934</v>
      </c>
      <c r="C2180" t="s">
        <v>4685</v>
      </c>
      <c r="G2180">
        <v>1943412514.3562</v>
      </c>
      <c r="H2180">
        <v>1903435521.0668001</v>
      </c>
      <c r="I2180">
        <v>1835174832.5785999</v>
      </c>
      <c r="J2180">
        <v>1994388931.1231999</v>
      </c>
      <c r="K2180">
        <v>1843370273.0880001</v>
      </c>
      <c r="L2180">
        <v>1275705046.154</v>
      </c>
      <c r="M2180">
        <v>1402246288.8615999</v>
      </c>
      <c r="N2180">
        <v>717568352.98959994</v>
      </c>
      <c r="O2180">
        <v>681549113.80200005</v>
      </c>
      <c r="P2180">
        <v>47</v>
      </c>
      <c r="Q2180" t="s">
        <v>4686</v>
      </c>
    </row>
    <row r="2181" spans="1:17" x14ac:dyDescent="0.3">
      <c r="A2181" t="s">
        <v>17</v>
      </c>
      <c r="B2181" t="str">
        <f>"900935"</f>
        <v>900935</v>
      </c>
      <c r="C2181" t="s">
        <v>4687</v>
      </c>
      <c r="L2181">
        <v>96584095.9252</v>
      </c>
      <c r="M2181">
        <v>97773420.1558</v>
      </c>
      <c r="N2181">
        <v>93535006.938899994</v>
      </c>
      <c r="O2181">
        <v>84939424.190099999</v>
      </c>
      <c r="P2181">
        <v>1</v>
      </c>
      <c r="Q2181" t="s">
        <v>4688</v>
      </c>
    </row>
    <row r="2182" spans="1:17" x14ac:dyDescent="0.3">
      <c r="A2182" t="s">
        <v>17</v>
      </c>
      <c r="B2182" t="str">
        <f>"900936"</f>
        <v>900936</v>
      </c>
      <c r="C2182" t="s">
        <v>4689</v>
      </c>
      <c r="G2182">
        <v>2085391320.21</v>
      </c>
      <c r="H2182">
        <v>1814363923.2232001</v>
      </c>
      <c r="I2182">
        <v>1324499147.8738</v>
      </c>
      <c r="J2182">
        <v>1203612987.0336001</v>
      </c>
      <c r="K2182">
        <v>1047066993.936</v>
      </c>
      <c r="L2182">
        <v>1088833393.3399999</v>
      </c>
      <c r="M2182">
        <v>1118778532.9760001</v>
      </c>
      <c r="N2182">
        <v>1096652893.4312</v>
      </c>
      <c r="O2182">
        <v>963911955.222</v>
      </c>
      <c r="P2182">
        <v>53</v>
      </c>
      <c r="Q2182" t="s">
        <v>4690</v>
      </c>
    </row>
    <row r="2183" spans="1:17" x14ac:dyDescent="0.3">
      <c r="A2183" t="s">
        <v>17</v>
      </c>
      <c r="B2183" t="str">
        <f>"900937"</f>
        <v>900937</v>
      </c>
      <c r="C2183" t="s">
        <v>4691</v>
      </c>
      <c r="G2183">
        <v>92105942.494499996</v>
      </c>
      <c r="H2183">
        <v>238907884.34799999</v>
      </c>
      <c r="I2183">
        <v>228736408.25060001</v>
      </c>
      <c r="J2183">
        <v>354548151.8592</v>
      </c>
      <c r="K2183">
        <v>488422864.07999998</v>
      </c>
      <c r="L2183">
        <v>492116634.39399999</v>
      </c>
      <c r="M2183">
        <v>504747578.30119997</v>
      </c>
      <c r="N2183">
        <v>491650946.86400002</v>
      </c>
      <c r="O2183">
        <v>469250396.361</v>
      </c>
      <c r="P2183">
        <v>10</v>
      </c>
      <c r="Q2183" t="s">
        <v>4692</v>
      </c>
    </row>
    <row r="2184" spans="1:17" x14ac:dyDescent="0.3">
      <c r="A2184" t="s">
        <v>17</v>
      </c>
      <c r="B2184" t="str">
        <f>"900938"</f>
        <v>900938</v>
      </c>
      <c r="C2184" t="s">
        <v>4693</v>
      </c>
      <c r="G2184">
        <v>586468720.35000002</v>
      </c>
      <c r="H2184">
        <v>1991927296</v>
      </c>
      <c r="I2184">
        <v>1939700703</v>
      </c>
      <c r="J2184">
        <v>2059954022.4000001</v>
      </c>
      <c r="K2184">
        <v>1838852928</v>
      </c>
      <c r="L2184">
        <v>1869018901.904</v>
      </c>
      <c r="M2184">
        <v>1917507126.1164</v>
      </c>
      <c r="N2184">
        <v>6915535.9896</v>
      </c>
      <c r="O2184">
        <v>27518205.857999999</v>
      </c>
      <c r="P2184">
        <v>12</v>
      </c>
      <c r="Q2184" t="s">
        <v>4694</v>
      </c>
    </row>
    <row r="2185" spans="1:17" x14ac:dyDescent="0.3">
      <c r="A2185" t="s">
        <v>17</v>
      </c>
      <c r="B2185" t="str">
        <f>"900939"</f>
        <v>900939</v>
      </c>
      <c r="C2185" t="s">
        <v>4695</v>
      </c>
      <c r="F2185">
        <v>17135404.0275</v>
      </c>
      <c r="G2185">
        <v>14909668.454700001</v>
      </c>
      <c r="H2185">
        <v>11527135.308</v>
      </c>
      <c r="I2185">
        <v>10570012.067600001</v>
      </c>
      <c r="J2185">
        <v>10947789.004799999</v>
      </c>
      <c r="K2185">
        <v>9636874.1280000005</v>
      </c>
      <c r="L2185">
        <v>8545879.6500000004</v>
      </c>
      <c r="M2185">
        <v>8258358.5344000002</v>
      </c>
      <c r="N2185">
        <v>8297433.3288000003</v>
      </c>
      <c r="O2185">
        <v>9241564.4804999996</v>
      </c>
      <c r="P2185">
        <v>7</v>
      </c>
      <c r="Q2185" t="s">
        <v>4696</v>
      </c>
    </row>
    <row r="2186" spans="1:17" x14ac:dyDescent="0.3">
      <c r="A2186" t="s">
        <v>17</v>
      </c>
      <c r="B2186" t="str">
        <f>"900940"</f>
        <v>900940</v>
      </c>
      <c r="C2186" t="s">
        <v>4697</v>
      </c>
      <c r="G2186">
        <v>2007867085.4138</v>
      </c>
      <c r="H2186">
        <v>1855459969.4607999</v>
      </c>
      <c r="I2186">
        <v>1767272224.3</v>
      </c>
      <c r="J2186">
        <v>1817354376.6528001</v>
      </c>
      <c r="K2186">
        <v>1529229689.8559999</v>
      </c>
      <c r="L2186">
        <v>769063658.59399998</v>
      </c>
      <c r="M2186">
        <v>893790761.56239998</v>
      </c>
      <c r="N2186">
        <v>433885971.8452</v>
      </c>
      <c r="O2186">
        <v>380541891.79949999</v>
      </c>
      <c r="P2186">
        <v>15</v>
      </c>
      <c r="Q2186" t="s">
        <v>4698</v>
      </c>
    </row>
    <row r="2187" spans="1:17" x14ac:dyDescent="0.3">
      <c r="A2187" t="s">
        <v>17</v>
      </c>
      <c r="B2187" t="str">
        <f>"900941"</f>
        <v>900941</v>
      </c>
      <c r="C2187" t="s">
        <v>4699</v>
      </c>
      <c r="G2187">
        <v>487167332.35369998</v>
      </c>
      <c r="H2187">
        <v>449706977.25319999</v>
      </c>
      <c r="I2187">
        <v>446941834.15560001</v>
      </c>
      <c r="J2187">
        <v>464092095.4368</v>
      </c>
      <c r="K2187">
        <v>428916133.72799999</v>
      </c>
      <c r="L2187">
        <v>455558705.602</v>
      </c>
      <c r="M2187">
        <v>461867784.27920002</v>
      </c>
      <c r="N2187">
        <v>453103530.24440002</v>
      </c>
      <c r="O2187">
        <v>424528345.41000003</v>
      </c>
      <c r="P2187">
        <v>8</v>
      </c>
      <c r="Q2187" t="s">
        <v>4700</v>
      </c>
    </row>
    <row r="2188" spans="1:17" x14ac:dyDescent="0.3">
      <c r="A2188" t="s">
        <v>17</v>
      </c>
      <c r="B2188" t="str">
        <f>"900942"</f>
        <v>900942</v>
      </c>
      <c r="C2188" t="s">
        <v>4701</v>
      </c>
      <c r="G2188">
        <v>651802248.66970003</v>
      </c>
      <c r="H2188">
        <v>625963706.05879998</v>
      </c>
      <c r="I2188">
        <v>593595056.96619999</v>
      </c>
      <c r="J2188">
        <v>635747447.96159995</v>
      </c>
      <c r="K2188">
        <v>598647090.38399994</v>
      </c>
      <c r="L2188">
        <v>458500569.60399997</v>
      </c>
      <c r="M2188">
        <v>358042180.32440001</v>
      </c>
      <c r="N2188">
        <v>335474494.82120001</v>
      </c>
      <c r="O2188">
        <v>305118481.18349999</v>
      </c>
      <c r="P2188">
        <v>55</v>
      </c>
      <c r="Q2188" t="s">
        <v>4702</v>
      </c>
    </row>
    <row r="2189" spans="1:17" x14ac:dyDescent="0.3">
      <c r="A2189" t="s">
        <v>17</v>
      </c>
      <c r="B2189" t="str">
        <f>"900943"</f>
        <v>900943</v>
      </c>
      <c r="C2189" t="s">
        <v>4703</v>
      </c>
      <c r="G2189">
        <v>78948690.990600005</v>
      </c>
      <c r="H2189">
        <v>73934757.887199998</v>
      </c>
      <c r="I2189">
        <v>72027863.4912</v>
      </c>
      <c r="J2189">
        <v>76244478.105599999</v>
      </c>
      <c r="K2189">
        <v>70264925.136000007</v>
      </c>
      <c r="L2189">
        <v>78757463.091999993</v>
      </c>
      <c r="M2189">
        <v>65824139.601999998</v>
      </c>
      <c r="N2189">
        <v>62443855.487999998</v>
      </c>
      <c r="O2189">
        <v>55033878.704999998</v>
      </c>
      <c r="P2189">
        <v>3</v>
      </c>
      <c r="Q2189" t="s">
        <v>4704</v>
      </c>
    </row>
    <row r="2190" spans="1:17" x14ac:dyDescent="0.3">
      <c r="A2190" t="s">
        <v>17</v>
      </c>
      <c r="B2190" t="str">
        <f>"900945"</f>
        <v>900945</v>
      </c>
      <c r="C2190" t="s">
        <v>4705</v>
      </c>
      <c r="G2190">
        <v>-4338287899.9200001</v>
      </c>
      <c r="H2190">
        <v>6748788586</v>
      </c>
      <c r="I2190">
        <v>7040211148.6000004</v>
      </c>
      <c r="J2190">
        <v>8047913779.1999998</v>
      </c>
      <c r="K2190">
        <v>7325897616</v>
      </c>
      <c r="L2190">
        <v>4771159624</v>
      </c>
      <c r="M2190">
        <v>4618643562</v>
      </c>
      <c r="N2190">
        <v>4197582989.5999999</v>
      </c>
      <c r="O2190">
        <v>3819510466.5</v>
      </c>
      <c r="P2190">
        <v>7</v>
      </c>
      <c r="Q2190" t="s">
        <v>4706</v>
      </c>
    </row>
    <row r="2191" spans="1:17" x14ac:dyDescent="0.3">
      <c r="A2191" t="s">
        <v>17</v>
      </c>
      <c r="B2191" t="str">
        <f>"900946"</f>
        <v>900946</v>
      </c>
      <c r="C2191" t="s">
        <v>4707</v>
      </c>
      <c r="G2191">
        <v>119182559.6461</v>
      </c>
      <c r="H2191">
        <v>109557912.7396</v>
      </c>
      <c r="I2191">
        <v>71004675.112599999</v>
      </c>
      <c r="J2191">
        <v>88670370.355199993</v>
      </c>
      <c r="K2191">
        <v>95230051.920000002</v>
      </c>
      <c r="L2191">
        <v>100303823.928</v>
      </c>
      <c r="M2191">
        <v>112556003.48199999</v>
      </c>
      <c r="N2191">
        <v>112976218.558</v>
      </c>
      <c r="O2191">
        <v>100288957.69949999</v>
      </c>
      <c r="P2191">
        <v>3</v>
      </c>
      <c r="Q2191" t="s">
        <v>4708</v>
      </c>
    </row>
    <row r="2192" spans="1:17" x14ac:dyDescent="0.3">
      <c r="A2192" t="s">
        <v>17</v>
      </c>
      <c r="B2192" t="str">
        <f>"900947"</f>
        <v>900947</v>
      </c>
      <c r="C2192" t="s">
        <v>4709</v>
      </c>
      <c r="G2192">
        <v>2151569413.4274001</v>
      </c>
      <c r="H2192">
        <v>2232032816.4103999</v>
      </c>
      <c r="I2192">
        <v>2208024327.8207998</v>
      </c>
      <c r="J2192">
        <v>2305736657.8175998</v>
      </c>
      <c r="K2192">
        <v>2188330021.8720002</v>
      </c>
      <c r="L2192">
        <v>2289914223.9819999</v>
      </c>
      <c r="M2192">
        <v>2382633334.1719999</v>
      </c>
      <c r="N2192">
        <v>2397151918.0812001</v>
      </c>
      <c r="O2192">
        <v>2280857891.658</v>
      </c>
      <c r="P2192">
        <v>18</v>
      </c>
      <c r="Q2192" t="s">
        <v>4710</v>
      </c>
    </row>
    <row r="2193" spans="1:17" x14ac:dyDescent="0.3">
      <c r="A2193" t="s">
        <v>17</v>
      </c>
      <c r="B2193" t="str">
        <f>"900948"</f>
        <v>900948</v>
      </c>
      <c r="C2193" t="s">
        <v>4711</v>
      </c>
      <c r="F2193">
        <v>6410070758.7250996</v>
      </c>
      <c r="G2193">
        <v>5055361319.2938995</v>
      </c>
      <c r="H2193">
        <v>5015513526.8556004</v>
      </c>
      <c r="I2193">
        <v>4828365708.6337996</v>
      </c>
      <c r="J2193">
        <v>4405689207.0911999</v>
      </c>
      <c r="K2193">
        <v>3458275217.7119999</v>
      </c>
      <c r="L2193">
        <v>3411319111.3540001</v>
      </c>
      <c r="M2193">
        <v>3696596460.7571998</v>
      </c>
      <c r="N2193">
        <v>3493950357.6683998</v>
      </c>
      <c r="O2193">
        <v>3161755173.5504999</v>
      </c>
      <c r="P2193">
        <v>225</v>
      </c>
      <c r="Q2193" t="s">
        <v>4712</v>
      </c>
    </row>
    <row r="2194" spans="1:17" x14ac:dyDescent="0.3">
      <c r="A2194" t="s">
        <v>17</v>
      </c>
      <c r="B2194" t="str">
        <f>"900949"</f>
        <v>900949</v>
      </c>
      <c r="C2194" t="s">
        <v>4713</v>
      </c>
      <c r="O2194">
        <v>1581257623.6747999</v>
      </c>
      <c r="P2194">
        <v>2</v>
      </c>
      <c r="Q2194" t="s">
        <v>4714</v>
      </c>
    </row>
    <row r="2195" spans="1:17" x14ac:dyDescent="0.3">
      <c r="A2195" t="s">
        <v>17</v>
      </c>
      <c r="B2195" t="str">
        <f>"900950"</f>
        <v>900950</v>
      </c>
      <c r="C2195" t="s">
        <v>4715</v>
      </c>
      <c r="M2195">
        <v>1245978236.1654999</v>
      </c>
      <c r="N2195">
        <v>1094490508.7118001</v>
      </c>
      <c r="O2195">
        <v>828192974.06889999</v>
      </c>
      <c r="P2195">
        <v>7</v>
      </c>
      <c r="Q2195" t="s">
        <v>4716</v>
      </c>
    </row>
    <row r="2196" spans="1:17" x14ac:dyDescent="0.3">
      <c r="A2196" t="s">
        <v>17</v>
      </c>
      <c r="B2196" t="str">
        <f>"900951"</f>
        <v>900951</v>
      </c>
      <c r="C2196" t="s">
        <v>4717</v>
      </c>
      <c r="H2196">
        <v>-26357158.786400001</v>
      </c>
      <c r="I2196">
        <v>7727631.96</v>
      </c>
      <c r="J2196">
        <v>29458955.0592</v>
      </c>
      <c r="K2196">
        <v>23468945.328000002</v>
      </c>
      <c r="L2196">
        <v>38534582.281599998</v>
      </c>
      <c r="M2196">
        <v>55560675.343099996</v>
      </c>
      <c r="N2196">
        <v>7499439.1363000004</v>
      </c>
      <c r="O2196">
        <v>27774939.008099999</v>
      </c>
      <c r="P2196">
        <v>2</v>
      </c>
      <c r="Q2196" t="s">
        <v>4718</v>
      </c>
    </row>
    <row r="2197" spans="1:17" x14ac:dyDescent="0.3">
      <c r="A2197" t="s">
        <v>17</v>
      </c>
      <c r="B2197" t="str">
        <f>"900952"</f>
        <v>900952</v>
      </c>
      <c r="C2197" t="s">
        <v>4719</v>
      </c>
      <c r="G2197">
        <v>990581277.12870002</v>
      </c>
      <c r="H2197">
        <v>909133626.05239999</v>
      </c>
      <c r="I2197">
        <v>905335860.41900003</v>
      </c>
      <c r="J2197">
        <v>924812582.55359995</v>
      </c>
      <c r="K2197">
        <v>849470570.352</v>
      </c>
      <c r="L2197">
        <v>906034303.63600004</v>
      </c>
      <c r="M2197">
        <v>937205901.75160003</v>
      </c>
      <c r="N2197">
        <v>930660667.08440006</v>
      </c>
      <c r="O2197">
        <v>656062803.91799998</v>
      </c>
      <c r="P2197">
        <v>8</v>
      </c>
      <c r="Q2197" t="s">
        <v>4720</v>
      </c>
    </row>
    <row r="2198" spans="1:17" x14ac:dyDescent="0.3">
      <c r="A2198" t="s">
        <v>17</v>
      </c>
      <c r="B2198" t="str">
        <f>"900953"</f>
        <v>900953</v>
      </c>
      <c r="C2198" t="s">
        <v>4721</v>
      </c>
      <c r="F2198">
        <v>95371270.689899996</v>
      </c>
      <c r="G2198">
        <v>120242329.3132</v>
      </c>
      <c r="H2198">
        <v>110518597.02680001</v>
      </c>
      <c r="I2198">
        <v>109508543.7634</v>
      </c>
      <c r="J2198">
        <v>133758898.63680001</v>
      </c>
      <c r="K2198">
        <v>121427871.40800001</v>
      </c>
      <c r="L2198">
        <v>129016683.02599999</v>
      </c>
      <c r="M2198">
        <v>133827552.1596</v>
      </c>
      <c r="N2198">
        <v>162299609.206</v>
      </c>
      <c r="O2198">
        <v>156748332.40200001</v>
      </c>
      <c r="P2198">
        <v>6</v>
      </c>
      <c r="Q2198" t="s">
        <v>4722</v>
      </c>
    </row>
    <row r="2199" spans="1:17" x14ac:dyDescent="0.3">
      <c r="A2199" t="s">
        <v>17</v>
      </c>
      <c r="B2199" t="str">
        <f>"900955"</f>
        <v>900955</v>
      </c>
      <c r="C2199" t="s">
        <v>4723</v>
      </c>
      <c r="G2199">
        <v>128857695.2401</v>
      </c>
      <c r="H2199">
        <v>150598508.41159999</v>
      </c>
      <c r="I2199">
        <v>201070462.7994</v>
      </c>
      <c r="J2199">
        <v>248385107.09760001</v>
      </c>
      <c r="K2199">
        <v>223203079.296</v>
      </c>
      <c r="L2199">
        <v>270691416.22600001</v>
      </c>
      <c r="M2199">
        <v>271312499.22399998</v>
      </c>
      <c r="N2199">
        <v>270794470.98760003</v>
      </c>
      <c r="O2199">
        <v>258899059.125</v>
      </c>
      <c r="P2199">
        <v>4</v>
      </c>
      <c r="Q2199" t="s">
        <v>4724</v>
      </c>
    </row>
    <row r="2200" spans="1:17" x14ac:dyDescent="0.3">
      <c r="A2200" t="s">
        <v>17</v>
      </c>
      <c r="B2200" t="str">
        <f>"900956"</f>
        <v>900956</v>
      </c>
      <c r="C2200" t="s">
        <v>4725</v>
      </c>
      <c r="H2200">
        <v>191374544.49039999</v>
      </c>
      <c r="I2200">
        <v>182752908.4228</v>
      </c>
      <c r="J2200">
        <v>176206200.26879999</v>
      </c>
      <c r="K2200">
        <v>156547419.84</v>
      </c>
      <c r="L2200">
        <v>154610244.79210001</v>
      </c>
      <c r="M2200">
        <v>150530611.78420001</v>
      </c>
      <c r="N2200">
        <v>148255867.27770001</v>
      </c>
      <c r="O2200">
        <v>129010044.47409999</v>
      </c>
      <c r="P2200">
        <v>10</v>
      </c>
      <c r="Q2200" t="s">
        <v>4726</v>
      </c>
    </row>
    <row r="2201" spans="1:17" x14ac:dyDescent="0.3">
      <c r="A2201" t="s">
        <v>17</v>
      </c>
      <c r="B2201" t="str">
        <f>"900957"</f>
        <v>900957</v>
      </c>
      <c r="C2201" t="s">
        <v>4727</v>
      </c>
      <c r="F2201">
        <v>82436303.858999997</v>
      </c>
      <c r="G2201">
        <v>76135574.679800004</v>
      </c>
      <c r="H2201">
        <v>68368264.7192</v>
      </c>
      <c r="I2201">
        <v>65547066.047399998</v>
      </c>
      <c r="J2201">
        <v>64988771.020800002</v>
      </c>
      <c r="K2201">
        <v>56602381.248000003</v>
      </c>
      <c r="L2201">
        <v>61198507.215999998</v>
      </c>
      <c r="M2201">
        <v>63517780.273999996</v>
      </c>
      <c r="N2201">
        <v>64057834.047200002</v>
      </c>
      <c r="O2201">
        <v>61083412.444499999</v>
      </c>
      <c r="P2201">
        <v>2</v>
      </c>
      <c r="Q2201" t="s">
        <v>4728</v>
      </c>
    </row>
    <row r="2202" spans="1:17" x14ac:dyDescent="0.3">
      <c r="A2202" t="s">
        <v>4729</v>
      </c>
      <c r="B2202" t="str">
        <f>"000001"</f>
        <v>000001</v>
      </c>
      <c r="C2202" t="s">
        <v>4730</v>
      </c>
      <c r="D2202" t="s">
        <v>19</v>
      </c>
      <c r="F2202">
        <v>325504000000</v>
      </c>
      <c r="G2202">
        <v>294187000000</v>
      </c>
      <c r="H2202">
        <v>273035000000</v>
      </c>
      <c r="I2202">
        <v>220089000000</v>
      </c>
      <c r="J2202">
        <v>202101000000</v>
      </c>
      <c r="K2202">
        <v>182218000000</v>
      </c>
      <c r="L2202">
        <v>161500000000</v>
      </c>
      <c r="M2202">
        <v>130949000000</v>
      </c>
      <c r="N2202">
        <v>112081000000</v>
      </c>
      <c r="O2202">
        <v>84798775000</v>
      </c>
      <c r="P2202">
        <v>6180</v>
      </c>
      <c r="Q2202" t="s">
        <v>4731</v>
      </c>
    </row>
    <row r="2203" spans="1:17" x14ac:dyDescent="0.3">
      <c r="A2203" t="s">
        <v>4729</v>
      </c>
      <c r="B2203" t="str">
        <f>"000002"</f>
        <v>000002</v>
      </c>
      <c r="C2203" t="s">
        <v>4732</v>
      </c>
      <c r="D2203" t="s">
        <v>104</v>
      </c>
      <c r="F2203">
        <v>235953134212</v>
      </c>
      <c r="G2203">
        <v>224510952749</v>
      </c>
      <c r="H2203">
        <v>188058491913</v>
      </c>
      <c r="I2203">
        <v>155764131544</v>
      </c>
      <c r="J2203">
        <v>132675315293</v>
      </c>
      <c r="K2203">
        <v>113444766723</v>
      </c>
      <c r="L2203">
        <v>100183517822</v>
      </c>
      <c r="M2203">
        <v>88164569909</v>
      </c>
      <c r="N2203">
        <v>76895983340</v>
      </c>
      <c r="O2203">
        <v>63825553925</v>
      </c>
      <c r="P2203">
        <v>12436</v>
      </c>
      <c r="Q2203" t="s">
        <v>4733</v>
      </c>
    </row>
    <row r="2204" spans="1:17" x14ac:dyDescent="0.3">
      <c r="A2204" t="s">
        <v>4729</v>
      </c>
      <c r="B2204" t="str">
        <f>"000003"</f>
        <v>000003</v>
      </c>
      <c r="C2204" t="s">
        <v>4734</v>
      </c>
      <c r="K2204">
        <v>73716490.260000005</v>
      </c>
      <c r="L2204">
        <v>-1782198352.98</v>
      </c>
      <c r="M2204">
        <v>-3299866942.9099998</v>
      </c>
      <c r="N2204">
        <v>-3286908709.1399999</v>
      </c>
      <c r="O2204">
        <v>-3292266174.0599999</v>
      </c>
      <c r="P2204">
        <v>12</v>
      </c>
      <c r="Q2204" t="s">
        <v>4735</v>
      </c>
    </row>
    <row r="2205" spans="1:17" x14ac:dyDescent="0.3">
      <c r="A2205" t="s">
        <v>4729</v>
      </c>
      <c r="B2205" t="str">
        <f>"000004"</f>
        <v>000004</v>
      </c>
      <c r="C2205" t="s">
        <v>4736</v>
      </c>
      <c r="D2205" t="s">
        <v>1189</v>
      </c>
      <c r="F2205">
        <v>947687385</v>
      </c>
      <c r="G2205">
        <v>1456803734</v>
      </c>
      <c r="H2205">
        <v>1389777903</v>
      </c>
      <c r="I2205">
        <v>109235776</v>
      </c>
      <c r="J2205">
        <v>129389207</v>
      </c>
      <c r="K2205">
        <v>120822486</v>
      </c>
      <c r="L2205">
        <v>81523176</v>
      </c>
      <c r="M2205">
        <v>80275790</v>
      </c>
      <c r="N2205">
        <v>76420465</v>
      </c>
      <c r="O2205">
        <v>77453842</v>
      </c>
      <c r="P2205">
        <v>187</v>
      </c>
      <c r="Q2205" t="s">
        <v>4737</v>
      </c>
    </row>
    <row r="2206" spans="1:17" x14ac:dyDescent="0.3">
      <c r="A2206" t="s">
        <v>4729</v>
      </c>
      <c r="B2206" t="str">
        <f>"000005"</f>
        <v>000005</v>
      </c>
      <c r="C2206" t="s">
        <v>4738</v>
      </c>
      <c r="D2206" t="s">
        <v>3575</v>
      </c>
      <c r="F2206">
        <v>1374244340</v>
      </c>
      <c r="G2206">
        <v>1239944020</v>
      </c>
      <c r="H2206">
        <v>1650310973</v>
      </c>
      <c r="I2206">
        <v>1489259827</v>
      </c>
      <c r="J2206">
        <v>1322511167</v>
      </c>
      <c r="K2206">
        <v>1282520769</v>
      </c>
      <c r="L2206">
        <v>1148711287</v>
      </c>
      <c r="M2206">
        <v>669715029</v>
      </c>
      <c r="N2206">
        <v>624244271</v>
      </c>
      <c r="O2206">
        <v>682099362</v>
      </c>
      <c r="P2206">
        <v>87</v>
      </c>
      <c r="Q2206" t="s">
        <v>4739</v>
      </c>
    </row>
    <row r="2207" spans="1:17" x14ac:dyDescent="0.3">
      <c r="A2207" t="s">
        <v>4729</v>
      </c>
      <c r="B2207" t="str">
        <f>"000006"</f>
        <v>000006</v>
      </c>
      <c r="C2207" t="s">
        <v>4740</v>
      </c>
      <c r="D2207" t="s">
        <v>104</v>
      </c>
      <c r="F2207">
        <v>7645579620</v>
      </c>
      <c r="G2207">
        <v>7364438479</v>
      </c>
      <c r="H2207">
        <v>6735583248</v>
      </c>
      <c r="I2207">
        <v>6197669183</v>
      </c>
      <c r="J2207">
        <v>5567774927</v>
      </c>
      <c r="K2207">
        <v>5005137671</v>
      </c>
      <c r="L2207">
        <v>4393080213</v>
      </c>
      <c r="M2207">
        <v>4134453952</v>
      </c>
      <c r="N2207">
        <v>4092958302</v>
      </c>
      <c r="O2207">
        <v>3455619766</v>
      </c>
      <c r="P2207">
        <v>424</v>
      </c>
      <c r="Q2207" t="s">
        <v>4741</v>
      </c>
    </row>
    <row r="2208" spans="1:17" x14ac:dyDescent="0.3">
      <c r="A2208" t="s">
        <v>4729</v>
      </c>
      <c r="B2208" t="str">
        <f>"000007"</f>
        <v>000007</v>
      </c>
      <c r="C2208" t="s">
        <v>4742</v>
      </c>
      <c r="D2208" t="s">
        <v>271</v>
      </c>
      <c r="F2208">
        <v>101314443</v>
      </c>
      <c r="G2208">
        <v>64471874</v>
      </c>
      <c r="H2208">
        <v>209348140</v>
      </c>
      <c r="I2208">
        <v>190712228</v>
      </c>
      <c r="J2208">
        <v>386924297</v>
      </c>
      <c r="K2208">
        <v>370470646</v>
      </c>
      <c r="L2208">
        <v>369207912</v>
      </c>
      <c r="M2208">
        <v>354899824</v>
      </c>
      <c r="N2208">
        <v>346990314</v>
      </c>
      <c r="O2208">
        <v>288150700</v>
      </c>
      <c r="P2208">
        <v>93</v>
      </c>
      <c r="Q2208" t="s">
        <v>4743</v>
      </c>
    </row>
    <row r="2209" spans="1:17" x14ac:dyDescent="0.3">
      <c r="A2209" t="s">
        <v>4729</v>
      </c>
      <c r="B2209" t="str">
        <f>"000008"</f>
        <v>000008</v>
      </c>
      <c r="C2209" t="s">
        <v>4744</v>
      </c>
      <c r="D2209" t="s">
        <v>1012</v>
      </c>
      <c r="F2209">
        <v>5202464695</v>
      </c>
      <c r="G2209">
        <v>6544641780</v>
      </c>
      <c r="H2209">
        <v>7457799325</v>
      </c>
      <c r="I2209">
        <v>7313025954</v>
      </c>
      <c r="J2209">
        <v>7105441040</v>
      </c>
      <c r="K2209">
        <v>6113006765</v>
      </c>
      <c r="L2209">
        <v>2908062000</v>
      </c>
      <c r="M2209">
        <v>571352134</v>
      </c>
      <c r="N2209">
        <v>563584360</v>
      </c>
      <c r="O2209">
        <v>540826406</v>
      </c>
      <c r="P2209">
        <v>301</v>
      </c>
      <c r="Q2209" t="s">
        <v>4745</v>
      </c>
    </row>
    <row r="2210" spans="1:17" x14ac:dyDescent="0.3">
      <c r="A2210" t="s">
        <v>4729</v>
      </c>
      <c r="B2210" t="str">
        <f>"000009"</f>
        <v>000009</v>
      </c>
      <c r="C2210" t="s">
        <v>4746</v>
      </c>
      <c r="D2210" t="s">
        <v>1790</v>
      </c>
      <c r="F2210">
        <v>8000289198</v>
      </c>
      <c r="G2210">
        <v>6921863094</v>
      </c>
      <c r="H2210">
        <v>5534993366</v>
      </c>
      <c r="I2210">
        <v>5270581718</v>
      </c>
      <c r="J2210">
        <v>4999547608</v>
      </c>
      <c r="K2210">
        <v>4472675045</v>
      </c>
      <c r="L2210">
        <v>4433639789</v>
      </c>
      <c r="M2210">
        <v>3277533836</v>
      </c>
      <c r="N2210">
        <v>3201730332</v>
      </c>
      <c r="O2210">
        <v>2989144502</v>
      </c>
      <c r="P2210">
        <v>468</v>
      </c>
      <c r="Q2210" t="s">
        <v>4747</v>
      </c>
    </row>
    <row r="2211" spans="1:17" x14ac:dyDescent="0.3">
      <c r="A2211" t="s">
        <v>4729</v>
      </c>
      <c r="B2211" t="str">
        <f>"000010"</f>
        <v>000010</v>
      </c>
      <c r="C2211" t="s">
        <v>4748</v>
      </c>
      <c r="D2211" t="s">
        <v>2417</v>
      </c>
      <c r="F2211">
        <v>517191181</v>
      </c>
      <c r="G2211">
        <v>491517102</v>
      </c>
      <c r="H2211">
        <v>445959696</v>
      </c>
      <c r="I2211">
        <v>419334878</v>
      </c>
      <c r="J2211">
        <v>1154312658</v>
      </c>
      <c r="K2211">
        <v>2203063094</v>
      </c>
      <c r="L2211">
        <v>2162823000</v>
      </c>
      <c r="M2211">
        <v>546274241</v>
      </c>
      <c r="N2211">
        <v>620450704</v>
      </c>
      <c r="O2211">
        <v>56088106</v>
      </c>
      <c r="P2211">
        <v>93</v>
      </c>
      <c r="Q2211" t="s">
        <v>4749</v>
      </c>
    </row>
    <row r="2212" spans="1:17" x14ac:dyDescent="0.3">
      <c r="A2212" t="s">
        <v>4729</v>
      </c>
      <c r="B2212" t="str">
        <f>"000011"</f>
        <v>000011</v>
      </c>
      <c r="C2212" t="s">
        <v>4750</v>
      </c>
      <c r="D2212" t="s">
        <v>104</v>
      </c>
      <c r="F2212">
        <v>4486110790</v>
      </c>
      <c r="G2212">
        <v>3727917440</v>
      </c>
      <c r="H2212">
        <v>3147949009</v>
      </c>
      <c r="I2212">
        <v>3337949325</v>
      </c>
      <c r="J2212">
        <v>2921693794</v>
      </c>
      <c r="K2212">
        <v>2410434736</v>
      </c>
      <c r="L2212">
        <v>2099906767</v>
      </c>
      <c r="M2212">
        <v>2074242662</v>
      </c>
      <c r="N2212">
        <v>1802781293</v>
      </c>
      <c r="O2212">
        <v>1503156543</v>
      </c>
      <c r="P2212">
        <v>479</v>
      </c>
      <c r="Q2212" t="s">
        <v>4751</v>
      </c>
    </row>
    <row r="2213" spans="1:17" x14ac:dyDescent="0.3">
      <c r="A2213" t="s">
        <v>4729</v>
      </c>
      <c r="B2213" t="str">
        <f>"000012"</f>
        <v>000012</v>
      </c>
      <c r="C2213" t="s">
        <v>4752</v>
      </c>
      <c r="D2213" t="s">
        <v>666</v>
      </c>
      <c r="F2213">
        <v>11429661046</v>
      </c>
      <c r="G2213">
        <v>10212989847</v>
      </c>
      <c r="H2213">
        <v>9495588878</v>
      </c>
      <c r="I2213">
        <v>9103154571</v>
      </c>
      <c r="J2213">
        <v>8458587873</v>
      </c>
      <c r="K2213">
        <v>7808915004</v>
      </c>
      <c r="L2213">
        <v>7642390997</v>
      </c>
      <c r="M2213">
        <v>8208741765</v>
      </c>
      <c r="N2213">
        <v>7993794139</v>
      </c>
      <c r="O2213">
        <v>6816210753</v>
      </c>
      <c r="P2213">
        <v>409</v>
      </c>
      <c r="Q2213" t="s">
        <v>4753</v>
      </c>
    </row>
    <row r="2214" spans="1:17" x14ac:dyDescent="0.3">
      <c r="A2214" t="s">
        <v>4729</v>
      </c>
      <c r="B2214" t="str">
        <f>"000014"</f>
        <v>000014</v>
      </c>
      <c r="C2214" t="s">
        <v>4754</v>
      </c>
      <c r="D2214" t="s">
        <v>104</v>
      </c>
      <c r="F2214">
        <v>928065953</v>
      </c>
      <c r="G2214">
        <v>894255498</v>
      </c>
      <c r="H2214">
        <v>891158816</v>
      </c>
      <c r="I2214">
        <v>884795947</v>
      </c>
      <c r="J2214">
        <v>740812581</v>
      </c>
      <c r="K2214">
        <v>736207555</v>
      </c>
      <c r="L2214">
        <v>715073740</v>
      </c>
      <c r="M2214">
        <v>665941387</v>
      </c>
      <c r="N2214">
        <v>608123409</v>
      </c>
      <c r="O2214">
        <v>584411615</v>
      </c>
      <c r="P2214">
        <v>96</v>
      </c>
      <c r="Q2214" t="s">
        <v>4755</v>
      </c>
    </row>
    <row r="2215" spans="1:17" x14ac:dyDescent="0.3">
      <c r="A2215" t="s">
        <v>4729</v>
      </c>
      <c r="B2215" t="str">
        <f>"000015"</f>
        <v>000015</v>
      </c>
      <c r="C2215" t="s">
        <v>4756</v>
      </c>
      <c r="K2215">
        <v>2213907718.0100002</v>
      </c>
      <c r="L2215">
        <v>2168239651.5799999</v>
      </c>
      <c r="M2215">
        <v>-1915063590.6099999</v>
      </c>
      <c r="N2215">
        <v>-1866895862.6300001</v>
      </c>
      <c r="O2215">
        <v>-1811353604.3</v>
      </c>
      <c r="P2215">
        <v>13</v>
      </c>
      <c r="Q2215" t="s">
        <v>4757</v>
      </c>
    </row>
    <row r="2216" spans="1:17" x14ac:dyDescent="0.3">
      <c r="A2216" t="s">
        <v>4729</v>
      </c>
      <c r="B2216" t="str">
        <f>"000016"</f>
        <v>000016</v>
      </c>
      <c r="C2216" t="s">
        <v>4758</v>
      </c>
      <c r="D2216" t="s">
        <v>137</v>
      </c>
      <c r="F2216">
        <v>9095278436</v>
      </c>
      <c r="G2216">
        <v>8428640177</v>
      </c>
      <c r="H2216">
        <v>8068505598</v>
      </c>
      <c r="I2216">
        <v>8104736791</v>
      </c>
      <c r="J2216">
        <v>7994145477</v>
      </c>
      <c r="K2216">
        <v>2901481607</v>
      </c>
      <c r="L2216">
        <v>2814382871</v>
      </c>
      <c r="M2216">
        <v>4103478971</v>
      </c>
      <c r="N2216">
        <v>4080458152</v>
      </c>
      <c r="O2216">
        <v>4043591539</v>
      </c>
      <c r="P2216">
        <v>266</v>
      </c>
      <c r="Q2216" t="s">
        <v>4759</v>
      </c>
    </row>
    <row r="2217" spans="1:17" x14ac:dyDescent="0.3">
      <c r="A2217" t="s">
        <v>4729</v>
      </c>
      <c r="B2217" t="str">
        <f>"000017"</f>
        <v>000017</v>
      </c>
      <c r="C2217" t="s">
        <v>4760</v>
      </c>
      <c r="D2217" t="s">
        <v>233</v>
      </c>
      <c r="F2217">
        <v>8918538</v>
      </c>
      <c r="G2217">
        <v>10905231</v>
      </c>
      <c r="H2217">
        <v>7119396</v>
      </c>
      <c r="I2217">
        <v>14306302</v>
      </c>
      <c r="J2217">
        <v>15898271</v>
      </c>
      <c r="K2217">
        <v>14368684</v>
      </c>
      <c r="L2217">
        <v>11765046</v>
      </c>
      <c r="M2217">
        <v>11903348</v>
      </c>
      <c r="N2217">
        <v>7003335</v>
      </c>
      <c r="O2217">
        <v>-1709451256</v>
      </c>
      <c r="P2217">
        <v>64</v>
      </c>
      <c r="Q2217" t="s">
        <v>4761</v>
      </c>
    </row>
    <row r="2218" spans="1:17" x14ac:dyDescent="0.3">
      <c r="A2218" t="s">
        <v>4729</v>
      </c>
      <c r="B2218" t="str">
        <f>"000018"</f>
        <v>000018</v>
      </c>
      <c r="C2218" t="s">
        <v>4762</v>
      </c>
      <c r="H2218">
        <v>-5943762820</v>
      </c>
      <c r="I2218">
        <v>235202474</v>
      </c>
      <c r="J2218">
        <v>2151482468</v>
      </c>
      <c r="K2218">
        <v>1777948117</v>
      </c>
      <c r="L2218">
        <v>1282256739</v>
      </c>
      <c r="M2218">
        <v>131266672</v>
      </c>
      <c r="N2218">
        <v>126320072</v>
      </c>
      <c r="O2218">
        <v>118852391</v>
      </c>
      <c r="P2218">
        <v>99</v>
      </c>
      <c r="Q2218" t="s">
        <v>4763</v>
      </c>
    </row>
    <row r="2219" spans="1:17" x14ac:dyDescent="0.3">
      <c r="A2219" t="s">
        <v>4729</v>
      </c>
      <c r="B2219" t="str">
        <f>"000019"</f>
        <v>000019</v>
      </c>
      <c r="C2219" t="s">
        <v>4764</v>
      </c>
      <c r="D2219" t="s">
        <v>306</v>
      </c>
      <c r="F2219">
        <v>4630292102</v>
      </c>
      <c r="G2219">
        <v>4595332000</v>
      </c>
      <c r="H2219">
        <v>4420751188</v>
      </c>
      <c r="I2219">
        <v>4172502535</v>
      </c>
      <c r="J2219">
        <v>946920577</v>
      </c>
      <c r="K2219">
        <v>1031768389</v>
      </c>
      <c r="L2219">
        <v>935622281</v>
      </c>
      <c r="M2219">
        <v>970878219</v>
      </c>
      <c r="N2219">
        <v>960517070</v>
      </c>
      <c r="O2219">
        <v>964216674</v>
      </c>
      <c r="P2219">
        <v>176</v>
      </c>
      <c r="Q2219" t="s">
        <v>4765</v>
      </c>
    </row>
    <row r="2220" spans="1:17" x14ac:dyDescent="0.3">
      <c r="A2220" t="s">
        <v>4729</v>
      </c>
      <c r="B2220" t="str">
        <f>"000020"</f>
        <v>000020</v>
      </c>
      <c r="C2220" t="s">
        <v>4766</v>
      </c>
      <c r="D2220" t="s">
        <v>1117</v>
      </c>
      <c r="F2220">
        <v>343450639</v>
      </c>
      <c r="G2220">
        <v>336248737</v>
      </c>
      <c r="H2220">
        <v>329428050</v>
      </c>
      <c r="I2220">
        <v>323968001</v>
      </c>
      <c r="J2220">
        <v>320672978</v>
      </c>
      <c r="K2220">
        <v>319698569</v>
      </c>
      <c r="L2220">
        <v>313937230</v>
      </c>
      <c r="M2220">
        <v>281351270</v>
      </c>
      <c r="N2220">
        <v>273663649</v>
      </c>
      <c r="O2220">
        <v>280181051</v>
      </c>
      <c r="P2220">
        <v>75</v>
      </c>
      <c r="Q2220" t="s">
        <v>4767</v>
      </c>
    </row>
    <row r="2221" spans="1:17" x14ac:dyDescent="0.3">
      <c r="A2221" t="s">
        <v>4729</v>
      </c>
      <c r="B2221" t="str">
        <f>"000021"</f>
        <v>000021</v>
      </c>
      <c r="C2221" t="s">
        <v>4768</v>
      </c>
      <c r="D2221" t="s">
        <v>313</v>
      </c>
      <c r="F2221">
        <v>9846917365</v>
      </c>
      <c r="G2221">
        <v>7584933624</v>
      </c>
      <c r="H2221">
        <v>6922647909</v>
      </c>
      <c r="I2221">
        <v>6285956610</v>
      </c>
      <c r="J2221">
        <v>5856692553</v>
      </c>
      <c r="K2221">
        <v>5258554028</v>
      </c>
      <c r="L2221">
        <v>5203893531</v>
      </c>
      <c r="M2221">
        <v>4956159665</v>
      </c>
      <c r="N2221">
        <v>4852354544</v>
      </c>
      <c r="O2221">
        <v>3978729758</v>
      </c>
      <c r="P2221">
        <v>442</v>
      </c>
      <c r="Q2221" t="s">
        <v>4769</v>
      </c>
    </row>
    <row r="2222" spans="1:17" x14ac:dyDescent="0.3">
      <c r="A2222" t="s">
        <v>4729</v>
      </c>
      <c r="B2222" t="str">
        <f>"000022"</f>
        <v>000022</v>
      </c>
      <c r="C2222" t="s">
        <v>4770</v>
      </c>
      <c r="J2222">
        <v>4922969406</v>
      </c>
      <c r="K2222">
        <v>4709815553</v>
      </c>
      <c r="L2222">
        <v>4439600537.0500002</v>
      </c>
      <c r="M2222">
        <v>4115298831.5900002</v>
      </c>
      <c r="N2222">
        <v>3947846392.77</v>
      </c>
      <c r="O2222">
        <v>3678032083</v>
      </c>
      <c r="P2222">
        <v>83</v>
      </c>
      <c r="Q2222" t="s">
        <v>4771</v>
      </c>
    </row>
    <row r="2223" spans="1:17" x14ac:dyDescent="0.3">
      <c r="A2223" t="s">
        <v>4729</v>
      </c>
      <c r="B2223" t="str">
        <f>"000023"</f>
        <v>000023</v>
      </c>
      <c r="C2223" t="s">
        <v>4772</v>
      </c>
      <c r="D2223" t="s">
        <v>3098</v>
      </c>
      <c r="F2223">
        <v>411540782</v>
      </c>
      <c r="G2223">
        <v>464658672</v>
      </c>
      <c r="H2223">
        <v>473886319</v>
      </c>
      <c r="I2223">
        <v>431606393</v>
      </c>
      <c r="J2223">
        <v>412257394</v>
      </c>
      <c r="K2223">
        <v>387284737</v>
      </c>
      <c r="L2223">
        <v>384086727</v>
      </c>
      <c r="M2223">
        <v>362118806</v>
      </c>
      <c r="N2223">
        <v>350422295</v>
      </c>
      <c r="O2223">
        <v>339553529</v>
      </c>
      <c r="P2223">
        <v>78</v>
      </c>
      <c r="Q2223" t="s">
        <v>4773</v>
      </c>
    </row>
    <row r="2224" spans="1:17" x14ac:dyDescent="0.3">
      <c r="A2224" t="s">
        <v>4729</v>
      </c>
      <c r="B2224" t="str">
        <f>"000024"</f>
        <v>000024</v>
      </c>
      <c r="C2224" t="s">
        <v>4774</v>
      </c>
      <c r="M2224">
        <v>31094416110.82</v>
      </c>
      <c r="N2224">
        <v>26725501967.240002</v>
      </c>
      <c r="O2224">
        <v>23393515534.130001</v>
      </c>
      <c r="P2224">
        <v>36</v>
      </c>
      <c r="Q2224" t="s">
        <v>4775</v>
      </c>
    </row>
    <row r="2225" spans="1:17" x14ac:dyDescent="0.3">
      <c r="A2225" t="s">
        <v>4729</v>
      </c>
      <c r="B2225" t="str">
        <f>"000025"</f>
        <v>000025</v>
      </c>
      <c r="C2225" t="s">
        <v>4776</v>
      </c>
      <c r="D2225" t="s">
        <v>672</v>
      </c>
      <c r="F2225">
        <v>1432924273</v>
      </c>
      <c r="G2225">
        <v>1310524675</v>
      </c>
      <c r="H2225">
        <v>1270965296</v>
      </c>
      <c r="I2225">
        <v>1050209537</v>
      </c>
      <c r="J2225">
        <v>963259057</v>
      </c>
      <c r="K2225">
        <v>895362615</v>
      </c>
      <c r="L2225">
        <v>868169052</v>
      </c>
      <c r="M2225">
        <v>191880263</v>
      </c>
      <c r="N2225">
        <v>191351957</v>
      </c>
      <c r="O2225">
        <v>184675402</v>
      </c>
      <c r="P2225">
        <v>140</v>
      </c>
      <c r="Q2225" t="s">
        <v>4777</v>
      </c>
    </row>
    <row r="2226" spans="1:17" x14ac:dyDescent="0.3">
      <c r="A2226" t="s">
        <v>4729</v>
      </c>
      <c r="B2226" t="str">
        <f>"000026"</f>
        <v>000026</v>
      </c>
      <c r="C2226" t="s">
        <v>4778</v>
      </c>
      <c r="D2226" t="s">
        <v>1238</v>
      </c>
      <c r="F2226">
        <v>3013232643</v>
      </c>
      <c r="G2226">
        <v>2799948388</v>
      </c>
      <c r="H2226">
        <v>2654533767</v>
      </c>
      <c r="I2226">
        <v>2570134783</v>
      </c>
      <c r="J2226">
        <v>2467967361</v>
      </c>
      <c r="K2226">
        <v>2371370535</v>
      </c>
      <c r="L2226">
        <v>2299215650</v>
      </c>
      <c r="M2226">
        <v>1633401931</v>
      </c>
      <c r="N2226">
        <v>1536434685</v>
      </c>
      <c r="O2226">
        <v>1446677625</v>
      </c>
      <c r="P2226">
        <v>321</v>
      </c>
      <c r="Q2226" t="s">
        <v>4779</v>
      </c>
    </row>
    <row r="2227" spans="1:17" x14ac:dyDescent="0.3">
      <c r="A2227" t="s">
        <v>4729</v>
      </c>
      <c r="B2227" t="str">
        <f>"000027"</f>
        <v>000027</v>
      </c>
      <c r="C2227" t="s">
        <v>4780</v>
      </c>
      <c r="D2227" t="s">
        <v>41</v>
      </c>
      <c r="F2227">
        <v>27309746517</v>
      </c>
      <c r="G2227">
        <v>26964474439</v>
      </c>
      <c r="H2227">
        <v>24087794110</v>
      </c>
      <c r="I2227">
        <v>24074231815</v>
      </c>
      <c r="J2227">
        <v>21341051498</v>
      </c>
      <c r="K2227">
        <v>21608048766</v>
      </c>
      <c r="L2227">
        <v>21711355184</v>
      </c>
      <c r="M2227">
        <v>17711215300</v>
      </c>
      <c r="N2227">
        <v>16317194801</v>
      </c>
      <c r="O2227">
        <v>15168609628</v>
      </c>
      <c r="P2227">
        <v>509</v>
      </c>
      <c r="Q2227" t="s">
        <v>4781</v>
      </c>
    </row>
    <row r="2228" spans="1:17" x14ac:dyDescent="0.3">
      <c r="A2228" t="s">
        <v>4729</v>
      </c>
      <c r="B2228" t="str">
        <f>"000028"</f>
        <v>000028</v>
      </c>
      <c r="C2228" t="s">
        <v>4782</v>
      </c>
      <c r="D2228" t="s">
        <v>125</v>
      </c>
      <c r="F2228">
        <v>14924938053</v>
      </c>
      <c r="G2228">
        <v>13948322652</v>
      </c>
      <c r="H2228">
        <v>12806410866</v>
      </c>
      <c r="I2228">
        <v>11618432603</v>
      </c>
      <c r="J2228">
        <v>9396572346</v>
      </c>
      <c r="K2228">
        <v>8384655582</v>
      </c>
      <c r="L2228">
        <v>5453393695</v>
      </c>
      <c r="M2228">
        <v>4764607822</v>
      </c>
      <c r="N2228">
        <v>2244757658</v>
      </c>
      <c r="O2228">
        <v>1775943029</v>
      </c>
      <c r="P2228">
        <v>1098</v>
      </c>
      <c r="Q2228" t="s">
        <v>4783</v>
      </c>
    </row>
    <row r="2229" spans="1:17" x14ac:dyDescent="0.3">
      <c r="A2229" t="s">
        <v>4729</v>
      </c>
      <c r="B2229" t="str">
        <f>"000029"</f>
        <v>000029</v>
      </c>
      <c r="C2229" t="s">
        <v>4784</v>
      </c>
      <c r="D2229" t="s">
        <v>104</v>
      </c>
      <c r="F2229">
        <v>3938260292</v>
      </c>
      <c r="G2229">
        <v>3797512488</v>
      </c>
      <c r="H2229">
        <v>3666874570</v>
      </c>
      <c r="I2229">
        <v>3332259641</v>
      </c>
      <c r="J2229">
        <v>2828242121</v>
      </c>
      <c r="K2229">
        <v>2643860443</v>
      </c>
      <c r="L2229">
        <v>2331704116</v>
      </c>
      <c r="M2229">
        <v>2161537402</v>
      </c>
      <c r="N2229">
        <v>1863347135</v>
      </c>
      <c r="O2229">
        <v>1635376099</v>
      </c>
      <c r="P2229">
        <v>137</v>
      </c>
      <c r="Q2229" t="s">
        <v>4785</v>
      </c>
    </row>
    <row r="2230" spans="1:17" x14ac:dyDescent="0.3">
      <c r="A2230" t="s">
        <v>4729</v>
      </c>
      <c r="B2230" t="str">
        <f>"000030"</f>
        <v>000030</v>
      </c>
      <c r="C2230" t="s">
        <v>4786</v>
      </c>
      <c r="D2230" t="s">
        <v>348</v>
      </c>
      <c r="F2230">
        <v>7472125501</v>
      </c>
      <c r="G2230">
        <v>7262601986</v>
      </c>
      <c r="H2230">
        <v>6660303686</v>
      </c>
      <c r="I2230">
        <v>6380132441</v>
      </c>
      <c r="J2230">
        <v>5750747843</v>
      </c>
      <c r="K2230">
        <v>5174067374</v>
      </c>
      <c r="L2230">
        <v>4684428864</v>
      </c>
      <c r="M2230">
        <v>4304261023</v>
      </c>
      <c r="N2230">
        <v>3795062235</v>
      </c>
      <c r="O2230">
        <v>-1647433</v>
      </c>
      <c r="P2230">
        <v>330</v>
      </c>
      <c r="Q2230" t="s">
        <v>4787</v>
      </c>
    </row>
    <row r="2231" spans="1:17" x14ac:dyDescent="0.3">
      <c r="A2231" t="s">
        <v>4729</v>
      </c>
      <c r="B2231" t="str">
        <f>"000031"</f>
        <v>000031</v>
      </c>
      <c r="C2231" t="s">
        <v>4788</v>
      </c>
      <c r="D2231" t="s">
        <v>30</v>
      </c>
      <c r="F2231">
        <v>18838312763</v>
      </c>
      <c r="G2231">
        <v>18351072908</v>
      </c>
      <c r="H2231">
        <v>19410977268</v>
      </c>
      <c r="I2231">
        <v>7860703189</v>
      </c>
      <c r="J2231">
        <v>6630485614</v>
      </c>
      <c r="K2231">
        <v>5892127741</v>
      </c>
      <c r="L2231">
        <v>5978568692</v>
      </c>
      <c r="M2231">
        <v>5984823335</v>
      </c>
      <c r="N2231">
        <v>5407718542</v>
      </c>
      <c r="O2231">
        <v>4763805454</v>
      </c>
      <c r="P2231">
        <v>327</v>
      </c>
      <c r="Q2231" t="s">
        <v>4789</v>
      </c>
    </row>
    <row r="2232" spans="1:17" x14ac:dyDescent="0.3">
      <c r="A2232" t="s">
        <v>4729</v>
      </c>
      <c r="B2232" t="str">
        <f>"000032"</f>
        <v>000032</v>
      </c>
      <c r="C2232" t="s">
        <v>4790</v>
      </c>
      <c r="D2232" t="s">
        <v>786</v>
      </c>
      <c r="F2232">
        <v>6033764762</v>
      </c>
      <c r="G2232">
        <v>1581483873</v>
      </c>
      <c r="H2232">
        <v>1469682043</v>
      </c>
      <c r="I2232">
        <v>1365968206</v>
      </c>
      <c r="J2232">
        <v>1472560514</v>
      </c>
      <c r="K2232">
        <v>1435838700</v>
      </c>
      <c r="L2232">
        <v>1379754684</v>
      </c>
      <c r="M2232">
        <v>1349816355</v>
      </c>
      <c r="N2232">
        <v>876744909</v>
      </c>
      <c r="O2232">
        <v>909719941</v>
      </c>
      <c r="P2232">
        <v>121</v>
      </c>
      <c r="Q2232" t="s">
        <v>4791</v>
      </c>
    </row>
    <row r="2233" spans="1:17" x14ac:dyDescent="0.3">
      <c r="A2233" t="s">
        <v>4729</v>
      </c>
      <c r="B2233" t="str">
        <f>"000033"</f>
        <v>000033</v>
      </c>
      <c r="C2233" t="s">
        <v>4792</v>
      </c>
      <c r="K2233">
        <v>22436879.98</v>
      </c>
      <c r="L2233">
        <v>9615878.5500000007</v>
      </c>
      <c r="M2233">
        <v>-177657786.5</v>
      </c>
      <c r="N2233">
        <v>271875112.19999999</v>
      </c>
      <c r="O2233">
        <v>268388905.56</v>
      </c>
      <c r="P2233">
        <v>7</v>
      </c>
      <c r="Q2233" t="s">
        <v>4793</v>
      </c>
    </row>
    <row r="2234" spans="1:17" x14ac:dyDescent="0.3">
      <c r="A2234" t="s">
        <v>4729</v>
      </c>
      <c r="B2234" t="str">
        <f>"000034"</f>
        <v>000034</v>
      </c>
      <c r="C2234" t="s">
        <v>4794</v>
      </c>
      <c r="D2234" t="s">
        <v>316</v>
      </c>
      <c r="F2234">
        <v>6080875373</v>
      </c>
      <c r="G2234">
        <v>4700059978</v>
      </c>
      <c r="H2234">
        <v>4372145715</v>
      </c>
      <c r="I2234">
        <v>3841446080</v>
      </c>
      <c r="J2234">
        <v>3350058917</v>
      </c>
      <c r="K2234">
        <v>2648163406</v>
      </c>
      <c r="L2234">
        <v>186999859</v>
      </c>
      <c r="M2234">
        <v>165636615</v>
      </c>
      <c r="N2234">
        <v>106086863</v>
      </c>
      <c r="O2234">
        <v>89319948</v>
      </c>
      <c r="P2234">
        <v>412</v>
      </c>
      <c r="Q2234" t="s">
        <v>4795</v>
      </c>
    </row>
    <row r="2235" spans="1:17" x14ac:dyDescent="0.3">
      <c r="A2235" t="s">
        <v>4729</v>
      </c>
      <c r="B2235" t="str">
        <f>"000035"</f>
        <v>000035</v>
      </c>
      <c r="C2235" t="s">
        <v>4796</v>
      </c>
      <c r="D2235" t="s">
        <v>499</v>
      </c>
      <c r="F2235">
        <v>10935078389</v>
      </c>
      <c r="G2235">
        <v>11693410598</v>
      </c>
      <c r="H2235">
        <v>10802878518</v>
      </c>
      <c r="I2235">
        <v>3239249595</v>
      </c>
      <c r="J2235">
        <v>3020170988</v>
      </c>
      <c r="K2235">
        <v>2062461721</v>
      </c>
      <c r="L2235">
        <v>1850377417</v>
      </c>
      <c r="M2235">
        <v>1622182187</v>
      </c>
      <c r="N2235">
        <v>12474957</v>
      </c>
      <c r="O2235">
        <v>-1857990442</v>
      </c>
      <c r="P2235">
        <v>198</v>
      </c>
      <c r="Q2235" t="s">
        <v>4797</v>
      </c>
    </row>
    <row r="2236" spans="1:17" x14ac:dyDescent="0.3">
      <c r="A2236" t="s">
        <v>4729</v>
      </c>
      <c r="B2236" t="str">
        <f>"000036"</f>
        <v>000036</v>
      </c>
      <c r="C2236" t="s">
        <v>4798</v>
      </c>
      <c r="D2236" t="s">
        <v>104</v>
      </c>
      <c r="F2236">
        <v>4970392107</v>
      </c>
      <c r="G2236">
        <v>4905381631</v>
      </c>
      <c r="H2236">
        <v>4947780594</v>
      </c>
      <c r="I2236">
        <v>4815135432</v>
      </c>
      <c r="J2236">
        <v>4407840060</v>
      </c>
      <c r="K2236">
        <v>3379145444</v>
      </c>
      <c r="L2236">
        <v>2041478209</v>
      </c>
      <c r="M2236">
        <v>1876710365</v>
      </c>
      <c r="N2236">
        <v>1873889511</v>
      </c>
      <c r="O2236">
        <v>1803263890</v>
      </c>
      <c r="P2236">
        <v>880</v>
      </c>
      <c r="Q2236" t="s">
        <v>4799</v>
      </c>
    </row>
    <row r="2237" spans="1:17" x14ac:dyDescent="0.3">
      <c r="A2237" t="s">
        <v>4729</v>
      </c>
      <c r="B2237" t="str">
        <f>"000037"</f>
        <v>000037</v>
      </c>
      <c r="C2237" t="s">
        <v>4800</v>
      </c>
      <c r="D2237" t="s">
        <v>351</v>
      </c>
      <c r="F2237">
        <v>1615293136</v>
      </c>
      <c r="G2237">
        <v>2054741848</v>
      </c>
      <c r="H2237">
        <v>2002772808</v>
      </c>
      <c r="I2237">
        <v>1977871852</v>
      </c>
      <c r="J2237">
        <v>1958618085</v>
      </c>
      <c r="K2237">
        <v>1942713903</v>
      </c>
      <c r="L2237">
        <v>636006700</v>
      </c>
      <c r="M2237">
        <v>1270542255</v>
      </c>
      <c r="N2237">
        <v>1601055540</v>
      </c>
      <c r="O2237">
        <v>1548919428</v>
      </c>
      <c r="P2237">
        <v>112</v>
      </c>
      <c r="Q2237" t="s">
        <v>4801</v>
      </c>
    </row>
    <row r="2238" spans="1:17" x14ac:dyDescent="0.3">
      <c r="A2238" t="s">
        <v>4729</v>
      </c>
      <c r="B2238" t="str">
        <f>"000038"</f>
        <v>000038</v>
      </c>
      <c r="C2238" t="s">
        <v>4802</v>
      </c>
      <c r="D2238" t="s">
        <v>110</v>
      </c>
      <c r="F2238">
        <v>2240652140</v>
      </c>
      <c r="G2238">
        <v>2869030085</v>
      </c>
      <c r="H2238">
        <v>2755493632</v>
      </c>
      <c r="I2238">
        <v>2633113781</v>
      </c>
      <c r="J2238">
        <v>5391845918</v>
      </c>
      <c r="K2238">
        <v>5067173833</v>
      </c>
      <c r="L2238">
        <v>115765546</v>
      </c>
      <c r="M2238">
        <v>109831636</v>
      </c>
      <c r="N2238">
        <v>159164860</v>
      </c>
      <c r="O2238">
        <v>156590426</v>
      </c>
      <c r="P2238">
        <v>113</v>
      </c>
      <c r="Q2238" t="s">
        <v>4803</v>
      </c>
    </row>
    <row r="2239" spans="1:17" x14ac:dyDescent="0.3">
      <c r="A2239" t="s">
        <v>4729</v>
      </c>
      <c r="B2239" t="str">
        <f>"000039"</f>
        <v>000039</v>
      </c>
      <c r="C2239" t="s">
        <v>4804</v>
      </c>
      <c r="D2239" t="s">
        <v>274</v>
      </c>
      <c r="F2239">
        <v>45118633000</v>
      </c>
      <c r="G2239">
        <v>39709474000</v>
      </c>
      <c r="H2239">
        <v>35246341000</v>
      </c>
      <c r="I2239">
        <v>33317454000</v>
      </c>
      <c r="J2239">
        <v>30427884000</v>
      </c>
      <c r="K2239">
        <v>27236935000</v>
      </c>
      <c r="L2239">
        <v>26508276000</v>
      </c>
      <c r="M2239">
        <v>22290314000</v>
      </c>
      <c r="N2239">
        <v>20674037000</v>
      </c>
      <c r="O2239">
        <v>19513176000</v>
      </c>
      <c r="P2239">
        <v>679</v>
      </c>
      <c r="Q2239" t="s">
        <v>4805</v>
      </c>
    </row>
    <row r="2240" spans="1:17" x14ac:dyDescent="0.3">
      <c r="A2240" t="s">
        <v>4729</v>
      </c>
      <c r="B2240" t="str">
        <f>"000040"</f>
        <v>000040</v>
      </c>
      <c r="C2240" t="s">
        <v>4806</v>
      </c>
      <c r="D2240" t="s">
        <v>86</v>
      </c>
      <c r="F2240">
        <v>11585277202</v>
      </c>
      <c r="G2240">
        <v>12173091628</v>
      </c>
      <c r="H2240">
        <v>13411944758</v>
      </c>
      <c r="I2240">
        <v>14500442725</v>
      </c>
      <c r="J2240">
        <v>11485966298</v>
      </c>
      <c r="K2240">
        <v>10963884676</v>
      </c>
      <c r="L2240">
        <v>1325798590</v>
      </c>
      <c r="M2240">
        <v>1268770970</v>
      </c>
      <c r="N2240">
        <v>1262658327</v>
      </c>
      <c r="O2240">
        <v>1174791183</v>
      </c>
      <c r="P2240">
        <v>220</v>
      </c>
      <c r="Q2240" t="s">
        <v>4807</v>
      </c>
    </row>
    <row r="2241" spans="1:17" x14ac:dyDescent="0.3">
      <c r="A2241" t="s">
        <v>4729</v>
      </c>
      <c r="B2241" t="str">
        <f>"000042"</f>
        <v>000042</v>
      </c>
      <c r="C2241" t="s">
        <v>4808</v>
      </c>
      <c r="D2241" t="s">
        <v>104</v>
      </c>
      <c r="F2241">
        <v>8046349219</v>
      </c>
      <c r="G2241">
        <v>7873661745</v>
      </c>
      <c r="H2241">
        <v>7556181258</v>
      </c>
      <c r="I2241">
        <v>7273821960</v>
      </c>
      <c r="J2241">
        <v>6411756461</v>
      </c>
      <c r="K2241">
        <v>5885037058</v>
      </c>
      <c r="L2241">
        <v>5615109304</v>
      </c>
      <c r="M2241">
        <v>3299726582</v>
      </c>
      <c r="N2241">
        <v>3065887464</v>
      </c>
      <c r="O2241">
        <v>2901011667</v>
      </c>
      <c r="P2241">
        <v>121</v>
      </c>
      <c r="Q2241" t="s">
        <v>4809</v>
      </c>
    </row>
    <row r="2242" spans="1:17" x14ac:dyDescent="0.3">
      <c r="A2242" t="s">
        <v>4729</v>
      </c>
      <c r="B2242" t="str">
        <f>"000043"</f>
        <v>000043</v>
      </c>
      <c r="C2242" t="s">
        <v>4810</v>
      </c>
      <c r="H2242">
        <v>7983640524</v>
      </c>
      <c r="I2242">
        <v>4842025399</v>
      </c>
      <c r="J2242">
        <v>4178442529</v>
      </c>
      <c r="K2242">
        <v>4082597972</v>
      </c>
      <c r="L2242">
        <v>3957693680</v>
      </c>
      <c r="M2242">
        <v>3507327713</v>
      </c>
      <c r="N2242">
        <v>3241564237</v>
      </c>
      <c r="O2242">
        <v>2920046517</v>
      </c>
      <c r="P2242">
        <v>73</v>
      </c>
      <c r="Q2242" t="s">
        <v>4811</v>
      </c>
    </row>
    <row r="2243" spans="1:17" x14ac:dyDescent="0.3">
      <c r="A2243" t="s">
        <v>4729</v>
      </c>
      <c r="B2243" t="str">
        <f>"000045"</f>
        <v>000045</v>
      </c>
      <c r="C2243" t="s">
        <v>4812</v>
      </c>
      <c r="D2243" t="s">
        <v>1117</v>
      </c>
      <c r="F2243">
        <v>2816795890</v>
      </c>
      <c r="G2243">
        <v>2766234174</v>
      </c>
      <c r="H2243">
        <v>2727764144</v>
      </c>
      <c r="I2243">
        <v>2373329992</v>
      </c>
      <c r="J2243">
        <v>2397474604</v>
      </c>
      <c r="K2243">
        <v>2339554176</v>
      </c>
      <c r="L2243">
        <v>2174569546</v>
      </c>
      <c r="M2243">
        <v>2196249248</v>
      </c>
      <c r="N2243">
        <v>2297846577</v>
      </c>
      <c r="O2243">
        <v>1303011954</v>
      </c>
      <c r="P2243">
        <v>86</v>
      </c>
      <c r="Q2243" t="s">
        <v>4813</v>
      </c>
    </row>
    <row r="2244" spans="1:17" x14ac:dyDescent="0.3">
      <c r="A2244" t="s">
        <v>4729</v>
      </c>
      <c r="B2244" t="str">
        <f>"000046"</f>
        <v>000046</v>
      </c>
      <c r="C2244" t="s">
        <v>4814</v>
      </c>
      <c r="D2244" t="s">
        <v>104</v>
      </c>
      <c r="F2244">
        <v>5784797021</v>
      </c>
      <c r="G2244">
        <v>16606432397</v>
      </c>
      <c r="H2244">
        <v>21473359023</v>
      </c>
      <c r="I2244">
        <v>20117587874</v>
      </c>
      <c r="J2244">
        <v>20069475888</v>
      </c>
      <c r="K2244">
        <v>18324805088</v>
      </c>
      <c r="L2244">
        <v>10288361913</v>
      </c>
      <c r="M2244">
        <v>9273976464</v>
      </c>
      <c r="N2244">
        <v>9236063038</v>
      </c>
      <c r="O2244">
        <v>8509126696</v>
      </c>
      <c r="P2244">
        <v>210</v>
      </c>
      <c r="Q2244" t="s">
        <v>4815</v>
      </c>
    </row>
    <row r="2245" spans="1:17" x14ac:dyDescent="0.3">
      <c r="A2245" t="s">
        <v>4729</v>
      </c>
      <c r="B2245" t="str">
        <f>"000047"</f>
        <v>000047</v>
      </c>
      <c r="C2245" t="s">
        <v>4816</v>
      </c>
      <c r="K2245">
        <v>-744927655</v>
      </c>
      <c r="L2245">
        <v>-794916327.89999998</v>
      </c>
      <c r="M2245">
        <v>-1221946182.6199999</v>
      </c>
      <c r="N2245">
        <v>-1183551896.46</v>
      </c>
      <c r="O2245">
        <v>-1145813911.5899999</v>
      </c>
      <c r="P2245">
        <v>6</v>
      </c>
      <c r="Q2245" t="s">
        <v>4817</v>
      </c>
    </row>
    <row r="2246" spans="1:17" x14ac:dyDescent="0.3">
      <c r="A2246" t="s">
        <v>4729</v>
      </c>
      <c r="B2246" t="str">
        <f>"000048"</f>
        <v>000048</v>
      </c>
      <c r="C2246" t="s">
        <v>4818</v>
      </c>
      <c r="D2246" t="s">
        <v>104</v>
      </c>
      <c r="F2246">
        <v>2532781674</v>
      </c>
      <c r="G2246">
        <v>2752406813</v>
      </c>
      <c r="H2246">
        <v>2134846548</v>
      </c>
      <c r="I2246">
        <v>1015258131</v>
      </c>
      <c r="J2246">
        <v>577300726</v>
      </c>
      <c r="K2246">
        <v>730489152</v>
      </c>
      <c r="L2246">
        <v>717023908</v>
      </c>
      <c r="M2246">
        <v>517325764</v>
      </c>
      <c r="N2246">
        <v>402734006</v>
      </c>
      <c r="O2246">
        <v>411985267</v>
      </c>
      <c r="P2246">
        <v>588</v>
      </c>
      <c r="Q2246" t="s">
        <v>4819</v>
      </c>
    </row>
    <row r="2247" spans="1:17" x14ac:dyDescent="0.3">
      <c r="A2247" t="s">
        <v>4729</v>
      </c>
      <c r="B2247" t="str">
        <f>"000049"</f>
        <v>000049</v>
      </c>
      <c r="C2247" t="s">
        <v>4820</v>
      </c>
      <c r="D2247" t="s">
        <v>359</v>
      </c>
      <c r="F2247">
        <v>3429341104</v>
      </c>
      <c r="G2247">
        <v>2829601783</v>
      </c>
      <c r="H2247">
        <v>2198179762</v>
      </c>
      <c r="I2247">
        <v>1750439986</v>
      </c>
      <c r="J2247">
        <v>1404975688</v>
      </c>
      <c r="K2247">
        <v>1155613485</v>
      </c>
      <c r="L2247">
        <v>930882146</v>
      </c>
      <c r="M2247">
        <v>741766307</v>
      </c>
      <c r="N2247">
        <v>533931777</v>
      </c>
      <c r="O2247">
        <v>369095830</v>
      </c>
      <c r="P2247">
        <v>41582</v>
      </c>
      <c r="Q2247" t="s">
        <v>4821</v>
      </c>
    </row>
    <row r="2248" spans="1:17" x14ac:dyDescent="0.3">
      <c r="A2248" t="s">
        <v>4729</v>
      </c>
      <c r="B2248" t="str">
        <f>"000050"</f>
        <v>000050</v>
      </c>
      <c r="C2248" t="s">
        <v>4822</v>
      </c>
      <c r="D2248" t="s">
        <v>1117</v>
      </c>
      <c r="F2248">
        <v>34872616733</v>
      </c>
      <c r="G2248">
        <v>33568338364</v>
      </c>
      <c r="H2248">
        <v>26707224485</v>
      </c>
      <c r="I2248">
        <v>26004730644</v>
      </c>
      <c r="J2248">
        <v>14474797147</v>
      </c>
      <c r="K2248">
        <v>13758959517</v>
      </c>
      <c r="L2248">
        <v>13248334175</v>
      </c>
      <c r="M2248">
        <v>8147270333</v>
      </c>
      <c r="N2248">
        <v>1486033795</v>
      </c>
      <c r="O2248">
        <v>1373011622</v>
      </c>
      <c r="P2248">
        <v>621</v>
      </c>
      <c r="Q2248" t="s">
        <v>4823</v>
      </c>
    </row>
    <row r="2249" spans="1:17" x14ac:dyDescent="0.3">
      <c r="A2249" t="s">
        <v>4729</v>
      </c>
      <c r="B2249" t="str">
        <f>"000055"</f>
        <v>000055</v>
      </c>
      <c r="C2249" t="s">
        <v>4824</v>
      </c>
      <c r="D2249" t="s">
        <v>722</v>
      </c>
      <c r="F2249">
        <v>5524039887</v>
      </c>
      <c r="G2249">
        <v>5380857155</v>
      </c>
      <c r="H2249">
        <v>5182795080</v>
      </c>
      <c r="I2249">
        <v>5195187622</v>
      </c>
      <c r="J2249">
        <v>3238939202</v>
      </c>
      <c r="K2249">
        <v>2364262560</v>
      </c>
      <c r="L2249">
        <v>1319496335</v>
      </c>
      <c r="M2249">
        <v>1234930863</v>
      </c>
      <c r="N2249">
        <v>1160639731</v>
      </c>
      <c r="O2249">
        <v>1098612196</v>
      </c>
      <c r="P2249">
        <v>318</v>
      </c>
      <c r="Q2249" t="s">
        <v>4825</v>
      </c>
    </row>
    <row r="2250" spans="1:17" x14ac:dyDescent="0.3">
      <c r="A2250" t="s">
        <v>4729</v>
      </c>
      <c r="B2250" t="str">
        <f>"000056"</f>
        <v>000056</v>
      </c>
      <c r="C2250" t="s">
        <v>4826</v>
      </c>
      <c r="D2250" t="s">
        <v>2975</v>
      </c>
      <c r="F2250">
        <v>3442467338</v>
      </c>
      <c r="G2250">
        <v>4755117631</v>
      </c>
      <c r="H2250">
        <v>5449056013</v>
      </c>
      <c r="I2250">
        <v>5360676344</v>
      </c>
      <c r="J2250">
        <v>5300703808</v>
      </c>
      <c r="K2250">
        <v>5125311547</v>
      </c>
      <c r="L2250">
        <v>4999708452</v>
      </c>
      <c r="M2250">
        <v>1901748319</v>
      </c>
      <c r="N2250">
        <v>2236808854</v>
      </c>
      <c r="O2250">
        <v>-83888096</v>
      </c>
      <c r="P2250">
        <v>100</v>
      </c>
      <c r="Q2250" t="s">
        <v>4827</v>
      </c>
    </row>
    <row r="2251" spans="1:17" x14ac:dyDescent="0.3">
      <c r="A2251" t="s">
        <v>4729</v>
      </c>
      <c r="B2251" t="str">
        <f>"000058"</f>
        <v>000058</v>
      </c>
      <c r="C2251" t="s">
        <v>4828</v>
      </c>
      <c r="D2251" t="s">
        <v>271</v>
      </c>
      <c r="F2251">
        <v>1984760159</v>
      </c>
      <c r="G2251">
        <v>1905722149</v>
      </c>
      <c r="H2251">
        <v>1899384179</v>
      </c>
      <c r="I2251">
        <v>1867881216</v>
      </c>
      <c r="J2251">
        <v>1917228370</v>
      </c>
      <c r="K2251">
        <v>1548200648</v>
      </c>
      <c r="L2251">
        <v>1475126229</v>
      </c>
      <c r="M2251">
        <v>1298970720</v>
      </c>
      <c r="N2251">
        <v>1250224375</v>
      </c>
      <c r="O2251">
        <v>1195672946</v>
      </c>
      <c r="P2251">
        <v>142</v>
      </c>
      <c r="Q2251" t="s">
        <v>4829</v>
      </c>
    </row>
    <row r="2252" spans="1:17" x14ac:dyDescent="0.3">
      <c r="A2252" t="s">
        <v>4729</v>
      </c>
      <c r="B2252" t="str">
        <f>"000059"</f>
        <v>000059</v>
      </c>
      <c r="C2252" t="s">
        <v>4830</v>
      </c>
      <c r="D2252" t="s">
        <v>74</v>
      </c>
      <c r="F2252">
        <v>14280348965</v>
      </c>
      <c r="G2252">
        <v>13535819314</v>
      </c>
      <c r="H2252">
        <v>13609039893</v>
      </c>
      <c r="I2252">
        <v>13174481489</v>
      </c>
      <c r="J2252">
        <v>12160150215</v>
      </c>
      <c r="K2252">
        <v>10666431390</v>
      </c>
      <c r="L2252">
        <v>8846896561</v>
      </c>
      <c r="M2252">
        <v>8574533910</v>
      </c>
      <c r="N2252">
        <v>7171993890</v>
      </c>
      <c r="O2252">
        <v>7323149895</v>
      </c>
      <c r="P2252">
        <v>387</v>
      </c>
      <c r="Q2252" t="s">
        <v>4831</v>
      </c>
    </row>
    <row r="2253" spans="1:17" x14ac:dyDescent="0.3">
      <c r="A2253" t="s">
        <v>4729</v>
      </c>
      <c r="B2253" t="str">
        <f>"000060"</f>
        <v>000060</v>
      </c>
      <c r="C2253" t="s">
        <v>4832</v>
      </c>
      <c r="D2253" t="s">
        <v>744</v>
      </c>
      <c r="F2253">
        <v>12672768499</v>
      </c>
      <c r="G2253">
        <v>11563063697</v>
      </c>
      <c r="H2253">
        <v>10934718085</v>
      </c>
      <c r="I2253">
        <v>10324313227</v>
      </c>
      <c r="J2253">
        <v>10003243588</v>
      </c>
      <c r="K2253">
        <v>7682422638</v>
      </c>
      <c r="L2253">
        <v>7344642516</v>
      </c>
      <c r="M2253">
        <v>6030691968</v>
      </c>
      <c r="N2253">
        <v>5965836310</v>
      </c>
      <c r="O2253">
        <v>5615142326</v>
      </c>
      <c r="P2253">
        <v>373</v>
      </c>
      <c r="Q2253" t="s">
        <v>4833</v>
      </c>
    </row>
    <row r="2254" spans="1:17" x14ac:dyDescent="0.3">
      <c r="A2254" t="s">
        <v>4729</v>
      </c>
      <c r="B2254" t="str">
        <f>"000061"</f>
        <v>000061</v>
      </c>
      <c r="C2254" t="s">
        <v>4834</v>
      </c>
      <c r="D2254" t="s">
        <v>271</v>
      </c>
      <c r="F2254">
        <v>5661277070</v>
      </c>
      <c r="G2254">
        <v>5402174418</v>
      </c>
      <c r="H2254">
        <v>5195081164</v>
      </c>
      <c r="I2254">
        <v>4927569139</v>
      </c>
      <c r="J2254">
        <v>4809926423</v>
      </c>
      <c r="K2254">
        <v>4844272169</v>
      </c>
      <c r="L2254">
        <v>4811186610</v>
      </c>
      <c r="M2254">
        <v>4889573946</v>
      </c>
      <c r="N2254">
        <v>4867657425</v>
      </c>
      <c r="O2254">
        <v>3189712551</v>
      </c>
      <c r="P2254">
        <v>209</v>
      </c>
      <c r="Q2254" t="s">
        <v>4835</v>
      </c>
    </row>
    <row r="2255" spans="1:17" x14ac:dyDescent="0.3">
      <c r="A2255" t="s">
        <v>4729</v>
      </c>
      <c r="B2255" t="str">
        <f>"000062"</f>
        <v>000062</v>
      </c>
      <c r="C2255" t="s">
        <v>4836</v>
      </c>
      <c r="D2255" t="s">
        <v>651</v>
      </c>
      <c r="F2255">
        <v>6161060733</v>
      </c>
      <c r="G2255">
        <v>5536513442</v>
      </c>
      <c r="H2255">
        <v>5179856238</v>
      </c>
      <c r="I2255">
        <v>4685483875</v>
      </c>
      <c r="J2255">
        <v>4196211703</v>
      </c>
      <c r="K2255">
        <v>3983138343</v>
      </c>
      <c r="L2255">
        <v>3603894513</v>
      </c>
      <c r="M2255">
        <v>2314384281</v>
      </c>
      <c r="N2255">
        <v>1952727939</v>
      </c>
      <c r="O2255">
        <v>1562020096</v>
      </c>
      <c r="P2255">
        <v>300</v>
      </c>
      <c r="Q2255" t="s">
        <v>4837</v>
      </c>
    </row>
    <row r="2256" spans="1:17" x14ac:dyDescent="0.3">
      <c r="A2256" t="s">
        <v>4729</v>
      </c>
      <c r="B2256" t="str">
        <f>"000063"</f>
        <v>000063</v>
      </c>
      <c r="C2256" t="s">
        <v>4838</v>
      </c>
      <c r="D2256" t="s">
        <v>1019</v>
      </c>
      <c r="F2256">
        <v>51482089000</v>
      </c>
      <c r="G2256">
        <v>43296808000</v>
      </c>
      <c r="H2256">
        <v>28826868000</v>
      </c>
      <c r="I2256">
        <v>22897576000</v>
      </c>
      <c r="J2256">
        <v>31646875000</v>
      </c>
      <c r="K2256">
        <v>26401151000</v>
      </c>
      <c r="L2256">
        <v>29660094000</v>
      </c>
      <c r="M2256">
        <v>24878574000</v>
      </c>
      <c r="N2256">
        <v>22532648000</v>
      </c>
      <c r="O2256">
        <v>21502474000</v>
      </c>
      <c r="P2256">
        <v>3203</v>
      </c>
      <c r="Q2256" t="s">
        <v>4839</v>
      </c>
    </row>
    <row r="2257" spans="1:17" x14ac:dyDescent="0.3">
      <c r="A2257" t="s">
        <v>4729</v>
      </c>
      <c r="B2257" t="str">
        <f>"000065"</f>
        <v>000065</v>
      </c>
      <c r="C2257" t="s">
        <v>4840</v>
      </c>
      <c r="D2257" t="s">
        <v>1893</v>
      </c>
      <c r="F2257">
        <v>6074825560</v>
      </c>
      <c r="G2257">
        <v>5474492138</v>
      </c>
      <c r="H2257">
        <v>4846791784</v>
      </c>
      <c r="I2257">
        <v>4177504633</v>
      </c>
      <c r="J2257">
        <v>3651897513</v>
      </c>
      <c r="K2257">
        <v>3188609628</v>
      </c>
      <c r="L2257">
        <v>1944136780</v>
      </c>
      <c r="M2257">
        <v>959847773</v>
      </c>
      <c r="N2257">
        <v>799905222</v>
      </c>
      <c r="O2257">
        <v>653851596</v>
      </c>
      <c r="P2257">
        <v>394</v>
      </c>
      <c r="Q2257" t="s">
        <v>4841</v>
      </c>
    </row>
    <row r="2258" spans="1:17" x14ac:dyDescent="0.3">
      <c r="A2258" t="s">
        <v>4729</v>
      </c>
      <c r="B2258" t="str">
        <f>"000066"</f>
        <v>000066</v>
      </c>
      <c r="C2258" t="s">
        <v>4842</v>
      </c>
      <c r="D2258" t="s">
        <v>236</v>
      </c>
      <c r="F2258">
        <v>9708145793</v>
      </c>
      <c r="G2258">
        <v>8959499701</v>
      </c>
      <c r="H2258">
        <v>8295779818</v>
      </c>
      <c r="I2258">
        <v>6240483785</v>
      </c>
      <c r="J2258">
        <v>6674338515</v>
      </c>
      <c r="K2258">
        <v>2770460231</v>
      </c>
      <c r="L2258">
        <v>2590356817</v>
      </c>
      <c r="M2258">
        <v>2541089598</v>
      </c>
      <c r="N2258">
        <v>2681778115</v>
      </c>
      <c r="O2258">
        <v>2821908282</v>
      </c>
      <c r="P2258">
        <v>712</v>
      </c>
      <c r="Q2258" t="s">
        <v>4843</v>
      </c>
    </row>
    <row r="2259" spans="1:17" x14ac:dyDescent="0.3">
      <c r="A2259" t="s">
        <v>4729</v>
      </c>
      <c r="B2259" t="str">
        <f>"000068"</f>
        <v>000068</v>
      </c>
      <c r="C2259" t="s">
        <v>4844</v>
      </c>
      <c r="D2259" t="s">
        <v>3575</v>
      </c>
      <c r="F2259">
        <v>263178225</v>
      </c>
      <c r="G2259">
        <v>362632223</v>
      </c>
      <c r="H2259">
        <v>528843162</v>
      </c>
      <c r="I2259">
        <v>522842984</v>
      </c>
      <c r="J2259">
        <v>656832547</v>
      </c>
      <c r="K2259">
        <v>624229939</v>
      </c>
      <c r="L2259">
        <v>614253826</v>
      </c>
      <c r="M2259">
        <v>87454084</v>
      </c>
      <c r="N2259">
        <v>195805528</v>
      </c>
      <c r="O2259">
        <v>233006922</v>
      </c>
      <c r="P2259">
        <v>144</v>
      </c>
      <c r="Q2259" t="s">
        <v>4845</v>
      </c>
    </row>
    <row r="2260" spans="1:17" x14ac:dyDescent="0.3">
      <c r="A2260" t="s">
        <v>4729</v>
      </c>
      <c r="B2260" t="str">
        <f>"000069"</f>
        <v>000069</v>
      </c>
      <c r="C2260" t="s">
        <v>4846</v>
      </c>
      <c r="D2260" t="s">
        <v>30</v>
      </c>
      <c r="F2260">
        <v>78102433776</v>
      </c>
      <c r="G2260">
        <v>77596965507</v>
      </c>
      <c r="H2260">
        <v>68636907488</v>
      </c>
      <c r="I2260">
        <v>59123312515</v>
      </c>
      <c r="J2260">
        <v>52048414873</v>
      </c>
      <c r="K2260">
        <v>43717125623</v>
      </c>
      <c r="L2260">
        <v>38085838457</v>
      </c>
      <c r="M2260">
        <v>28118636027</v>
      </c>
      <c r="N2260">
        <v>23862266506</v>
      </c>
      <c r="O2260">
        <v>19919369077</v>
      </c>
      <c r="P2260">
        <v>3953</v>
      </c>
      <c r="Q2260" t="s">
        <v>4847</v>
      </c>
    </row>
    <row r="2261" spans="1:17" x14ac:dyDescent="0.3">
      <c r="A2261" t="s">
        <v>4729</v>
      </c>
      <c r="B2261" t="str">
        <f>"000070"</f>
        <v>000070</v>
      </c>
      <c r="C2261" t="s">
        <v>4848</v>
      </c>
      <c r="D2261" t="s">
        <v>250</v>
      </c>
      <c r="F2261">
        <v>1905449857</v>
      </c>
      <c r="G2261">
        <v>2862745989</v>
      </c>
      <c r="H2261">
        <v>2900485271</v>
      </c>
      <c r="I2261">
        <v>2234713624</v>
      </c>
      <c r="J2261">
        <v>1981573126</v>
      </c>
      <c r="K2261">
        <v>1739474106</v>
      </c>
      <c r="L2261">
        <v>1553093945</v>
      </c>
      <c r="M2261">
        <v>1068697997</v>
      </c>
      <c r="N2261">
        <v>1021239544</v>
      </c>
      <c r="O2261">
        <v>846695598</v>
      </c>
      <c r="P2261">
        <v>334</v>
      </c>
      <c r="Q2261" t="s">
        <v>4849</v>
      </c>
    </row>
    <row r="2262" spans="1:17" x14ac:dyDescent="0.3">
      <c r="A2262" t="s">
        <v>4729</v>
      </c>
      <c r="B2262" t="str">
        <f>"000078"</f>
        <v>000078</v>
      </c>
      <c r="C2262" t="s">
        <v>4850</v>
      </c>
      <c r="D2262" t="s">
        <v>125</v>
      </c>
      <c r="F2262">
        <v>5822126599</v>
      </c>
      <c r="G2262">
        <v>5878794516</v>
      </c>
      <c r="H2262">
        <v>6254446734</v>
      </c>
      <c r="I2262">
        <v>5946654454</v>
      </c>
      <c r="J2262">
        <v>5514373189</v>
      </c>
      <c r="K2262">
        <v>5366054914</v>
      </c>
      <c r="L2262">
        <v>1804382889</v>
      </c>
      <c r="M2262">
        <v>1437947435</v>
      </c>
      <c r="N2262">
        <v>1522411125</v>
      </c>
      <c r="O2262">
        <v>843364347</v>
      </c>
      <c r="P2262">
        <v>291</v>
      </c>
      <c r="Q2262" t="s">
        <v>4851</v>
      </c>
    </row>
    <row r="2263" spans="1:17" x14ac:dyDescent="0.3">
      <c r="A2263" t="s">
        <v>4729</v>
      </c>
      <c r="B2263" t="str">
        <f>"000088"</f>
        <v>000088</v>
      </c>
      <c r="C2263" t="s">
        <v>4852</v>
      </c>
      <c r="D2263" t="s">
        <v>51</v>
      </c>
      <c r="F2263">
        <v>8989596786</v>
      </c>
      <c r="G2263">
        <v>8588654974</v>
      </c>
      <c r="H2263">
        <v>7100570110</v>
      </c>
      <c r="I2263">
        <v>6711688945</v>
      </c>
      <c r="J2263">
        <v>6260230876</v>
      </c>
      <c r="K2263">
        <v>5883176810</v>
      </c>
      <c r="L2263">
        <v>5508827883</v>
      </c>
      <c r="M2263">
        <v>5127077461</v>
      </c>
      <c r="N2263">
        <v>4747099416</v>
      </c>
      <c r="O2263">
        <v>4572593971</v>
      </c>
      <c r="P2263">
        <v>170</v>
      </c>
      <c r="Q2263" t="s">
        <v>4853</v>
      </c>
    </row>
    <row r="2264" spans="1:17" x14ac:dyDescent="0.3">
      <c r="A2264" t="s">
        <v>4729</v>
      </c>
      <c r="B2264" t="str">
        <f>"000089"</f>
        <v>000089</v>
      </c>
      <c r="C2264" t="s">
        <v>4854</v>
      </c>
      <c r="D2264" t="s">
        <v>22</v>
      </c>
      <c r="F2264">
        <v>11889127858</v>
      </c>
      <c r="G2264">
        <v>11925087567</v>
      </c>
      <c r="H2264">
        <v>12062597295</v>
      </c>
      <c r="I2264">
        <v>11637723492</v>
      </c>
      <c r="J2264">
        <v>11169370999</v>
      </c>
      <c r="K2264">
        <v>10680132097</v>
      </c>
      <c r="L2264">
        <v>10224631290</v>
      </c>
      <c r="M2264">
        <v>7903635739</v>
      </c>
      <c r="N2264">
        <v>7791567247</v>
      </c>
      <c r="O2264">
        <v>7334663365</v>
      </c>
      <c r="P2264">
        <v>665</v>
      </c>
      <c r="Q2264" t="s">
        <v>4855</v>
      </c>
    </row>
    <row r="2265" spans="1:17" x14ac:dyDescent="0.3">
      <c r="A2265" t="s">
        <v>4729</v>
      </c>
      <c r="B2265" t="str">
        <f>"000090"</f>
        <v>000090</v>
      </c>
      <c r="C2265" t="s">
        <v>4856</v>
      </c>
      <c r="D2265" t="s">
        <v>104</v>
      </c>
      <c r="F2265">
        <v>9508439578</v>
      </c>
      <c r="G2265">
        <v>8462134954</v>
      </c>
      <c r="H2265">
        <v>7795167496</v>
      </c>
      <c r="I2265">
        <v>6900289941</v>
      </c>
      <c r="J2265">
        <v>6540770378</v>
      </c>
      <c r="K2265">
        <v>6289866562</v>
      </c>
      <c r="L2265">
        <v>6161329603</v>
      </c>
      <c r="M2265">
        <v>3686682207</v>
      </c>
      <c r="N2265">
        <v>3361060807</v>
      </c>
      <c r="O2265">
        <v>3221295040</v>
      </c>
      <c r="P2265">
        <v>424</v>
      </c>
      <c r="Q2265" t="s">
        <v>4857</v>
      </c>
    </row>
    <row r="2266" spans="1:17" x14ac:dyDescent="0.3">
      <c r="A2266" t="s">
        <v>4729</v>
      </c>
      <c r="B2266" t="str">
        <f>"000096"</f>
        <v>000096</v>
      </c>
      <c r="C2266" t="s">
        <v>4858</v>
      </c>
      <c r="D2266" t="s">
        <v>584</v>
      </c>
      <c r="F2266">
        <v>2891797618</v>
      </c>
      <c r="G2266">
        <v>2837914382</v>
      </c>
      <c r="H2266">
        <v>2713326692</v>
      </c>
      <c r="I2266">
        <v>2476901742</v>
      </c>
      <c r="J2266">
        <v>2378843205</v>
      </c>
      <c r="K2266">
        <v>2282332123</v>
      </c>
      <c r="L2266">
        <v>1998473365</v>
      </c>
      <c r="M2266">
        <v>1869655099</v>
      </c>
      <c r="N2266">
        <v>1852831730</v>
      </c>
      <c r="O2266">
        <v>1800358128</v>
      </c>
      <c r="P2266">
        <v>86</v>
      </c>
      <c r="Q2266" t="s">
        <v>4859</v>
      </c>
    </row>
    <row r="2267" spans="1:17" x14ac:dyDescent="0.3">
      <c r="A2267" t="s">
        <v>4729</v>
      </c>
      <c r="B2267" t="str">
        <f>"000099"</f>
        <v>000099</v>
      </c>
      <c r="C2267" t="s">
        <v>4860</v>
      </c>
      <c r="D2267" t="s">
        <v>77</v>
      </c>
      <c r="F2267">
        <v>4728985103</v>
      </c>
      <c r="G2267">
        <v>3477818736</v>
      </c>
      <c r="H2267">
        <v>3270020811</v>
      </c>
      <c r="I2267">
        <v>3077777946</v>
      </c>
      <c r="J2267">
        <v>2947093131</v>
      </c>
      <c r="K2267">
        <v>2839047449</v>
      </c>
      <c r="L2267">
        <v>2781980347</v>
      </c>
      <c r="M2267">
        <v>2693608354</v>
      </c>
      <c r="N2267">
        <v>2427284188</v>
      </c>
      <c r="O2267">
        <v>1962914987</v>
      </c>
      <c r="P2267">
        <v>166</v>
      </c>
      <c r="Q2267" t="s">
        <v>4861</v>
      </c>
    </row>
    <row r="2268" spans="1:17" x14ac:dyDescent="0.3">
      <c r="A2268" t="s">
        <v>4729</v>
      </c>
      <c r="B2268" t="str">
        <f>"000100"</f>
        <v>000100</v>
      </c>
      <c r="C2268" t="s">
        <v>4862</v>
      </c>
      <c r="D2268" t="s">
        <v>1117</v>
      </c>
      <c r="F2268">
        <v>42833900554</v>
      </c>
      <c r="G2268">
        <v>33877554000</v>
      </c>
      <c r="H2268">
        <v>30111946000</v>
      </c>
      <c r="I2268">
        <v>30494365000</v>
      </c>
      <c r="J2268">
        <v>29747067178</v>
      </c>
      <c r="K2268">
        <v>22764892022</v>
      </c>
      <c r="L2268">
        <v>24210106339</v>
      </c>
      <c r="M2268">
        <v>18194348691</v>
      </c>
      <c r="N2268">
        <v>14168316437</v>
      </c>
      <c r="O2268">
        <v>11746295610</v>
      </c>
      <c r="P2268">
        <v>2194</v>
      </c>
      <c r="Q2268" t="s">
        <v>4863</v>
      </c>
    </row>
    <row r="2269" spans="1:17" x14ac:dyDescent="0.3">
      <c r="A2269" t="s">
        <v>4729</v>
      </c>
      <c r="B2269" t="str">
        <f>"000150"</f>
        <v>000150</v>
      </c>
      <c r="C2269" t="s">
        <v>4864</v>
      </c>
      <c r="D2269" t="s">
        <v>1147</v>
      </c>
      <c r="F2269">
        <v>-410887209</v>
      </c>
      <c r="G2269">
        <v>136566569</v>
      </c>
      <c r="H2269">
        <v>797605396</v>
      </c>
      <c r="I2269">
        <v>2412186038</v>
      </c>
      <c r="J2269">
        <v>2278053855</v>
      </c>
      <c r="K2269">
        <v>2419906806</v>
      </c>
      <c r="L2269">
        <v>1675543854</v>
      </c>
      <c r="M2269">
        <v>826351375</v>
      </c>
      <c r="N2269">
        <v>796528811</v>
      </c>
      <c r="O2269">
        <v>704627277</v>
      </c>
      <c r="P2269">
        <v>184</v>
      </c>
      <c r="Q2269" t="s">
        <v>4865</v>
      </c>
    </row>
    <row r="2270" spans="1:17" x14ac:dyDescent="0.3">
      <c r="A2270" t="s">
        <v>4729</v>
      </c>
      <c r="B2270" t="str">
        <f>"000151"</f>
        <v>000151</v>
      </c>
      <c r="C2270" t="s">
        <v>4866</v>
      </c>
      <c r="D2270" t="s">
        <v>131</v>
      </c>
      <c r="F2270">
        <v>895183319</v>
      </c>
      <c r="G2270">
        <v>637563840</v>
      </c>
      <c r="H2270">
        <v>948071248</v>
      </c>
      <c r="I2270">
        <v>1000389277</v>
      </c>
      <c r="J2270">
        <v>990465213</v>
      </c>
      <c r="K2270">
        <v>991439093</v>
      </c>
      <c r="L2270">
        <v>1008657701</v>
      </c>
      <c r="M2270">
        <v>995743263</v>
      </c>
      <c r="N2270">
        <v>971743738</v>
      </c>
      <c r="O2270">
        <v>899312432</v>
      </c>
      <c r="P2270">
        <v>95</v>
      </c>
      <c r="Q2270" t="s">
        <v>4867</v>
      </c>
    </row>
    <row r="2271" spans="1:17" x14ac:dyDescent="0.3">
      <c r="A2271" t="s">
        <v>4729</v>
      </c>
      <c r="B2271" t="str">
        <f>"000153"</f>
        <v>000153</v>
      </c>
      <c r="C2271" t="s">
        <v>4868</v>
      </c>
      <c r="D2271" t="s">
        <v>143</v>
      </c>
      <c r="F2271">
        <v>1528153115</v>
      </c>
      <c r="G2271">
        <v>1413489476</v>
      </c>
      <c r="H2271">
        <v>1324318859</v>
      </c>
      <c r="I2271">
        <v>1288675703</v>
      </c>
      <c r="J2271">
        <v>1220456401</v>
      </c>
      <c r="K2271">
        <v>1152773755</v>
      </c>
      <c r="L2271">
        <v>1150678808</v>
      </c>
      <c r="M2271">
        <v>1112442100</v>
      </c>
      <c r="N2271">
        <v>1013604053</v>
      </c>
      <c r="O2271">
        <v>734158626</v>
      </c>
      <c r="P2271">
        <v>118</v>
      </c>
      <c r="Q2271" t="s">
        <v>4869</v>
      </c>
    </row>
    <row r="2272" spans="1:17" x14ac:dyDescent="0.3">
      <c r="A2272" t="s">
        <v>4729</v>
      </c>
      <c r="B2272" t="str">
        <f>"000155"</f>
        <v>000155</v>
      </c>
      <c r="C2272" t="s">
        <v>4870</v>
      </c>
      <c r="D2272" t="s">
        <v>383</v>
      </c>
      <c r="F2272">
        <v>4810507763</v>
      </c>
      <c r="G2272">
        <v>3685845140</v>
      </c>
      <c r="H2272">
        <v>3521688427</v>
      </c>
      <c r="I2272">
        <v>3259965219</v>
      </c>
      <c r="J2272">
        <v>3017665395</v>
      </c>
      <c r="K2272">
        <v>2853943158</v>
      </c>
      <c r="L2272">
        <v>-1398430633</v>
      </c>
      <c r="M2272">
        <v>-821777678</v>
      </c>
      <c r="N2272">
        <v>733205140</v>
      </c>
      <c r="O2272">
        <v>1361338339</v>
      </c>
      <c r="P2272">
        <v>309</v>
      </c>
      <c r="Q2272" t="s">
        <v>4871</v>
      </c>
    </row>
    <row r="2273" spans="1:17" x14ac:dyDescent="0.3">
      <c r="A2273" t="s">
        <v>4729</v>
      </c>
      <c r="B2273" t="str">
        <f>"000156"</f>
        <v>000156</v>
      </c>
      <c r="C2273" t="s">
        <v>4872</v>
      </c>
      <c r="D2273" t="s">
        <v>95</v>
      </c>
      <c r="F2273">
        <v>14127195465</v>
      </c>
      <c r="G2273">
        <v>13541386819</v>
      </c>
      <c r="H2273">
        <v>11002679884</v>
      </c>
      <c r="I2273">
        <v>10645849488</v>
      </c>
      <c r="J2273">
        <v>10376877142</v>
      </c>
      <c r="K2273">
        <v>10106636972</v>
      </c>
      <c r="L2273">
        <v>9249303154</v>
      </c>
      <c r="M2273">
        <v>2197350615</v>
      </c>
      <c r="N2273">
        <v>1813581917</v>
      </c>
      <c r="O2273">
        <v>842342058</v>
      </c>
      <c r="P2273">
        <v>309</v>
      </c>
      <c r="Q2273" t="s">
        <v>4873</v>
      </c>
    </row>
    <row r="2274" spans="1:17" x14ac:dyDescent="0.3">
      <c r="A2274" t="s">
        <v>4729</v>
      </c>
      <c r="B2274" t="str">
        <f>"000157"</f>
        <v>000157</v>
      </c>
      <c r="C2274" t="s">
        <v>4874</v>
      </c>
      <c r="D2274" t="s">
        <v>83</v>
      </c>
      <c r="F2274">
        <v>56867851035</v>
      </c>
      <c r="G2274">
        <v>46743743473</v>
      </c>
      <c r="H2274">
        <v>38863231588</v>
      </c>
      <c r="I2274">
        <v>38201194804</v>
      </c>
      <c r="J2274">
        <v>37578261818</v>
      </c>
      <c r="K2274">
        <v>36813562701</v>
      </c>
      <c r="L2274">
        <v>39936600440</v>
      </c>
      <c r="M2274">
        <v>40830793318</v>
      </c>
      <c r="N2274">
        <v>41619087301</v>
      </c>
      <c r="O2274">
        <v>40802140000</v>
      </c>
      <c r="P2274">
        <v>1683</v>
      </c>
      <c r="Q2274" t="s">
        <v>4875</v>
      </c>
    </row>
    <row r="2275" spans="1:17" x14ac:dyDescent="0.3">
      <c r="A2275" t="s">
        <v>4729</v>
      </c>
      <c r="B2275" t="str">
        <f>"000158"</f>
        <v>000158</v>
      </c>
      <c r="C2275" t="s">
        <v>4876</v>
      </c>
      <c r="D2275" t="s">
        <v>316</v>
      </c>
      <c r="F2275">
        <v>6153903347</v>
      </c>
      <c r="G2275">
        <v>6015987717</v>
      </c>
      <c r="H2275">
        <v>5912543313</v>
      </c>
      <c r="I2275">
        <v>6084461168</v>
      </c>
      <c r="J2275">
        <v>6008086489</v>
      </c>
      <c r="K2275">
        <v>5739262570</v>
      </c>
      <c r="L2275">
        <v>5429209890</v>
      </c>
      <c r="M2275">
        <v>2473352624</v>
      </c>
      <c r="N2275">
        <v>2441968450</v>
      </c>
      <c r="O2275">
        <v>2427040859</v>
      </c>
      <c r="P2275">
        <v>295</v>
      </c>
      <c r="Q2275" t="s">
        <v>4877</v>
      </c>
    </row>
    <row r="2276" spans="1:17" x14ac:dyDescent="0.3">
      <c r="A2276" t="s">
        <v>4729</v>
      </c>
      <c r="B2276" t="str">
        <f>"000159"</f>
        <v>000159</v>
      </c>
      <c r="C2276" t="s">
        <v>4878</v>
      </c>
      <c r="D2276" t="s">
        <v>584</v>
      </c>
      <c r="F2276">
        <v>2221649871</v>
      </c>
      <c r="G2276">
        <v>2210688180</v>
      </c>
      <c r="H2276">
        <v>2197281687</v>
      </c>
      <c r="I2276">
        <v>2150064686</v>
      </c>
      <c r="J2276">
        <v>2083031554</v>
      </c>
      <c r="K2276">
        <v>2189295178</v>
      </c>
      <c r="L2276">
        <v>2164003446</v>
      </c>
      <c r="M2276">
        <v>2165357945</v>
      </c>
      <c r="N2276">
        <v>2061593564</v>
      </c>
      <c r="O2276">
        <v>2069681213</v>
      </c>
      <c r="P2276">
        <v>100</v>
      </c>
      <c r="Q2276" t="s">
        <v>4879</v>
      </c>
    </row>
    <row r="2277" spans="1:17" x14ac:dyDescent="0.3">
      <c r="A2277" t="s">
        <v>4729</v>
      </c>
      <c r="B2277" t="str">
        <f>"000166"</f>
        <v>000166</v>
      </c>
      <c r="C2277" t="s">
        <v>4880</v>
      </c>
      <c r="D2277" t="s">
        <v>80</v>
      </c>
      <c r="F2277">
        <v>95222008059</v>
      </c>
      <c r="G2277">
        <v>88464616515</v>
      </c>
      <c r="H2277">
        <v>83206189814</v>
      </c>
      <c r="I2277">
        <v>69399324718</v>
      </c>
      <c r="J2277">
        <v>55197196588</v>
      </c>
      <c r="K2277">
        <v>52304811759</v>
      </c>
      <c r="L2277">
        <v>50234291322.639999</v>
      </c>
      <c r="M2277">
        <v>21525635214</v>
      </c>
      <c r="N2277">
        <v>33243398100</v>
      </c>
      <c r="O2277">
        <v>17218138300</v>
      </c>
      <c r="P2277">
        <v>2819</v>
      </c>
      <c r="Q2277" t="s">
        <v>4881</v>
      </c>
    </row>
    <row r="2278" spans="1:17" x14ac:dyDescent="0.3">
      <c r="A2278" t="s">
        <v>4729</v>
      </c>
      <c r="B2278" t="str">
        <f>"000301"</f>
        <v>000301</v>
      </c>
      <c r="C2278" t="s">
        <v>4882</v>
      </c>
      <c r="D2278" t="s">
        <v>74</v>
      </c>
      <c r="F2278">
        <v>26396165852</v>
      </c>
      <c r="G2278">
        <v>17545469390</v>
      </c>
      <c r="H2278">
        <v>14016198530</v>
      </c>
      <c r="I2278">
        <v>12952475953</v>
      </c>
      <c r="J2278">
        <v>3586149284</v>
      </c>
      <c r="K2278">
        <v>3462862526</v>
      </c>
      <c r="L2278">
        <v>3230232086</v>
      </c>
      <c r="M2278">
        <v>3124065471</v>
      </c>
      <c r="N2278">
        <v>2959818707</v>
      </c>
      <c r="O2278">
        <v>2690651594</v>
      </c>
      <c r="P2278">
        <v>397</v>
      </c>
      <c r="Q2278" t="s">
        <v>4883</v>
      </c>
    </row>
    <row r="2279" spans="1:17" x14ac:dyDescent="0.3">
      <c r="A2279" t="s">
        <v>4729</v>
      </c>
      <c r="B2279" t="str">
        <f>"000333"</f>
        <v>000333</v>
      </c>
      <c r="C2279" t="s">
        <v>4884</v>
      </c>
      <c r="D2279" t="s">
        <v>1727</v>
      </c>
      <c r="F2279">
        <v>124868124000</v>
      </c>
      <c r="G2279">
        <v>117516260000</v>
      </c>
      <c r="H2279">
        <v>101669163000</v>
      </c>
      <c r="I2279">
        <v>83072116000</v>
      </c>
      <c r="J2279">
        <v>73737437000</v>
      </c>
      <c r="K2279">
        <v>61126923000</v>
      </c>
      <c r="L2279">
        <v>49201852000</v>
      </c>
      <c r="M2279">
        <v>39470499840</v>
      </c>
      <c r="N2279">
        <v>32847431040</v>
      </c>
      <c r="O2279">
        <v>14313530860</v>
      </c>
      <c r="P2279">
        <v>25066</v>
      </c>
      <c r="Q2279" t="s">
        <v>4885</v>
      </c>
    </row>
    <row r="2280" spans="1:17" x14ac:dyDescent="0.3">
      <c r="A2280" t="s">
        <v>4729</v>
      </c>
      <c r="B2280" t="str">
        <f>"000338"</f>
        <v>000338</v>
      </c>
      <c r="C2280" t="s">
        <v>4886</v>
      </c>
      <c r="D2280" t="s">
        <v>348</v>
      </c>
      <c r="F2280">
        <v>70906804321</v>
      </c>
      <c r="G2280">
        <v>51202320241</v>
      </c>
      <c r="H2280">
        <v>45223941063</v>
      </c>
      <c r="I2280">
        <v>39313734834</v>
      </c>
      <c r="J2280">
        <v>35239522903</v>
      </c>
      <c r="K2280">
        <v>31738269620</v>
      </c>
      <c r="L2280">
        <v>31729455671</v>
      </c>
      <c r="M2280">
        <v>32467729525</v>
      </c>
      <c r="N2280">
        <v>27723173632</v>
      </c>
      <c r="O2280">
        <v>24869351224</v>
      </c>
      <c r="P2280">
        <v>3423</v>
      </c>
      <c r="Q2280" t="s">
        <v>4887</v>
      </c>
    </row>
    <row r="2281" spans="1:17" x14ac:dyDescent="0.3">
      <c r="A2281" t="s">
        <v>4729</v>
      </c>
      <c r="B2281" t="str">
        <f>"000400"</f>
        <v>000400</v>
      </c>
      <c r="C2281" t="s">
        <v>4888</v>
      </c>
      <c r="D2281" t="s">
        <v>610</v>
      </c>
      <c r="F2281">
        <v>9420658965</v>
      </c>
      <c r="G2281">
        <v>8668253470</v>
      </c>
      <c r="H2281">
        <v>8131456812</v>
      </c>
      <c r="I2281">
        <v>7755065880</v>
      </c>
      <c r="J2281">
        <v>7575766921</v>
      </c>
      <c r="K2281">
        <v>7058208954</v>
      </c>
      <c r="L2281">
        <v>6290204448</v>
      </c>
      <c r="M2281">
        <v>5669489810</v>
      </c>
      <c r="N2281">
        <v>3288552908</v>
      </c>
      <c r="O2281">
        <v>2803468365</v>
      </c>
      <c r="P2281">
        <v>688</v>
      </c>
      <c r="Q2281" t="s">
        <v>4889</v>
      </c>
    </row>
    <row r="2282" spans="1:17" x14ac:dyDescent="0.3">
      <c r="A2282" t="s">
        <v>4729</v>
      </c>
      <c r="B2282" t="str">
        <f>"000401"</f>
        <v>000401</v>
      </c>
      <c r="C2282" t="s">
        <v>4890</v>
      </c>
      <c r="D2282" t="s">
        <v>731</v>
      </c>
      <c r="F2282">
        <v>31516911026</v>
      </c>
      <c r="G2282">
        <v>14265104907</v>
      </c>
      <c r="H2282">
        <v>12368111327</v>
      </c>
      <c r="I2282">
        <v>11597512457</v>
      </c>
      <c r="J2282">
        <v>10077999677</v>
      </c>
      <c r="K2282">
        <v>9985485749</v>
      </c>
      <c r="L2282">
        <v>10060610752</v>
      </c>
      <c r="M2282">
        <v>11793553532</v>
      </c>
      <c r="N2282">
        <v>11900430558</v>
      </c>
      <c r="O2282">
        <v>11643301782</v>
      </c>
      <c r="P2282">
        <v>826</v>
      </c>
      <c r="Q2282" t="s">
        <v>4891</v>
      </c>
    </row>
    <row r="2283" spans="1:17" x14ac:dyDescent="0.3">
      <c r="A2283" t="s">
        <v>4729</v>
      </c>
      <c r="B2283" t="str">
        <f>"000402"</f>
        <v>000402</v>
      </c>
      <c r="C2283" t="s">
        <v>4892</v>
      </c>
      <c r="D2283" t="s">
        <v>30</v>
      </c>
      <c r="F2283">
        <v>37122595946</v>
      </c>
      <c r="G2283">
        <v>36393953514</v>
      </c>
      <c r="H2283">
        <v>34710159730</v>
      </c>
      <c r="I2283">
        <v>31962553611</v>
      </c>
      <c r="J2283">
        <v>29555216959</v>
      </c>
      <c r="K2283">
        <v>27743037929</v>
      </c>
      <c r="L2283">
        <v>25487270687</v>
      </c>
      <c r="M2283">
        <v>24217096727</v>
      </c>
      <c r="N2283">
        <v>22281537720</v>
      </c>
      <c r="O2283">
        <v>19794053145</v>
      </c>
      <c r="P2283">
        <v>974</v>
      </c>
      <c r="Q2283" t="s">
        <v>4893</v>
      </c>
    </row>
    <row r="2284" spans="1:17" x14ac:dyDescent="0.3">
      <c r="A2284" t="s">
        <v>4729</v>
      </c>
      <c r="B2284" t="str">
        <f>"000403"</f>
        <v>000403</v>
      </c>
      <c r="C2284" t="s">
        <v>4894</v>
      </c>
      <c r="D2284" t="s">
        <v>378</v>
      </c>
      <c r="F2284">
        <v>6325664039</v>
      </c>
      <c r="G2284">
        <v>965316162</v>
      </c>
      <c r="H2284">
        <v>800222049</v>
      </c>
      <c r="I2284">
        <v>637731187</v>
      </c>
      <c r="J2284">
        <v>555243587</v>
      </c>
      <c r="K2284">
        <v>533646690</v>
      </c>
      <c r="L2284">
        <v>500456491</v>
      </c>
      <c r="M2284">
        <v>422893453</v>
      </c>
      <c r="N2284">
        <v>300343605</v>
      </c>
      <c r="O2284">
        <v>230063344</v>
      </c>
      <c r="P2284">
        <v>294</v>
      </c>
      <c r="Q2284" t="s">
        <v>4895</v>
      </c>
    </row>
    <row r="2285" spans="1:17" x14ac:dyDescent="0.3">
      <c r="A2285" t="s">
        <v>4729</v>
      </c>
      <c r="B2285" t="str">
        <f>"000404"</f>
        <v>000404</v>
      </c>
      <c r="C2285" t="s">
        <v>4896</v>
      </c>
      <c r="D2285" t="s">
        <v>1253</v>
      </c>
      <c r="F2285">
        <v>3434563352</v>
      </c>
      <c r="G2285">
        <v>3317166651</v>
      </c>
      <c r="H2285">
        <v>3213643255</v>
      </c>
      <c r="I2285">
        <v>3198733647</v>
      </c>
      <c r="J2285">
        <v>3148333333</v>
      </c>
      <c r="K2285">
        <v>2446557146</v>
      </c>
      <c r="L2285">
        <v>2238864805</v>
      </c>
      <c r="M2285">
        <v>2056945035</v>
      </c>
      <c r="N2285">
        <v>1925397199</v>
      </c>
      <c r="O2285">
        <v>682996922</v>
      </c>
      <c r="P2285">
        <v>113</v>
      </c>
      <c r="Q2285" t="s">
        <v>4897</v>
      </c>
    </row>
    <row r="2286" spans="1:17" x14ac:dyDescent="0.3">
      <c r="A2286" t="s">
        <v>4729</v>
      </c>
      <c r="B2286" t="str">
        <f>"000405"</f>
        <v>000405</v>
      </c>
      <c r="C2286" t="s">
        <v>4898</v>
      </c>
      <c r="K2286">
        <v>11951309.960000001</v>
      </c>
      <c r="L2286">
        <v>3315936.28</v>
      </c>
      <c r="M2286">
        <v>-834076097.80999994</v>
      </c>
      <c r="N2286">
        <v>-762306621.51999998</v>
      </c>
      <c r="O2286">
        <v>-745365178.70000005</v>
      </c>
      <c r="P2286">
        <v>3</v>
      </c>
      <c r="Q2286" t="s">
        <v>4899</v>
      </c>
    </row>
    <row r="2287" spans="1:17" x14ac:dyDescent="0.3">
      <c r="A2287" t="s">
        <v>4729</v>
      </c>
      <c r="B2287" t="str">
        <f>"000407"</f>
        <v>000407</v>
      </c>
      <c r="C2287" t="s">
        <v>4900</v>
      </c>
      <c r="D2287" t="s">
        <v>749</v>
      </c>
      <c r="F2287">
        <v>2613347106</v>
      </c>
      <c r="G2287">
        <v>2457702562</v>
      </c>
      <c r="H2287">
        <v>2422019705</v>
      </c>
      <c r="I2287">
        <v>2271492524</v>
      </c>
      <c r="J2287">
        <v>2174683042</v>
      </c>
      <c r="K2287">
        <v>2117274078</v>
      </c>
      <c r="L2287">
        <v>1796539368</v>
      </c>
      <c r="M2287">
        <v>1764346968</v>
      </c>
      <c r="N2287">
        <v>1114145348</v>
      </c>
      <c r="O2287">
        <v>1093817776</v>
      </c>
      <c r="P2287">
        <v>113</v>
      </c>
      <c r="Q2287" t="s">
        <v>4901</v>
      </c>
    </row>
    <row r="2288" spans="1:17" x14ac:dyDescent="0.3">
      <c r="A2288" t="s">
        <v>4729</v>
      </c>
      <c r="B2288" t="str">
        <f>"000408"</f>
        <v>000408</v>
      </c>
      <c r="C2288" t="s">
        <v>4902</v>
      </c>
      <c r="D2288" t="s">
        <v>3458</v>
      </c>
      <c r="F2288">
        <v>9453791300</v>
      </c>
      <c r="G2288">
        <v>7917133465</v>
      </c>
      <c r="H2288">
        <v>7906626636</v>
      </c>
      <c r="I2288">
        <v>7435201826</v>
      </c>
      <c r="J2288">
        <v>6534854699</v>
      </c>
      <c r="K2288">
        <v>5958060386</v>
      </c>
      <c r="L2288">
        <v>76111673</v>
      </c>
      <c r="M2288">
        <v>135633567</v>
      </c>
      <c r="N2288">
        <v>190880415</v>
      </c>
      <c r="O2288">
        <v>173043477</v>
      </c>
      <c r="P2288">
        <v>188</v>
      </c>
      <c r="Q2288" t="s">
        <v>4903</v>
      </c>
    </row>
    <row r="2289" spans="1:17" x14ac:dyDescent="0.3">
      <c r="A2289" t="s">
        <v>4729</v>
      </c>
      <c r="B2289" t="str">
        <f>"000409"</f>
        <v>000409</v>
      </c>
      <c r="C2289" t="s">
        <v>4904</v>
      </c>
      <c r="D2289" t="s">
        <v>110</v>
      </c>
      <c r="F2289">
        <v>504276479</v>
      </c>
      <c r="G2289">
        <v>499437136</v>
      </c>
      <c r="H2289">
        <v>528869103</v>
      </c>
      <c r="I2289">
        <v>985607468</v>
      </c>
      <c r="J2289">
        <v>711980104</v>
      </c>
      <c r="K2289">
        <v>935930662</v>
      </c>
      <c r="L2289">
        <v>1129870804</v>
      </c>
      <c r="M2289">
        <v>1032266241</v>
      </c>
      <c r="N2289">
        <v>1063469847</v>
      </c>
      <c r="O2289">
        <v>941975626</v>
      </c>
      <c r="P2289">
        <v>75</v>
      </c>
      <c r="Q2289" t="s">
        <v>4905</v>
      </c>
    </row>
    <row r="2290" spans="1:17" x14ac:dyDescent="0.3">
      <c r="A2290" t="s">
        <v>4729</v>
      </c>
      <c r="B2290" t="str">
        <f>"000410"</f>
        <v>000410</v>
      </c>
      <c r="C2290" t="s">
        <v>4906</v>
      </c>
      <c r="D2290" t="s">
        <v>2321</v>
      </c>
      <c r="F2290">
        <v>-497623907</v>
      </c>
      <c r="G2290">
        <v>364018424</v>
      </c>
      <c r="H2290">
        <v>1108420335</v>
      </c>
      <c r="I2290">
        <v>67309515</v>
      </c>
      <c r="J2290">
        <v>864829368</v>
      </c>
      <c r="K2290">
        <v>658502802</v>
      </c>
      <c r="L2290">
        <v>2059630723</v>
      </c>
      <c r="M2290">
        <v>2705298835</v>
      </c>
      <c r="N2290">
        <v>2678611453</v>
      </c>
      <c r="O2290">
        <v>1552757463</v>
      </c>
      <c r="P2290">
        <v>101</v>
      </c>
      <c r="Q2290" t="s">
        <v>4907</v>
      </c>
    </row>
    <row r="2291" spans="1:17" x14ac:dyDescent="0.3">
      <c r="A2291" t="s">
        <v>4729</v>
      </c>
      <c r="B2291" t="str">
        <f>"000411"</f>
        <v>000411</v>
      </c>
      <c r="C2291" t="s">
        <v>4908</v>
      </c>
      <c r="D2291" t="s">
        <v>125</v>
      </c>
      <c r="F2291">
        <v>1786807973</v>
      </c>
      <c r="G2291">
        <v>1660032536</v>
      </c>
      <c r="H2291">
        <v>1517114589</v>
      </c>
      <c r="I2291">
        <v>930300775</v>
      </c>
      <c r="J2291">
        <v>843398016</v>
      </c>
      <c r="K2291">
        <v>758708094</v>
      </c>
      <c r="L2291">
        <v>673957433</v>
      </c>
      <c r="M2291">
        <v>608427136</v>
      </c>
      <c r="N2291">
        <v>542185437</v>
      </c>
      <c r="O2291">
        <v>468174202</v>
      </c>
      <c r="P2291">
        <v>236</v>
      </c>
      <c r="Q2291" t="s">
        <v>4909</v>
      </c>
    </row>
    <row r="2292" spans="1:17" x14ac:dyDescent="0.3">
      <c r="A2292" t="s">
        <v>4729</v>
      </c>
      <c r="B2292" t="str">
        <f>"000413"</f>
        <v>000413</v>
      </c>
      <c r="C2292" t="s">
        <v>4910</v>
      </c>
      <c r="D2292" t="s">
        <v>1117</v>
      </c>
      <c r="F2292">
        <v>24664538607</v>
      </c>
      <c r="G2292">
        <v>27718413574</v>
      </c>
      <c r="H2292">
        <v>30625741258</v>
      </c>
      <c r="I2292">
        <v>32521130925</v>
      </c>
      <c r="J2292">
        <v>30922796455</v>
      </c>
      <c r="K2292">
        <v>22216300366</v>
      </c>
      <c r="L2292">
        <v>14319481941</v>
      </c>
      <c r="M2292">
        <v>6436732506</v>
      </c>
      <c r="N2292">
        <v>5813673715</v>
      </c>
      <c r="O2292">
        <v>391928778</v>
      </c>
      <c r="P2292">
        <v>525</v>
      </c>
      <c r="Q2292" t="s">
        <v>4911</v>
      </c>
    </row>
    <row r="2293" spans="1:17" x14ac:dyDescent="0.3">
      <c r="A2293" t="s">
        <v>4729</v>
      </c>
      <c r="B2293" t="str">
        <f>"000415"</f>
        <v>000415</v>
      </c>
      <c r="C2293" t="s">
        <v>4912</v>
      </c>
      <c r="D2293" t="s">
        <v>336</v>
      </c>
      <c r="F2293">
        <v>25594571000</v>
      </c>
      <c r="G2293">
        <v>27169667000</v>
      </c>
      <c r="H2293">
        <v>37753900000</v>
      </c>
      <c r="I2293">
        <v>35737768000</v>
      </c>
      <c r="J2293">
        <v>31637455000</v>
      </c>
      <c r="K2293">
        <v>31147706000</v>
      </c>
      <c r="L2293">
        <v>27291098000</v>
      </c>
      <c r="M2293">
        <v>9788513000</v>
      </c>
      <c r="N2293">
        <v>5659555000</v>
      </c>
      <c r="O2293">
        <v>7077703440</v>
      </c>
      <c r="P2293">
        <v>256</v>
      </c>
      <c r="Q2293" t="s">
        <v>4913</v>
      </c>
    </row>
    <row r="2294" spans="1:17" x14ac:dyDescent="0.3">
      <c r="A2294" t="s">
        <v>4729</v>
      </c>
      <c r="B2294" t="str">
        <f>"000416"</f>
        <v>000416</v>
      </c>
      <c r="C2294" t="s">
        <v>4914</v>
      </c>
      <c r="D2294" t="s">
        <v>140</v>
      </c>
      <c r="F2294">
        <v>896794450</v>
      </c>
      <c r="G2294">
        <v>900173302</v>
      </c>
      <c r="H2294">
        <v>883515329</v>
      </c>
      <c r="I2294">
        <v>871964107</v>
      </c>
      <c r="J2294">
        <v>875772634</v>
      </c>
      <c r="K2294">
        <v>877234964</v>
      </c>
      <c r="L2294">
        <v>870437877</v>
      </c>
      <c r="M2294">
        <v>874266162</v>
      </c>
      <c r="N2294">
        <v>787498629</v>
      </c>
      <c r="O2294">
        <v>809629029</v>
      </c>
      <c r="P2294">
        <v>119</v>
      </c>
      <c r="Q2294" t="s">
        <v>4915</v>
      </c>
    </row>
    <row r="2295" spans="1:17" x14ac:dyDescent="0.3">
      <c r="A2295" t="s">
        <v>4729</v>
      </c>
      <c r="B2295" t="str">
        <f>"000417"</f>
        <v>000417</v>
      </c>
      <c r="C2295" t="s">
        <v>4916</v>
      </c>
      <c r="D2295" t="s">
        <v>633</v>
      </c>
      <c r="F2295">
        <v>4175600466</v>
      </c>
      <c r="G2295">
        <v>4041544338</v>
      </c>
      <c r="H2295">
        <v>3966877643</v>
      </c>
      <c r="I2295">
        <v>3769021285</v>
      </c>
      <c r="J2295">
        <v>3663436378</v>
      </c>
      <c r="K2295">
        <v>3569872655</v>
      </c>
      <c r="L2295">
        <v>3377341822</v>
      </c>
      <c r="M2295">
        <v>3253839838</v>
      </c>
      <c r="N2295">
        <v>3028286009</v>
      </c>
      <c r="O2295">
        <v>2661093573</v>
      </c>
      <c r="P2295">
        <v>145</v>
      </c>
      <c r="Q2295" t="s">
        <v>4917</v>
      </c>
    </row>
    <row r="2296" spans="1:17" x14ac:dyDescent="0.3">
      <c r="A2296" t="s">
        <v>4729</v>
      </c>
      <c r="B2296" t="str">
        <f>"000418"</f>
        <v>000418</v>
      </c>
      <c r="C2296" t="s">
        <v>4918</v>
      </c>
      <c r="I2296">
        <v>8312062508</v>
      </c>
      <c r="J2296">
        <v>7047090801</v>
      </c>
      <c r="K2296">
        <v>5983847863</v>
      </c>
      <c r="L2296">
        <v>5124866173.1400003</v>
      </c>
      <c r="M2296">
        <v>4427982112.3299999</v>
      </c>
      <c r="N2296">
        <v>3908897654.7399998</v>
      </c>
      <c r="O2296">
        <v>3686210495.8699999</v>
      </c>
      <c r="P2296">
        <v>653</v>
      </c>
      <c r="Q2296" t="s">
        <v>4919</v>
      </c>
    </row>
    <row r="2297" spans="1:17" x14ac:dyDescent="0.3">
      <c r="A2297" t="s">
        <v>4729</v>
      </c>
      <c r="B2297" t="str">
        <f>"000419"</f>
        <v>000419</v>
      </c>
      <c r="C2297" t="s">
        <v>4920</v>
      </c>
      <c r="D2297" t="s">
        <v>1404</v>
      </c>
      <c r="F2297">
        <v>3022721565</v>
      </c>
      <c r="G2297">
        <v>3170044072</v>
      </c>
      <c r="H2297">
        <v>2913590160</v>
      </c>
      <c r="I2297">
        <v>2764682963</v>
      </c>
      <c r="J2297">
        <v>2008885439</v>
      </c>
      <c r="K2297">
        <v>1946184026</v>
      </c>
      <c r="L2297">
        <v>1843935514</v>
      </c>
      <c r="M2297">
        <v>1862153396</v>
      </c>
      <c r="N2297">
        <v>1773358464</v>
      </c>
      <c r="O2297">
        <v>1675981752</v>
      </c>
      <c r="P2297">
        <v>115</v>
      </c>
      <c r="Q2297" t="s">
        <v>4921</v>
      </c>
    </row>
    <row r="2298" spans="1:17" x14ac:dyDescent="0.3">
      <c r="A2298" t="s">
        <v>4729</v>
      </c>
      <c r="B2298" t="str">
        <f>"000420"</f>
        <v>000420</v>
      </c>
      <c r="C2298" t="s">
        <v>4922</v>
      </c>
      <c r="D2298" t="s">
        <v>888</v>
      </c>
      <c r="G2298">
        <v>3101743008</v>
      </c>
      <c r="H2298">
        <v>3010177962</v>
      </c>
      <c r="I2298">
        <v>2919265791</v>
      </c>
      <c r="J2298">
        <v>2786837634</v>
      </c>
      <c r="K2298">
        <v>2701243498</v>
      </c>
      <c r="L2298">
        <v>972087709</v>
      </c>
      <c r="M2298">
        <v>987780457</v>
      </c>
      <c r="N2298">
        <v>121678768</v>
      </c>
      <c r="O2298">
        <v>515215494</v>
      </c>
      <c r="P2298">
        <v>101</v>
      </c>
      <c r="Q2298" t="s">
        <v>4923</v>
      </c>
    </row>
    <row r="2299" spans="1:17" x14ac:dyDescent="0.3">
      <c r="A2299" t="s">
        <v>4729</v>
      </c>
      <c r="B2299" t="str">
        <f>"000421"</f>
        <v>000421</v>
      </c>
      <c r="C2299" t="s">
        <v>4924</v>
      </c>
      <c r="D2299" t="s">
        <v>749</v>
      </c>
      <c r="F2299">
        <v>2863732414</v>
      </c>
      <c r="G2299">
        <v>2795526528</v>
      </c>
      <c r="H2299">
        <v>2601912764</v>
      </c>
      <c r="I2299">
        <v>2553995892</v>
      </c>
      <c r="J2299">
        <v>2475854833</v>
      </c>
      <c r="K2299">
        <v>2394932749</v>
      </c>
      <c r="L2299">
        <v>2289157950</v>
      </c>
      <c r="M2299">
        <v>1136032433</v>
      </c>
      <c r="N2299">
        <v>957823278</v>
      </c>
      <c r="O2299">
        <v>878242557</v>
      </c>
      <c r="P2299">
        <v>159</v>
      </c>
      <c r="Q2299" t="s">
        <v>4925</v>
      </c>
    </row>
    <row r="2300" spans="1:17" x14ac:dyDescent="0.3">
      <c r="A2300" t="s">
        <v>4729</v>
      </c>
      <c r="B2300" t="str">
        <f>"000422"</f>
        <v>000422</v>
      </c>
      <c r="C2300" t="s">
        <v>4926</v>
      </c>
      <c r="D2300" t="s">
        <v>175</v>
      </c>
      <c r="F2300">
        <v>2407743008</v>
      </c>
      <c r="G2300">
        <v>326207864</v>
      </c>
      <c r="H2300">
        <v>166994697</v>
      </c>
      <c r="I2300">
        <v>94691384</v>
      </c>
      <c r="J2300">
        <v>-361966160</v>
      </c>
      <c r="K2300">
        <v>4823366533</v>
      </c>
      <c r="L2300">
        <v>6110059695</v>
      </c>
      <c r="M2300">
        <v>6126691254</v>
      </c>
      <c r="N2300">
        <v>6112044860</v>
      </c>
      <c r="O2300">
        <v>6144522607</v>
      </c>
      <c r="P2300">
        <v>257</v>
      </c>
      <c r="Q2300" t="s">
        <v>4927</v>
      </c>
    </row>
    <row r="2301" spans="1:17" x14ac:dyDescent="0.3">
      <c r="A2301" t="s">
        <v>4729</v>
      </c>
      <c r="B2301" t="str">
        <f>"000423"</f>
        <v>000423</v>
      </c>
      <c r="C2301" t="s">
        <v>4928</v>
      </c>
      <c r="D2301" t="s">
        <v>188</v>
      </c>
      <c r="F2301">
        <v>9973048913</v>
      </c>
      <c r="G2301">
        <v>9731407793</v>
      </c>
      <c r="H2301">
        <v>9974925868</v>
      </c>
      <c r="I2301">
        <v>11302058976</v>
      </c>
      <c r="J2301">
        <v>9844300517</v>
      </c>
      <c r="K2301">
        <v>8359164969</v>
      </c>
      <c r="L2301">
        <v>7013827105</v>
      </c>
      <c r="M2301">
        <v>5922445796</v>
      </c>
      <c r="N2301">
        <v>5002387792</v>
      </c>
      <c r="O2301">
        <v>4246561788</v>
      </c>
      <c r="P2301">
        <v>24620</v>
      </c>
      <c r="Q2301" t="s">
        <v>4929</v>
      </c>
    </row>
    <row r="2302" spans="1:17" x14ac:dyDescent="0.3">
      <c r="A2302" t="s">
        <v>4729</v>
      </c>
      <c r="B2302" t="str">
        <f>"000425"</f>
        <v>000425</v>
      </c>
      <c r="C2302" t="s">
        <v>4930</v>
      </c>
      <c r="D2302" t="s">
        <v>83</v>
      </c>
      <c r="F2302">
        <v>36443500074</v>
      </c>
      <c r="G2302">
        <v>31702257656</v>
      </c>
      <c r="H2302">
        <v>28511817150</v>
      </c>
      <c r="I2302">
        <v>25456493713</v>
      </c>
      <c r="J2302">
        <v>21331795472</v>
      </c>
      <c r="K2302">
        <v>20457846461</v>
      </c>
      <c r="L2302">
        <v>20591291016</v>
      </c>
      <c r="M2302">
        <v>20118935358</v>
      </c>
      <c r="N2302">
        <v>19382994978</v>
      </c>
      <c r="O2302">
        <v>17432931812</v>
      </c>
      <c r="P2302">
        <v>961</v>
      </c>
      <c r="Q2302" t="s">
        <v>4931</v>
      </c>
    </row>
    <row r="2303" spans="1:17" x14ac:dyDescent="0.3">
      <c r="A2303" t="s">
        <v>4729</v>
      </c>
      <c r="B2303" t="str">
        <f>"000426"</f>
        <v>000426</v>
      </c>
      <c r="C2303" t="s">
        <v>4932</v>
      </c>
      <c r="D2303" t="s">
        <v>744</v>
      </c>
      <c r="F2303">
        <v>5364742471</v>
      </c>
      <c r="G2303">
        <v>5150681438</v>
      </c>
      <c r="H2303">
        <v>5369239277</v>
      </c>
      <c r="I2303">
        <v>5121018468</v>
      </c>
      <c r="J2303">
        <v>5384406824</v>
      </c>
      <c r="K2303">
        <v>4864492162</v>
      </c>
      <c r="L2303">
        <v>2697949754</v>
      </c>
      <c r="M2303">
        <v>2784994422</v>
      </c>
      <c r="N2303">
        <v>2729900668</v>
      </c>
      <c r="O2303">
        <v>1686464555</v>
      </c>
      <c r="P2303">
        <v>202</v>
      </c>
      <c r="Q2303" t="s">
        <v>4933</v>
      </c>
    </row>
    <row r="2304" spans="1:17" x14ac:dyDescent="0.3">
      <c r="A2304" t="s">
        <v>4729</v>
      </c>
      <c r="B2304" t="str">
        <f>"000428"</f>
        <v>000428</v>
      </c>
      <c r="C2304" t="s">
        <v>4934</v>
      </c>
      <c r="D2304" t="s">
        <v>590</v>
      </c>
      <c r="F2304">
        <v>2113107374</v>
      </c>
      <c r="G2304">
        <v>2083165222</v>
      </c>
      <c r="H2304">
        <v>2582833050</v>
      </c>
      <c r="I2304">
        <v>2532598562</v>
      </c>
      <c r="J2304">
        <v>3010212246</v>
      </c>
      <c r="K2304">
        <v>2901250145</v>
      </c>
      <c r="L2304">
        <v>3189798713</v>
      </c>
      <c r="M2304">
        <v>1540623730</v>
      </c>
      <c r="N2304">
        <v>1654122777</v>
      </c>
      <c r="O2304">
        <v>1556432926</v>
      </c>
      <c r="P2304">
        <v>104</v>
      </c>
      <c r="Q2304" t="s">
        <v>4935</v>
      </c>
    </row>
    <row r="2305" spans="1:17" x14ac:dyDescent="0.3">
      <c r="A2305" t="s">
        <v>4729</v>
      </c>
      <c r="B2305" t="str">
        <f>"000429"</f>
        <v>000429</v>
      </c>
      <c r="C2305" t="s">
        <v>4936</v>
      </c>
      <c r="D2305" t="s">
        <v>44</v>
      </c>
      <c r="F2305">
        <v>8982437985</v>
      </c>
      <c r="G2305">
        <v>7933136499</v>
      </c>
      <c r="H2305">
        <v>9823426850</v>
      </c>
      <c r="I2305">
        <v>9586701904</v>
      </c>
      <c r="J2305">
        <v>9023071118</v>
      </c>
      <c r="K2305">
        <v>8289020301</v>
      </c>
      <c r="L2305">
        <v>5209289823</v>
      </c>
      <c r="M2305">
        <v>5016176476</v>
      </c>
      <c r="N2305">
        <v>4237999072</v>
      </c>
      <c r="O2305">
        <v>4268859964</v>
      </c>
      <c r="P2305">
        <v>1026</v>
      </c>
      <c r="Q2305" t="s">
        <v>4937</v>
      </c>
    </row>
    <row r="2306" spans="1:17" x14ac:dyDescent="0.3">
      <c r="A2306" t="s">
        <v>4729</v>
      </c>
      <c r="B2306" t="str">
        <f>"000430"</f>
        <v>000430</v>
      </c>
      <c r="C2306" t="s">
        <v>4938</v>
      </c>
      <c r="D2306" t="s">
        <v>119</v>
      </c>
      <c r="F2306">
        <v>1367303126</v>
      </c>
      <c r="G2306">
        <v>1512082326</v>
      </c>
      <c r="H2306">
        <v>1602499906</v>
      </c>
      <c r="I2306">
        <v>1579401219</v>
      </c>
      <c r="J2306">
        <v>1553084558</v>
      </c>
      <c r="K2306">
        <v>669851599</v>
      </c>
      <c r="L2306">
        <v>606708835</v>
      </c>
      <c r="M2306">
        <v>493483962</v>
      </c>
      <c r="N2306">
        <v>434330875</v>
      </c>
      <c r="O2306">
        <v>383076570</v>
      </c>
      <c r="P2306">
        <v>109</v>
      </c>
      <c r="Q2306" t="s">
        <v>4939</v>
      </c>
    </row>
    <row r="2307" spans="1:17" x14ac:dyDescent="0.3">
      <c r="A2307" t="s">
        <v>4729</v>
      </c>
      <c r="B2307" t="str">
        <f>"000488"</f>
        <v>000488</v>
      </c>
      <c r="C2307" t="s">
        <v>4940</v>
      </c>
      <c r="D2307" t="s">
        <v>694</v>
      </c>
      <c r="F2307">
        <v>18093778228</v>
      </c>
      <c r="G2307">
        <v>18803468789</v>
      </c>
      <c r="H2307">
        <v>17704243864</v>
      </c>
      <c r="I2307">
        <v>17583231455</v>
      </c>
      <c r="J2307">
        <v>17730229075</v>
      </c>
      <c r="K2307">
        <v>15158508367</v>
      </c>
      <c r="L2307">
        <v>14288694585</v>
      </c>
      <c r="M2307">
        <v>13917343301</v>
      </c>
      <c r="N2307">
        <v>14039888226</v>
      </c>
      <c r="O2307">
        <v>13759496180</v>
      </c>
      <c r="P2307">
        <v>1270</v>
      </c>
      <c r="Q2307" t="s">
        <v>4941</v>
      </c>
    </row>
    <row r="2308" spans="1:17" x14ac:dyDescent="0.3">
      <c r="A2308" t="s">
        <v>4729</v>
      </c>
      <c r="B2308" t="str">
        <f>"000498"</f>
        <v>000498</v>
      </c>
      <c r="C2308" t="s">
        <v>4942</v>
      </c>
      <c r="D2308" t="s">
        <v>101</v>
      </c>
      <c r="F2308">
        <v>10625055646</v>
      </c>
      <c r="G2308">
        <v>8645573334</v>
      </c>
      <c r="H2308">
        <v>5511649393</v>
      </c>
      <c r="I2308">
        <v>5000709006</v>
      </c>
      <c r="J2308">
        <v>4014415753</v>
      </c>
      <c r="K2308">
        <v>3466819826</v>
      </c>
      <c r="L2308">
        <v>3036643479</v>
      </c>
      <c r="M2308">
        <v>2652716126</v>
      </c>
      <c r="N2308">
        <v>2302590504</v>
      </c>
      <c r="O2308">
        <v>2021033223</v>
      </c>
      <c r="P2308">
        <v>276</v>
      </c>
      <c r="Q2308" t="s">
        <v>4943</v>
      </c>
    </row>
    <row r="2309" spans="1:17" x14ac:dyDescent="0.3">
      <c r="A2309" t="s">
        <v>4729</v>
      </c>
      <c r="B2309" t="str">
        <f>"000501"</f>
        <v>000501</v>
      </c>
      <c r="C2309" t="s">
        <v>4944</v>
      </c>
      <c r="D2309" t="s">
        <v>633</v>
      </c>
      <c r="F2309">
        <v>10677652125</v>
      </c>
      <c r="G2309">
        <v>9915221252</v>
      </c>
      <c r="H2309">
        <v>9509880785</v>
      </c>
      <c r="I2309">
        <v>8249095311</v>
      </c>
      <c r="J2309">
        <v>7177851019</v>
      </c>
      <c r="K2309">
        <v>6053732453</v>
      </c>
      <c r="L2309">
        <v>4129498738</v>
      </c>
      <c r="M2309">
        <v>3555932411</v>
      </c>
      <c r="N2309">
        <v>2895706757</v>
      </c>
      <c r="O2309">
        <v>2430572939</v>
      </c>
      <c r="P2309">
        <v>6225</v>
      </c>
      <c r="Q2309" t="s">
        <v>4945</v>
      </c>
    </row>
    <row r="2310" spans="1:17" x14ac:dyDescent="0.3">
      <c r="A2310" t="s">
        <v>4729</v>
      </c>
      <c r="B2310" t="str">
        <f>"000502"</f>
        <v>000502</v>
      </c>
      <c r="C2310" t="s">
        <v>4946</v>
      </c>
      <c r="D2310" t="s">
        <v>2975</v>
      </c>
      <c r="F2310">
        <v>158998390</v>
      </c>
      <c r="G2310">
        <v>178988491</v>
      </c>
      <c r="H2310">
        <v>197439981</v>
      </c>
      <c r="I2310">
        <v>206471065</v>
      </c>
      <c r="J2310">
        <v>129029555</v>
      </c>
      <c r="K2310">
        <v>212290321</v>
      </c>
      <c r="L2310">
        <v>180176922</v>
      </c>
      <c r="M2310">
        <v>203830058</v>
      </c>
      <c r="N2310">
        <v>200567239</v>
      </c>
      <c r="O2310">
        <v>193598473</v>
      </c>
      <c r="P2310">
        <v>85</v>
      </c>
      <c r="Q2310" t="s">
        <v>4947</v>
      </c>
    </row>
    <row r="2311" spans="1:17" x14ac:dyDescent="0.3">
      <c r="A2311" t="s">
        <v>4729</v>
      </c>
      <c r="B2311" t="str">
        <f>"000503"</f>
        <v>000503</v>
      </c>
      <c r="C2311" t="s">
        <v>4948</v>
      </c>
      <c r="D2311" t="s">
        <v>945</v>
      </c>
      <c r="F2311">
        <v>785613339</v>
      </c>
      <c r="G2311">
        <v>961147152</v>
      </c>
      <c r="H2311">
        <v>1598298488</v>
      </c>
      <c r="I2311">
        <v>1213191510</v>
      </c>
      <c r="J2311">
        <v>1405060191</v>
      </c>
      <c r="K2311">
        <v>1421998579</v>
      </c>
      <c r="L2311">
        <v>1376446647</v>
      </c>
      <c r="M2311">
        <v>1310271875</v>
      </c>
      <c r="N2311">
        <v>1256300757</v>
      </c>
      <c r="O2311">
        <v>1274819232</v>
      </c>
      <c r="P2311">
        <v>174</v>
      </c>
      <c r="Q2311" t="s">
        <v>4949</v>
      </c>
    </row>
    <row r="2312" spans="1:17" x14ac:dyDescent="0.3">
      <c r="A2312" t="s">
        <v>4729</v>
      </c>
      <c r="B2312" t="str">
        <f>"000504"</f>
        <v>000504</v>
      </c>
      <c r="C2312" t="s">
        <v>4950</v>
      </c>
      <c r="D2312" t="s">
        <v>4237</v>
      </c>
      <c r="F2312">
        <v>16640394</v>
      </c>
      <c r="G2312">
        <v>26568530</v>
      </c>
      <c r="H2312">
        <v>18413979</v>
      </c>
      <c r="I2312">
        <v>-10250391</v>
      </c>
      <c r="J2312">
        <v>24642811</v>
      </c>
      <c r="K2312">
        <v>5272482</v>
      </c>
      <c r="L2312">
        <v>-16508530</v>
      </c>
      <c r="M2312">
        <v>4709424</v>
      </c>
      <c r="N2312">
        <v>1055181</v>
      </c>
      <c r="O2312">
        <v>-22965269</v>
      </c>
      <c r="P2312">
        <v>85</v>
      </c>
      <c r="Q2312" t="s">
        <v>4951</v>
      </c>
    </row>
    <row r="2313" spans="1:17" x14ac:dyDescent="0.3">
      <c r="A2313" t="s">
        <v>4729</v>
      </c>
      <c r="B2313" t="str">
        <f>"000505"</f>
        <v>000505</v>
      </c>
      <c r="C2313" t="s">
        <v>4952</v>
      </c>
      <c r="D2313" t="s">
        <v>306</v>
      </c>
      <c r="F2313">
        <v>2915802291</v>
      </c>
      <c r="G2313">
        <v>2710571544</v>
      </c>
      <c r="H2313">
        <v>2406039284</v>
      </c>
      <c r="I2313">
        <v>2272469925</v>
      </c>
      <c r="J2313">
        <v>2101342683</v>
      </c>
      <c r="K2313">
        <v>65088303</v>
      </c>
      <c r="L2313">
        <v>-217136869</v>
      </c>
      <c r="M2313">
        <v>15564470</v>
      </c>
      <c r="N2313">
        <v>116714216</v>
      </c>
      <c r="O2313">
        <v>237625634</v>
      </c>
      <c r="P2313">
        <v>193</v>
      </c>
      <c r="Q2313" t="s">
        <v>4953</v>
      </c>
    </row>
    <row r="2314" spans="1:17" x14ac:dyDescent="0.3">
      <c r="A2314" t="s">
        <v>4729</v>
      </c>
      <c r="B2314" t="str">
        <f>"000506"</f>
        <v>000506</v>
      </c>
      <c r="C2314" t="s">
        <v>4954</v>
      </c>
      <c r="D2314" t="s">
        <v>104</v>
      </c>
      <c r="F2314">
        <v>374623603</v>
      </c>
      <c r="G2314">
        <v>534664290</v>
      </c>
      <c r="H2314">
        <v>1047836169</v>
      </c>
      <c r="I2314">
        <v>1052466526</v>
      </c>
      <c r="J2314">
        <v>1009520206</v>
      </c>
      <c r="K2314">
        <v>1476661180</v>
      </c>
      <c r="L2314">
        <v>1435241533</v>
      </c>
      <c r="M2314">
        <v>1411741056</v>
      </c>
      <c r="N2314">
        <v>1664091585</v>
      </c>
      <c r="O2314">
        <v>1516498235</v>
      </c>
      <c r="P2314">
        <v>85</v>
      </c>
      <c r="Q2314" t="s">
        <v>4955</v>
      </c>
    </row>
    <row r="2315" spans="1:17" x14ac:dyDescent="0.3">
      <c r="A2315" t="s">
        <v>4729</v>
      </c>
      <c r="B2315" t="str">
        <f>"000507"</f>
        <v>000507</v>
      </c>
      <c r="C2315" t="s">
        <v>4956</v>
      </c>
      <c r="D2315" t="s">
        <v>51</v>
      </c>
      <c r="F2315">
        <v>5510462533</v>
      </c>
      <c r="G2315">
        <v>5231091537</v>
      </c>
      <c r="H2315">
        <v>5186992868</v>
      </c>
      <c r="I2315">
        <v>2873645286</v>
      </c>
      <c r="J2315">
        <v>2742623019</v>
      </c>
      <c r="K2315">
        <v>2616708657</v>
      </c>
      <c r="L2315">
        <v>2526988918</v>
      </c>
      <c r="M2315">
        <v>2448652546</v>
      </c>
      <c r="N2315">
        <v>2445724411</v>
      </c>
      <c r="O2315">
        <v>1897975819</v>
      </c>
      <c r="P2315">
        <v>185</v>
      </c>
      <c r="Q2315" t="s">
        <v>4957</v>
      </c>
    </row>
    <row r="2316" spans="1:17" x14ac:dyDescent="0.3">
      <c r="A2316" t="s">
        <v>4729</v>
      </c>
      <c r="B2316" t="str">
        <f>"000509"</f>
        <v>000509</v>
      </c>
      <c r="C2316" t="s">
        <v>4958</v>
      </c>
      <c r="D2316" t="s">
        <v>1147</v>
      </c>
      <c r="F2316">
        <v>138159376</v>
      </c>
      <c r="G2316">
        <v>148123970</v>
      </c>
      <c r="H2316">
        <v>-97936370</v>
      </c>
      <c r="I2316">
        <v>10463038</v>
      </c>
      <c r="J2316">
        <v>47885065</v>
      </c>
      <c r="K2316">
        <v>36187955</v>
      </c>
      <c r="L2316">
        <v>59320929</v>
      </c>
      <c r="M2316">
        <v>42489872</v>
      </c>
      <c r="N2316">
        <v>96802236</v>
      </c>
      <c r="O2316">
        <v>-200289677</v>
      </c>
      <c r="P2316">
        <v>84</v>
      </c>
      <c r="Q2316" t="s">
        <v>4959</v>
      </c>
    </row>
    <row r="2317" spans="1:17" x14ac:dyDescent="0.3">
      <c r="A2317" t="s">
        <v>4729</v>
      </c>
      <c r="B2317" t="str">
        <f>"000510"</f>
        <v>000510</v>
      </c>
      <c r="C2317" t="s">
        <v>4960</v>
      </c>
      <c r="D2317" t="s">
        <v>175</v>
      </c>
      <c r="F2317">
        <v>1336136136</v>
      </c>
      <c r="G2317">
        <v>1063609817</v>
      </c>
      <c r="H2317">
        <v>991344447</v>
      </c>
      <c r="I2317">
        <v>931442205</v>
      </c>
      <c r="J2317">
        <v>853110722</v>
      </c>
      <c r="K2317">
        <v>803526900</v>
      </c>
      <c r="L2317">
        <v>747131566</v>
      </c>
      <c r="M2317">
        <v>734542607</v>
      </c>
      <c r="N2317">
        <v>881988545</v>
      </c>
      <c r="O2317">
        <v>1057396541</v>
      </c>
      <c r="P2317">
        <v>128</v>
      </c>
      <c r="Q2317" t="s">
        <v>4961</v>
      </c>
    </row>
    <row r="2318" spans="1:17" x14ac:dyDescent="0.3">
      <c r="A2318" t="s">
        <v>4729</v>
      </c>
      <c r="B2318" t="str">
        <f>"000511"</f>
        <v>000511</v>
      </c>
      <c r="C2318" t="s">
        <v>4962</v>
      </c>
      <c r="J2318">
        <v>974637915</v>
      </c>
      <c r="K2318">
        <v>1129678029</v>
      </c>
      <c r="L2318">
        <v>1415440842.75</v>
      </c>
      <c r="M2318">
        <v>1398070727.5599999</v>
      </c>
      <c r="N2318">
        <v>1687099880.49</v>
      </c>
      <c r="O2318">
        <v>1620869796.5</v>
      </c>
      <c r="P2318">
        <v>14</v>
      </c>
      <c r="Q2318" t="s">
        <v>4963</v>
      </c>
    </row>
    <row r="2319" spans="1:17" x14ac:dyDescent="0.3">
      <c r="A2319" t="s">
        <v>4729</v>
      </c>
      <c r="B2319" t="str">
        <f>"000513"</f>
        <v>000513</v>
      </c>
      <c r="C2319" t="s">
        <v>4964</v>
      </c>
      <c r="D2319" t="s">
        <v>143</v>
      </c>
      <c r="F2319">
        <v>13003763631</v>
      </c>
      <c r="G2319">
        <v>12107241901</v>
      </c>
      <c r="H2319">
        <v>11166752447</v>
      </c>
      <c r="I2319">
        <v>10651977471</v>
      </c>
      <c r="J2319">
        <v>10772739769</v>
      </c>
      <c r="K2319">
        <v>6505987404</v>
      </c>
      <c r="L2319">
        <v>4346255331</v>
      </c>
      <c r="M2319">
        <v>3696516568</v>
      </c>
      <c r="N2319">
        <v>3344648576</v>
      </c>
      <c r="O2319">
        <v>3008015809</v>
      </c>
      <c r="P2319">
        <v>1622</v>
      </c>
      <c r="Q2319" t="s">
        <v>4965</v>
      </c>
    </row>
    <row r="2320" spans="1:17" x14ac:dyDescent="0.3">
      <c r="A2320" t="s">
        <v>4729</v>
      </c>
      <c r="B2320" t="str">
        <f>"000514"</f>
        <v>000514</v>
      </c>
      <c r="C2320" t="s">
        <v>4966</v>
      </c>
      <c r="D2320" t="s">
        <v>104</v>
      </c>
      <c r="F2320">
        <v>3513017472</v>
      </c>
      <c r="G2320">
        <v>3371203576</v>
      </c>
      <c r="H2320">
        <v>3257307478</v>
      </c>
      <c r="I2320">
        <v>2992776374</v>
      </c>
      <c r="J2320">
        <v>3003581278</v>
      </c>
      <c r="K2320">
        <v>2927415469</v>
      </c>
      <c r="L2320">
        <v>2801585259</v>
      </c>
      <c r="M2320">
        <v>2808413558</v>
      </c>
      <c r="N2320">
        <v>2661603840</v>
      </c>
      <c r="O2320">
        <v>2550462216</v>
      </c>
      <c r="P2320">
        <v>113</v>
      </c>
      <c r="Q2320" t="s">
        <v>4967</v>
      </c>
    </row>
    <row r="2321" spans="1:17" x14ac:dyDescent="0.3">
      <c r="A2321" t="s">
        <v>4729</v>
      </c>
      <c r="B2321" t="str">
        <f>"000516"</f>
        <v>000516</v>
      </c>
      <c r="C2321" t="s">
        <v>4968</v>
      </c>
      <c r="D2321" t="s">
        <v>1147</v>
      </c>
      <c r="F2321">
        <v>5325517348</v>
      </c>
      <c r="G2321">
        <v>5000813442</v>
      </c>
      <c r="H2321">
        <v>4955575505</v>
      </c>
      <c r="I2321">
        <v>5727029016</v>
      </c>
      <c r="J2321">
        <v>3619633777</v>
      </c>
      <c r="K2321">
        <v>3487418673</v>
      </c>
      <c r="L2321">
        <v>3321710293</v>
      </c>
      <c r="M2321">
        <v>1594084608</v>
      </c>
      <c r="N2321">
        <v>1279434456</v>
      </c>
      <c r="O2321">
        <v>1193569645</v>
      </c>
      <c r="P2321">
        <v>405</v>
      </c>
      <c r="Q2321" t="s">
        <v>4969</v>
      </c>
    </row>
    <row r="2322" spans="1:17" x14ac:dyDescent="0.3">
      <c r="A2322" t="s">
        <v>4729</v>
      </c>
      <c r="B2322" t="str">
        <f>"000517"</f>
        <v>000517</v>
      </c>
      <c r="C2322" t="s">
        <v>4970</v>
      </c>
      <c r="D2322" t="s">
        <v>104</v>
      </c>
      <c r="F2322">
        <v>9134116534</v>
      </c>
      <c r="G2322">
        <v>8209908451</v>
      </c>
      <c r="H2322">
        <v>6704926965</v>
      </c>
      <c r="I2322">
        <v>4748691859</v>
      </c>
      <c r="J2322">
        <v>4218397713</v>
      </c>
      <c r="K2322">
        <v>3676641901</v>
      </c>
      <c r="L2322">
        <v>3623224257</v>
      </c>
      <c r="M2322">
        <v>3670029092</v>
      </c>
      <c r="N2322">
        <v>3254998317</v>
      </c>
      <c r="O2322">
        <v>2801604058</v>
      </c>
      <c r="P2322">
        <v>312</v>
      </c>
      <c r="Q2322" t="s">
        <v>4971</v>
      </c>
    </row>
    <row r="2323" spans="1:17" x14ac:dyDescent="0.3">
      <c r="A2323" t="s">
        <v>4729</v>
      </c>
      <c r="B2323" t="str">
        <f>"000518"</f>
        <v>000518</v>
      </c>
      <c r="C2323" t="s">
        <v>4972</v>
      </c>
      <c r="D2323" t="s">
        <v>1379</v>
      </c>
      <c r="F2323">
        <v>606033622</v>
      </c>
      <c r="G2323">
        <v>640823532</v>
      </c>
      <c r="H2323">
        <v>613528429</v>
      </c>
      <c r="I2323">
        <v>599197655</v>
      </c>
      <c r="J2323">
        <v>628637245</v>
      </c>
      <c r="K2323">
        <v>611095023</v>
      </c>
      <c r="L2323">
        <v>606622097</v>
      </c>
      <c r="M2323">
        <v>681067596</v>
      </c>
      <c r="N2323">
        <v>675110748</v>
      </c>
      <c r="O2323">
        <v>745823776</v>
      </c>
      <c r="P2323">
        <v>171</v>
      </c>
      <c r="Q2323" t="s">
        <v>4973</v>
      </c>
    </row>
    <row r="2324" spans="1:17" x14ac:dyDescent="0.3">
      <c r="A2324" t="s">
        <v>4729</v>
      </c>
      <c r="B2324" t="str">
        <f>"000519"</f>
        <v>000519</v>
      </c>
      <c r="C2324" t="s">
        <v>4974</v>
      </c>
      <c r="D2324" t="s">
        <v>428</v>
      </c>
      <c r="F2324">
        <v>9010935197</v>
      </c>
      <c r="G2324">
        <v>8517519010</v>
      </c>
      <c r="H2324">
        <v>8188102341</v>
      </c>
      <c r="I2324">
        <v>7863186919</v>
      </c>
      <c r="J2324">
        <v>7529207484</v>
      </c>
      <c r="K2324">
        <v>7360196964</v>
      </c>
      <c r="L2324">
        <v>4161197045</v>
      </c>
      <c r="M2324">
        <v>3981516146</v>
      </c>
      <c r="N2324">
        <v>3589816885</v>
      </c>
      <c r="O2324">
        <v>345183780</v>
      </c>
      <c r="P2324">
        <v>336</v>
      </c>
      <c r="Q2324" t="s">
        <v>4975</v>
      </c>
    </row>
    <row r="2325" spans="1:17" x14ac:dyDescent="0.3">
      <c r="A2325" t="s">
        <v>4729</v>
      </c>
      <c r="B2325" t="str">
        <f>"000520"</f>
        <v>000520</v>
      </c>
      <c r="C2325" t="s">
        <v>4976</v>
      </c>
      <c r="D2325" t="s">
        <v>69</v>
      </c>
      <c r="F2325">
        <v>518304806</v>
      </c>
      <c r="G2325">
        <v>420888482</v>
      </c>
      <c r="H2325">
        <v>408940834</v>
      </c>
      <c r="I2325">
        <v>377897936</v>
      </c>
      <c r="J2325">
        <v>317136621</v>
      </c>
      <c r="K2325">
        <v>265826870</v>
      </c>
      <c r="L2325">
        <v>256152391</v>
      </c>
      <c r="M2325">
        <v>124073201</v>
      </c>
      <c r="N2325">
        <v>-5168368905</v>
      </c>
      <c r="O2325">
        <v>-655770564</v>
      </c>
      <c r="P2325">
        <v>110</v>
      </c>
      <c r="Q2325" t="s">
        <v>4977</v>
      </c>
    </row>
    <row r="2326" spans="1:17" x14ac:dyDescent="0.3">
      <c r="A2326" t="s">
        <v>4729</v>
      </c>
      <c r="B2326" t="str">
        <f>"000521"</f>
        <v>000521</v>
      </c>
      <c r="C2326" t="s">
        <v>4978</v>
      </c>
      <c r="D2326" t="s">
        <v>754</v>
      </c>
      <c r="F2326">
        <v>4837334400</v>
      </c>
      <c r="G2326">
        <v>4854173682</v>
      </c>
      <c r="H2326">
        <v>5004947673</v>
      </c>
      <c r="I2326">
        <v>5015730487</v>
      </c>
      <c r="J2326">
        <v>5051066095</v>
      </c>
      <c r="K2326">
        <v>5095160292</v>
      </c>
      <c r="L2326">
        <v>3384574993</v>
      </c>
      <c r="M2326">
        <v>3422746665</v>
      </c>
      <c r="N2326">
        <v>3187330517</v>
      </c>
      <c r="O2326">
        <v>2955787652</v>
      </c>
      <c r="P2326">
        <v>181</v>
      </c>
      <c r="Q2326" t="s">
        <v>4979</v>
      </c>
    </row>
    <row r="2327" spans="1:17" x14ac:dyDescent="0.3">
      <c r="A2327" t="s">
        <v>4729</v>
      </c>
      <c r="B2327" t="str">
        <f>"000522"</f>
        <v>000522</v>
      </c>
      <c r="C2327" t="s">
        <v>4980</v>
      </c>
      <c r="N2327">
        <v>6831767891.8800001</v>
      </c>
      <c r="O2327">
        <v>1666696852.6700001</v>
      </c>
      <c r="P2327">
        <v>63</v>
      </c>
      <c r="Q2327" t="s">
        <v>4981</v>
      </c>
    </row>
    <row r="2328" spans="1:17" x14ac:dyDescent="0.3">
      <c r="A2328" t="s">
        <v>4729</v>
      </c>
      <c r="B2328" t="str">
        <f>"000523"</f>
        <v>000523</v>
      </c>
      <c r="C2328" t="s">
        <v>4982</v>
      </c>
      <c r="D2328" t="s">
        <v>569</v>
      </c>
      <c r="F2328">
        <v>1040012233</v>
      </c>
      <c r="G2328">
        <v>-2585318765</v>
      </c>
      <c r="H2328">
        <v>1908622579</v>
      </c>
      <c r="I2328">
        <v>1898020983</v>
      </c>
      <c r="J2328">
        <v>1845140712</v>
      </c>
      <c r="K2328">
        <v>1784044002</v>
      </c>
      <c r="L2328">
        <v>1093321903</v>
      </c>
      <c r="M2328">
        <v>1065826396</v>
      </c>
      <c r="N2328">
        <v>1044803003</v>
      </c>
      <c r="O2328">
        <v>1020174983</v>
      </c>
      <c r="P2328">
        <v>97</v>
      </c>
      <c r="Q2328" t="s">
        <v>4983</v>
      </c>
    </row>
    <row r="2329" spans="1:17" x14ac:dyDescent="0.3">
      <c r="A2329" t="s">
        <v>4729</v>
      </c>
      <c r="B2329" t="str">
        <f>"000524"</f>
        <v>000524</v>
      </c>
      <c r="C2329" t="s">
        <v>4984</v>
      </c>
      <c r="D2329" t="s">
        <v>1120</v>
      </c>
      <c r="F2329">
        <v>2224600124</v>
      </c>
      <c r="G2329">
        <v>2349205359</v>
      </c>
      <c r="H2329">
        <v>2669713001</v>
      </c>
      <c r="I2329">
        <v>2558334218</v>
      </c>
      <c r="J2329">
        <v>2548806363</v>
      </c>
      <c r="K2329">
        <v>623240342</v>
      </c>
      <c r="L2329">
        <v>616099177</v>
      </c>
      <c r="M2329">
        <v>553628576</v>
      </c>
      <c r="N2329">
        <v>639310283</v>
      </c>
      <c r="O2329">
        <v>609154582</v>
      </c>
      <c r="P2329">
        <v>156</v>
      </c>
      <c r="Q2329" t="s">
        <v>4985</v>
      </c>
    </row>
    <row r="2330" spans="1:17" x14ac:dyDescent="0.3">
      <c r="A2330" t="s">
        <v>4729</v>
      </c>
      <c r="B2330" t="str">
        <f>"000525"</f>
        <v>000525</v>
      </c>
      <c r="C2330" t="s">
        <v>4986</v>
      </c>
      <c r="D2330" t="s">
        <v>853</v>
      </c>
      <c r="F2330">
        <v>553945906</v>
      </c>
      <c r="G2330">
        <v>4008906990</v>
      </c>
      <c r="H2330">
        <v>4487527593</v>
      </c>
      <c r="I2330">
        <v>4637629042</v>
      </c>
      <c r="J2330">
        <v>5402855814</v>
      </c>
      <c r="K2330">
        <v>4766585206</v>
      </c>
      <c r="L2330">
        <v>3903331325</v>
      </c>
      <c r="M2330">
        <v>3794909538</v>
      </c>
      <c r="N2330">
        <v>3385806098</v>
      </c>
      <c r="O2330">
        <v>3021770425</v>
      </c>
      <c r="P2330">
        <v>150</v>
      </c>
      <c r="Q2330" t="s">
        <v>4987</v>
      </c>
    </row>
    <row r="2331" spans="1:17" x14ac:dyDescent="0.3">
      <c r="A2331" t="s">
        <v>4729</v>
      </c>
      <c r="B2331" t="str">
        <f>"000526"</f>
        <v>000526</v>
      </c>
      <c r="C2331" t="s">
        <v>4988</v>
      </c>
      <c r="D2331" t="s">
        <v>1336</v>
      </c>
      <c r="F2331">
        <v>426708721</v>
      </c>
      <c r="G2331">
        <v>140450809</v>
      </c>
      <c r="H2331">
        <v>99172516</v>
      </c>
      <c r="I2331">
        <v>83930986</v>
      </c>
      <c r="J2331">
        <v>70602655</v>
      </c>
      <c r="K2331">
        <v>48018558</v>
      </c>
      <c r="L2331">
        <v>142848119</v>
      </c>
      <c r="M2331">
        <v>156411495</v>
      </c>
      <c r="N2331">
        <v>154426710</v>
      </c>
      <c r="O2331">
        <v>161207871</v>
      </c>
      <c r="P2331">
        <v>201</v>
      </c>
      <c r="Q2331" t="s">
        <v>4989</v>
      </c>
    </row>
    <row r="2332" spans="1:17" x14ac:dyDescent="0.3">
      <c r="A2332" t="s">
        <v>4729</v>
      </c>
      <c r="B2332" t="str">
        <f>"000527"</f>
        <v>000527</v>
      </c>
      <c r="C2332" t="s">
        <v>4990</v>
      </c>
      <c r="O2332">
        <v>22065397690</v>
      </c>
      <c r="P2332">
        <v>296</v>
      </c>
      <c r="Q2332" t="s">
        <v>4991</v>
      </c>
    </row>
    <row r="2333" spans="1:17" x14ac:dyDescent="0.3">
      <c r="A2333" t="s">
        <v>4729</v>
      </c>
      <c r="B2333" t="str">
        <f>"000528"</f>
        <v>000528</v>
      </c>
      <c r="C2333" t="s">
        <v>4992</v>
      </c>
      <c r="D2333" t="s">
        <v>83</v>
      </c>
      <c r="F2333">
        <v>15380247731</v>
      </c>
      <c r="G2333">
        <v>11456561405</v>
      </c>
      <c r="H2333">
        <v>10350777342</v>
      </c>
      <c r="I2333">
        <v>9637445070</v>
      </c>
      <c r="J2333">
        <v>9110214877</v>
      </c>
      <c r="K2333">
        <v>8846396536</v>
      </c>
      <c r="L2333">
        <v>8903779768</v>
      </c>
      <c r="M2333">
        <v>9096858667</v>
      </c>
      <c r="N2333">
        <v>9334074112</v>
      </c>
      <c r="O2333">
        <v>9295269531</v>
      </c>
      <c r="P2333">
        <v>481</v>
      </c>
      <c r="Q2333" t="s">
        <v>4993</v>
      </c>
    </row>
    <row r="2334" spans="1:17" x14ac:dyDescent="0.3">
      <c r="A2334" t="s">
        <v>4729</v>
      </c>
      <c r="B2334" t="str">
        <f>"000529"</f>
        <v>000529</v>
      </c>
      <c r="C2334" t="s">
        <v>4994</v>
      </c>
      <c r="D2334" t="s">
        <v>1536</v>
      </c>
      <c r="F2334">
        <v>2315021652</v>
      </c>
      <c r="G2334">
        <v>1945122629</v>
      </c>
      <c r="H2334">
        <v>1701709943</v>
      </c>
      <c r="I2334">
        <v>1496443218</v>
      </c>
      <c r="J2334">
        <v>1368977282</v>
      </c>
      <c r="K2334">
        <v>1239925166</v>
      </c>
      <c r="L2334">
        <v>1138074078</v>
      </c>
      <c r="M2334">
        <v>1063134591</v>
      </c>
      <c r="N2334">
        <v>909990381</v>
      </c>
      <c r="O2334">
        <v>829521541</v>
      </c>
      <c r="P2334">
        <v>298</v>
      </c>
      <c r="Q2334" t="s">
        <v>4995</v>
      </c>
    </row>
    <row r="2335" spans="1:17" x14ac:dyDescent="0.3">
      <c r="A2335" t="s">
        <v>4729</v>
      </c>
      <c r="B2335" t="str">
        <f>"000530"</f>
        <v>000530</v>
      </c>
      <c r="C2335" t="s">
        <v>4996</v>
      </c>
      <c r="D2335" t="s">
        <v>988</v>
      </c>
      <c r="F2335">
        <v>3002842837</v>
      </c>
      <c r="G2335">
        <v>3375609788</v>
      </c>
      <c r="H2335">
        <v>3379565030</v>
      </c>
      <c r="I2335">
        <v>3377633617</v>
      </c>
      <c r="J2335">
        <v>3416531065</v>
      </c>
      <c r="K2335">
        <v>3247797769</v>
      </c>
      <c r="L2335">
        <v>2647609091</v>
      </c>
      <c r="M2335">
        <v>1967027256</v>
      </c>
      <c r="N2335">
        <v>1907018190</v>
      </c>
      <c r="O2335">
        <v>1808800738</v>
      </c>
      <c r="P2335">
        <v>129</v>
      </c>
      <c r="Q2335" t="s">
        <v>4997</v>
      </c>
    </row>
    <row r="2336" spans="1:17" x14ac:dyDescent="0.3">
      <c r="A2336" t="s">
        <v>4729</v>
      </c>
      <c r="B2336" t="str">
        <f>"000531"</f>
        <v>000531</v>
      </c>
      <c r="C2336" t="s">
        <v>4998</v>
      </c>
      <c r="D2336" t="s">
        <v>41</v>
      </c>
      <c r="F2336">
        <v>5133056291</v>
      </c>
      <c r="G2336">
        <v>5082332173</v>
      </c>
      <c r="H2336">
        <v>4083301441</v>
      </c>
      <c r="I2336">
        <v>3919816037</v>
      </c>
      <c r="J2336">
        <v>3903748908</v>
      </c>
      <c r="K2336">
        <v>3927952002</v>
      </c>
      <c r="L2336">
        <v>3592009666</v>
      </c>
      <c r="M2336">
        <v>3137294396</v>
      </c>
      <c r="N2336">
        <v>2520845553</v>
      </c>
      <c r="O2336">
        <v>2294543734</v>
      </c>
      <c r="P2336">
        <v>277</v>
      </c>
      <c r="Q2336" t="s">
        <v>4999</v>
      </c>
    </row>
    <row r="2337" spans="1:17" x14ac:dyDescent="0.3">
      <c r="A2337" t="s">
        <v>4729</v>
      </c>
      <c r="B2337" t="str">
        <f>"000532"</f>
        <v>000532</v>
      </c>
      <c r="C2337" t="s">
        <v>5000</v>
      </c>
      <c r="D2337" t="s">
        <v>116</v>
      </c>
      <c r="F2337">
        <v>1170737318</v>
      </c>
      <c r="G2337">
        <v>999818459</v>
      </c>
      <c r="H2337">
        <v>848919257</v>
      </c>
      <c r="I2337">
        <v>787922069</v>
      </c>
      <c r="J2337">
        <v>742538004</v>
      </c>
      <c r="K2337">
        <v>714809335</v>
      </c>
      <c r="L2337">
        <v>685003131</v>
      </c>
      <c r="M2337">
        <v>680273684</v>
      </c>
      <c r="N2337">
        <v>681141780</v>
      </c>
      <c r="O2337">
        <v>646111457</v>
      </c>
      <c r="P2337">
        <v>140</v>
      </c>
      <c r="Q2337" t="s">
        <v>5001</v>
      </c>
    </row>
    <row r="2338" spans="1:17" x14ac:dyDescent="0.3">
      <c r="A2338" t="s">
        <v>4729</v>
      </c>
      <c r="B2338" t="str">
        <f>"000533"</f>
        <v>000533</v>
      </c>
      <c r="C2338" t="s">
        <v>5002</v>
      </c>
      <c r="D2338" t="s">
        <v>210</v>
      </c>
      <c r="F2338">
        <v>682303362</v>
      </c>
      <c r="G2338">
        <v>695954607</v>
      </c>
      <c r="H2338">
        <v>611959386</v>
      </c>
      <c r="I2338">
        <v>606594430</v>
      </c>
      <c r="J2338">
        <v>1583037785</v>
      </c>
      <c r="K2338">
        <v>1580336780</v>
      </c>
      <c r="L2338">
        <v>1372197743</v>
      </c>
      <c r="M2338">
        <v>1290760059</v>
      </c>
      <c r="N2338">
        <v>1232688490</v>
      </c>
      <c r="O2338">
        <v>1050121983</v>
      </c>
      <c r="P2338">
        <v>101</v>
      </c>
      <c r="Q2338" t="s">
        <v>5003</v>
      </c>
    </row>
    <row r="2339" spans="1:17" x14ac:dyDescent="0.3">
      <c r="A2339" t="s">
        <v>4729</v>
      </c>
      <c r="B2339" t="str">
        <f>"000534"</f>
        <v>000534</v>
      </c>
      <c r="C2339" t="s">
        <v>5004</v>
      </c>
      <c r="D2339" t="s">
        <v>1379</v>
      </c>
      <c r="F2339">
        <v>1071171821</v>
      </c>
      <c r="G2339">
        <v>999767747</v>
      </c>
      <c r="H2339">
        <v>947856160</v>
      </c>
      <c r="I2339">
        <v>1534813736</v>
      </c>
      <c r="J2339">
        <v>1525428375</v>
      </c>
      <c r="K2339">
        <v>1385686480</v>
      </c>
      <c r="L2339">
        <v>1311947202</v>
      </c>
      <c r="M2339">
        <v>1270310938</v>
      </c>
      <c r="N2339">
        <v>1292535185</v>
      </c>
      <c r="O2339">
        <v>1150448941</v>
      </c>
      <c r="P2339">
        <v>120</v>
      </c>
      <c r="Q2339" t="s">
        <v>5005</v>
      </c>
    </row>
    <row r="2340" spans="1:17" x14ac:dyDescent="0.3">
      <c r="A2340" t="s">
        <v>4729</v>
      </c>
      <c r="B2340" t="str">
        <f>"000536"</f>
        <v>000536</v>
      </c>
      <c r="C2340" t="s">
        <v>5006</v>
      </c>
      <c r="D2340" t="s">
        <v>1117</v>
      </c>
      <c r="F2340">
        <v>5254294986</v>
      </c>
      <c r="G2340">
        <v>5483812361</v>
      </c>
      <c r="H2340">
        <v>4877026049</v>
      </c>
      <c r="I2340">
        <v>7466964420</v>
      </c>
      <c r="J2340">
        <v>12704563970</v>
      </c>
      <c r="K2340">
        <v>12952883240</v>
      </c>
      <c r="L2340">
        <v>2910653215</v>
      </c>
      <c r="M2340">
        <v>2801166445</v>
      </c>
      <c r="N2340">
        <v>2477888068</v>
      </c>
      <c r="O2340">
        <v>2548788031</v>
      </c>
      <c r="P2340">
        <v>142</v>
      </c>
      <c r="Q2340" t="s">
        <v>5007</v>
      </c>
    </row>
    <row r="2341" spans="1:17" x14ac:dyDescent="0.3">
      <c r="A2341" t="s">
        <v>4729</v>
      </c>
      <c r="B2341" t="str">
        <f>"000537"</f>
        <v>000537</v>
      </c>
      <c r="C2341" t="s">
        <v>5008</v>
      </c>
      <c r="D2341" t="s">
        <v>104</v>
      </c>
      <c r="F2341">
        <v>13533259858</v>
      </c>
      <c r="G2341">
        <v>15356722044</v>
      </c>
      <c r="H2341">
        <v>13610308904</v>
      </c>
      <c r="I2341">
        <v>10684139609</v>
      </c>
      <c r="J2341">
        <v>9658654332</v>
      </c>
      <c r="K2341">
        <v>2297598747</v>
      </c>
      <c r="L2341">
        <v>1952298936</v>
      </c>
      <c r="M2341">
        <v>1809933001</v>
      </c>
      <c r="N2341">
        <v>1529264041</v>
      </c>
      <c r="O2341">
        <v>1168461329</v>
      </c>
      <c r="P2341">
        <v>604</v>
      </c>
      <c r="Q2341" t="s">
        <v>5009</v>
      </c>
    </row>
    <row r="2342" spans="1:17" x14ac:dyDescent="0.3">
      <c r="A2342" t="s">
        <v>4729</v>
      </c>
      <c r="B2342" t="str">
        <f>"000538"</f>
        <v>000538</v>
      </c>
      <c r="C2342" t="s">
        <v>5010</v>
      </c>
      <c r="D2342" t="s">
        <v>188</v>
      </c>
      <c r="F2342">
        <v>38226136909</v>
      </c>
      <c r="G2342">
        <v>38052550013</v>
      </c>
      <c r="H2342">
        <v>37938097253</v>
      </c>
      <c r="I2342">
        <v>19781999824</v>
      </c>
      <c r="J2342">
        <v>18037520277</v>
      </c>
      <c r="K2342">
        <v>15725668038</v>
      </c>
      <c r="L2342">
        <v>13433010080</v>
      </c>
      <c r="M2342">
        <v>11185065654</v>
      </c>
      <c r="N2342">
        <v>9028790169</v>
      </c>
      <c r="O2342">
        <v>7027296496</v>
      </c>
      <c r="P2342">
        <v>30717</v>
      </c>
      <c r="Q2342" t="s">
        <v>5011</v>
      </c>
    </row>
    <row r="2343" spans="1:17" x14ac:dyDescent="0.3">
      <c r="A2343" t="s">
        <v>4729</v>
      </c>
      <c r="B2343" t="str">
        <f>"000539"</f>
        <v>000539</v>
      </c>
      <c r="C2343" t="s">
        <v>5012</v>
      </c>
      <c r="D2343" t="s">
        <v>41</v>
      </c>
      <c r="F2343">
        <v>23185079805</v>
      </c>
      <c r="G2343">
        <v>27369995422</v>
      </c>
      <c r="H2343">
        <v>26178241077</v>
      </c>
      <c r="I2343">
        <v>24227302288</v>
      </c>
      <c r="J2343">
        <v>23695190653</v>
      </c>
      <c r="K2343">
        <v>23378847225</v>
      </c>
      <c r="L2343">
        <v>23754596981</v>
      </c>
      <c r="M2343">
        <v>21310054597</v>
      </c>
      <c r="N2343">
        <v>19054914050</v>
      </c>
      <c r="O2343">
        <v>16255322328</v>
      </c>
      <c r="P2343">
        <v>203</v>
      </c>
      <c r="Q2343" t="s">
        <v>5013</v>
      </c>
    </row>
    <row r="2344" spans="1:17" x14ac:dyDescent="0.3">
      <c r="A2344" t="s">
        <v>4729</v>
      </c>
      <c r="B2344" t="str">
        <f>"000540"</f>
        <v>000540</v>
      </c>
      <c r="C2344" t="s">
        <v>5014</v>
      </c>
      <c r="D2344" t="s">
        <v>104</v>
      </c>
      <c r="F2344">
        <v>11891494146</v>
      </c>
      <c r="G2344">
        <v>18219888640</v>
      </c>
      <c r="H2344">
        <v>17699818556</v>
      </c>
      <c r="I2344">
        <v>17031275742</v>
      </c>
      <c r="J2344">
        <v>16071495031</v>
      </c>
      <c r="K2344">
        <v>14911590481</v>
      </c>
      <c r="L2344">
        <v>12615634581</v>
      </c>
      <c r="M2344">
        <v>7300327331</v>
      </c>
      <c r="N2344">
        <v>3401659598</v>
      </c>
      <c r="O2344">
        <v>2366643073</v>
      </c>
      <c r="P2344">
        <v>5239</v>
      </c>
      <c r="Q2344" t="s">
        <v>5015</v>
      </c>
    </row>
    <row r="2345" spans="1:17" x14ac:dyDescent="0.3">
      <c r="A2345" t="s">
        <v>4729</v>
      </c>
      <c r="B2345" t="str">
        <f>"000541"</f>
        <v>000541</v>
      </c>
      <c r="C2345" t="s">
        <v>5016</v>
      </c>
      <c r="D2345" t="s">
        <v>598</v>
      </c>
      <c r="F2345">
        <v>5800558588</v>
      </c>
      <c r="G2345">
        <v>6263921305</v>
      </c>
      <c r="H2345">
        <v>4880736800</v>
      </c>
      <c r="I2345">
        <v>4319259418</v>
      </c>
      <c r="J2345">
        <v>4779115459</v>
      </c>
      <c r="K2345">
        <v>4990466577</v>
      </c>
      <c r="L2345">
        <v>5023546888</v>
      </c>
      <c r="M2345">
        <v>3044585721</v>
      </c>
      <c r="N2345">
        <v>2890581922</v>
      </c>
      <c r="O2345">
        <v>2950106976</v>
      </c>
      <c r="P2345">
        <v>437</v>
      </c>
      <c r="Q2345" t="s">
        <v>5017</v>
      </c>
    </row>
    <row r="2346" spans="1:17" x14ac:dyDescent="0.3">
      <c r="A2346" t="s">
        <v>4729</v>
      </c>
      <c r="B2346" t="str">
        <f>"000543"</f>
        <v>000543</v>
      </c>
      <c r="C2346" t="s">
        <v>5018</v>
      </c>
      <c r="D2346" t="s">
        <v>41</v>
      </c>
      <c r="F2346">
        <v>12451619807</v>
      </c>
      <c r="G2346">
        <v>14490394193</v>
      </c>
      <c r="H2346">
        <v>13484888545</v>
      </c>
      <c r="I2346">
        <v>9796870921</v>
      </c>
      <c r="J2346">
        <v>10135849056</v>
      </c>
      <c r="K2346">
        <v>11017800014</v>
      </c>
      <c r="L2346">
        <v>9108262877</v>
      </c>
      <c r="M2346">
        <v>8834595806</v>
      </c>
      <c r="N2346">
        <v>6676547314</v>
      </c>
      <c r="O2346">
        <v>4060149730</v>
      </c>
      <c r="P2346">
        <v>322</v>
      </c>
      <c r="Q2346" t="s">
        <v>5019</v>
      </c>
    </row>
    <row r="2347" spans="1:17" x14ac:dyDescent="0.3">
      <c r="A2347" t="s">
        <v>4729</v>
      </c>
      <c r="B2347" t="str">
        <f>"000544"</f>
        <v>000544</v>
      </c>
      <c r="C2347" t="s">
        <v>5020</v>
      </c>
      <c r="D2347" t="s">
        <v>33</v>
      </c>
      <c r="F2347">
        <v>6516591549</v>
      </c>
      <c r="G2347">
        <v>6254042555</v>
      </c>
      <c r="H2347">
        <v>5993868112</v>
      </c>
      <c r="I2347">
        <v>5785944140</v>
      </c>
      <c r="J2347">
        <v>5470999734</v>
      </c>
      <c r="K2347">
        <v>5181135681</v>
      </c>
      <c r="L2347">
        <v>980269239</v>
      </c>
      <c r="M2347">
        <v>887494481</v>
      </c>
      <c r="N2347">
        <v>830755600</v>
      </c>
      <c r="O2347">
        <v>771008569</v>
      </c>
      <c r="P2347">
        <v>247</v>
      </c>
      <c r="Q2347" t="s">
        <v>5021</v>
      </c>
    </row>
    <row r="2348" spans="1:17" x14ac:dyDescent="0.3">
      <c r="A2348" t="s">
        <v>4729</v>
      </c>
      <c r="B2348" t="str">
        <f>"000545"</f>
        <v>000545</v>
      </c>
      <c r="C2348" t="s">
        <v>5022</v>
      </c>
      <c r="D2348" t="s">
        <v>1474</v>
      </c>
      <c r="F2348">
        <v>1918999689</v>
      </c>
      <c r="G2348">
        <v>1806924390</v>
      </c>
      <c r="H2348">
        <v>2076516782</v>
      </c>
      <c r="I2348">
        <v>2053156007</v>
      </c>
      <c r="J2348">
        <v>2003877421</v>
      </c>
      <c r="K2348">
        <v>1903037894</v>
      </c>
      <c r="L2348">
        <v>1765223126</v>
      </c>
      <c r="M2348">
        <v>1623953355</v>
      </c>
      <c r="N2348">
        <v>753991037</v>
      </c>
      <c r="O2348">
        <v>-43132244</v>
      </c>
      <c r="P2348">
        <v>106</v>
      </c>
      <c r="Q2348" t="s">
        <v>5023</v>
      </c>
    </row>
    <row r="2349" spans="1:17" x14ac:dyDescent="0.3">
      <c r="A2349" t="s">
        <v>4729</v>
      </c>
      <c r="B2349" t="str">
        <f>"000546"</f>
        <v>000546</v>
      </c>
      <c r="C2349" t="s">
        <v>5024</v>
      </c>
      <c r="D2349" t="s">
        <v>731</v>
      </c>
      <c r="F2349">
        <v>5113024453</v>
      </c>
      <c r="G2349">
        <v>4580203497</v>
      </c>
      <c r="H2349">
        <v>4156898255</v>
      </c>
      <c r="I2349">
        <v>3689132153</v>
      </c>
      <c r="J2349">
        <v>3397314325</v>
      </c>
      <c r="K2349">
        <v>2167156904</v>
      </c>
      <c r="L2349">
        <v>1858244050</v>
      </c>
      <c r="M2349">
        <v>1634070705</v>
      </c>
      <c r="N2349">
        <v>173193616</v>
      </c>
      <c r="O2349">
        <v>148656759</v>
      </c>
      <c r="P2349">
        <v>181</v>
      </c>
      <c r="Q2349" t="s">
        <v>5025</v>
      </c>
    </row>
    <row r="2350" spans="1:17" x14ac:dyDescent="0.3">
      <c r="A2350" t="s">
        <v>4729</v>
      </c>
      <c r="B2350" t="str">
        <f>"000547"</f>
        <v>000547</v>
      </c>
      <c r="C2350" t="s">
        <v>5026</v>
      </c>
      <c r="D2350" t="s">
        <v>1136</v>
      </c>
      <c r="F2350">
        <v>9019610402</v>
      </c>
      <c r="G2350">
        <v>8429325555</v>
      </c>
      <c r="H2350">
        <v>7821661709</v>
      </c>
      <c r="I2350">
        <v>6868205184</v>
      </c>
      <c r="J2350">
        <v>5394793214</v>
      </c>
      <c r="K2350">
        <v>5200006460</v>
      </c>
      <c r="L2350">
        <v>5316048807</v>
      </c>
      <c r="M2350">
        <v>2278177189</v>
      </c>
      <c r="N2350">
        <v>1634280994</v>
      </c>
      <c r="O2350">
        <v>1624010286</v>
      </c>
      <c r="P2350">
        <v>612</v>
      </c>
      <c r="Q2350" t="s">
        <v>5027</v>
      </c>
    </row>
    <row r="2351" spans="1:17" x14ac:dyDescent="0.3">
      <c r="A2351" t="s">
        <v>4729</v>
      </c>
      <c r="B2351" t="str">
        <f>"000548"</f>
        <v>000548</v>
      </c>
      <c r="C2351" t="s">
        <v>5028</v>
      </c>
      <c r="D2351" t="s">
        <v>44</v>
      </c>
      <c r="F2351">
        <v>1835810434</v>
      </c>
      <c r="G2351">
        <v>1793906459</v>
      </c>
      <c r="H2351">
        <v>1707054970</v>
      </c>
      <c r="I2351">
        <v>1661683702</v>
      </c>
      <c r="J2351">
        <v>1646402137</v>
      </c>
      <c r="K2351">
        <v>1540962891</v>
      </c>
      <c r="L2351">
        <v>1482279873</v>
      </c>
      <c r="M2351">
        <v>1488368733</v>
      </c>
      <c r="N2351">
        <v>1471236875</v>
      </c>
      <c r="O2351">
        <v>1486012965</v>
      </c>
      <c r="P2351">
        <v>90</v>
      </c>
      <c r="Q2351" t="s">
        <v>5029</v>
      </c>
    </row>
    <row r="2352" spans="1:17" x14ac:dyDescent="0.3">
      <c r="A2352" t="s">
        <v>4729</v>
      </c>
      <c r="B2352" t="str">
        <f>"000550"</f>
        <v>000550</v>
      </c>
      <c r="C2352" t="s">
        <v>5030</v>
      </c>
      <c r="D2352" t="s">
        <v>27</v>
      </c>
      <c r="F2352">
        <v>8555444589</v>
      </c>
      <c r="G2352">
        <v>10986474009</v>
      </c>
      <c r="H2352">
        <v>10496563781</v>
      </c>
      <c r="I2352">
        <v>10384497513</v>
      </c>
      <c r="J2352">
        <v>12572401985</v>
      </c>
      <c r="K2352">
        <v>12409236276</v>
      </c>
      <c r="L2352">
        <v>11981142071</v>
      </c>
      <c r="M2352">
        <v>10598428806</v>
      </c>
      <c r="N2352">
        <v>9176854541</v>
      </c>
      <c r="O2352">
        <v>8082871989</v>
      </c>
      <c r="P2352">
        <v>595</v>
      </c>
      <c r="Q2352" t="s">
        <v>5031</v>
      </c>
    </row>
    <row r="2353" spans="1:17" x14ac:dyDescent="0.3">
      <c r="A2353" t="s">
        <v>4729</v>
      </c>
      <c r="B2353" t="str">
        <f>"000551"</f>
        <v>000551</v>
      </c>
      <c r="C2353" t="s">
        <v>5032</v>
      </c>
      <c r="D2353" t="s">
        <v>1070</v>
      </c>
      <c r="F2353">
        <v>1985122396</v>
      </c>
      <c r="G2353">
        <v>1916300136</v>
      </c>
      <c r="H2353">
        <v>1792124319</v>
      </c>
      <c r="I2353">
        <v>1619366899</v>
      </c>
      <c r="J2353">
        <v>1616783074</v>
      </c>
      <c r="K2353">
        <v>1602700737</v>
      </c>
      <c r="L2353">
        <v>1315853109</v>
      </c>
      <c r="M2353">
        <v>1323570290</v>
      </c>
      <c r="N2353">
        <v>1287183179</v>
      </c>
      <c r="O2353">
        <v>1248923853</v>
      </c>
      <c r="P2353">
        <v>122</v>
      </c>
      <c r="Q2353" t="s">
        <v>5033</v>
      </c>
    </row>
    <row r="2354" spans="1:17" x14ac:dyDescent="0.3">
      <c r="A2354" t="s">
        <v>4729</v>
      </c>
      <c r="B2354" t="str">
        <f>"000552"</f>
        <v>000552</v>
      </c>
      <c r="C2354" t="s">
        <v>5034</v>
      </c>
      <c r="D2354" t="s">
        <v>292</v>
      </c>
      <c r="F2354">
        <v>8124460759</v>
      </c>
      <c r="G2354">
        <v>7899869195</v>
      </c>
      <c r="H2354">
        <v>7606940841</v>
      </c>
      <c r="I2354">
        <v>7299127346</v>
      </c>
      <c r="J2354">
        <v>6869107688</v>
      </c>
      <c r="K2354">
        <v>6281696648</v>
      </c>
      <c r="L2354">
        <v>6122132059</v>
      </c>
      <c r="M2354">
        <v>2708445591</v>
      </c>
      <c r="N2354">
        <v>2522405256</v>
      </c>
      <c r="O2354">
        <v>2124160426</v>
      </c>
      <c r="P2354">
        <v>263</v>
      </c>
      <c r="Q2354" t="s">
        <v>5035</v>
      </c>
    </row>
    <row r="2355" spans="1:17" x14ac:dyDescent="0.3">
      <c r="A2355" t="s">
        <v>4729</v>
      </c>
      <c r="B2355" t="str">
        <f>"000553"</f>
        <v>000553</v>
      </c>
      <c r="C2355" t="s">
        <v>5036</v>
      </c>
      <c r="D2355" t="s">
        <v>853</v>
      </c>
      <c r="F2355">
        <v>21075083000</v>
      </c>
      <c r="G2355">
        <v>21353752000</v>
      </c>
      <c r="H2355">
        <v>22371665000</v>
      </c>
      <c r="I2355">
        <v>22280126000</v>
      </c>
      <c r="J2355">
        <v>18778013000</v>
      </c>
      <c r="K2355">
        <v>2005058007</v>
      </c>
      <c r="L2355">
        <v>2097382470</v>
      </c>
      <c r="M2355">
        <v>2007631151</v>
      </c>
      <c r="N2355">
        <v>1546189572</v>
      </c>
      <c r="O2355">
        <v>1255536762</v>
      </c>
      <c r="P2355">
        <v>227</v>
      </c>
      <c r="Q2355" t="s">
        <v>5037</v>
      </c>
    </row>
    <row r="2356" spans="1:17" x14ac:dyDescent="0.3">
      <c r="A2356" t="s">
        <v>4729</v>
      </c>
      <c r="B2356" t="str">
        <f>"000554"</f>
        <v>000554</v>
      </c>
      <c r="C2356" t="s">
        <v>5038</v>
      </c>
      <c r="D2356" t="s">
        <v>584</v>
      </c>
      <c r="F2356">
        <v>921101278</v>
      </c>
      <c r="G2356">
        <v>913653287</v>
      </c>
      <c r="H2356">
        <v>906365309</v>
      </c>
      <c r="I2356">
        <v>900440016</v>
      </c>
      <c r="J2356">
        <v>917753387</v>
      </c>
      <c r="K2356">
        <v>915074404</v>
      </c>
      <c r="L2356">
        <v>910741142</v>
      </c>
      <c r="M2356">
        <v>914366177</v>
      </c>
      <c r="N2356">
        <v>907506713</v>
      </c>
      <c r="O2356">
        <v>895328155</v>
      </c>
      <c r="P2356">
        <v>112</v>
      </c>
      <c r="Q2356" t="s">
        <v>5039</v>
      </c>
    </row>
    <row r="2357" spans="1:17" x14ac:dyDescent="0.3">
      <c r="A2357" t="s">
        <v>4729</v>
      </c>
      <c r="B2357" t="str">
        <f>"000555"</f>
        <v>000555</v>
      </c>
      <c r="C2357" t="s">
        <v>5040</v>
      </c>
      <c r="D2357" t="s">
        <v>316</v>
      </c>
      <c r="F2357">
        <v>5913688914</v>
      </c>
      <c r="G2357">
        <v>5585144941</v>
      </c>
      <c r="H2357">
        <v>5219351789</v>
      </c>
      <c r="I2357">
        <v>4946084693</v>
      </c>
      <c r="J2357">
        <v>4889829863</v>
      </c>
      <c r="K2357">
        <v>4601658326</v>
      </c>
      <c r="L2357">
        <v>3249319003</v>
      </c>
      <c r="M2357">
        <v>2929881997</v>
      </c>
      <c r="N2357">
        <v>1901763457</v>
      </c>
      <c r="O2357">
        <v>-137533028</v>
      </c>
      <c r="P2357">
        <v>374</v>
      </c>
      <c r="Q2357" t="s">
        <v>5041</v>
      </c>
    </row>
    <row r="2358" spans="1:17" x14ac:dyDescent="0.3">
      <c r="A2358" t="s">
        <v>4729</v>
      </c>
      <c r="B2358" t="str">
        <f>"000556"</f>
        <v>000556</v>
      </c>
      <c r="C2358" t="s">
        <v>5042</v>
      </c>
      <c r="K2358">
        <v>86308478.530000001</v>
      </c>
      <c r="L2358">
        <v>31207909.539999999</v>
      </c>
      <c r="M2358">
        <v>13498965.85</v>
      </c>
      <c r="N2358">
        <v>12214332.48</v>
      </c>
      <c r="O2358">
        <v>13077827.720000001</v>
      </c>
      <c r="P2358">
        <v>4</v>
      </c>
      <c r="Q2358" t="s">
        <v>5043</v>
      </c>
    </row>
    <row r="2359" spans="1:17" x14ac:dyDescent="0.3">
      <c r="A2359" t="s">
        <v>4729</v>
      </c>
      <c r="B2359" t="str">
        <f>"000557"</f>
        <v>000557</v>
      </c>
      <c r="C2359" t="s">
        <v>5044</v>
      </c>
      <c r="D2359" t="s">
        <v>301</v>
      </c>
      <c r="F2359">
        <v>5376686666</v>
      </c>
      <c r="G2359">
        <v>5147245908</v>
      </c>
      <c r="H2359">
        <v>4974694631</v>
      </c>
      <c r="I2359">
        <v>4928862104</v>
      </c>
      <c r="J2359">
        <v>4023745775</v>
      </c>
      <c r="K2359">
        <v>3935959736</v>
      </c>
      <c r="L2359">
        <v>123161391</v>
      </c>
      <c r="M2359">
        <v>140563807</v>
      </c>
      <c r="N2359">
        <v>139391004</v>
      </c>
      <c r="O2359">
        <v>135809014</v>
      </c>
      <c r="P2359">
        <v>103</v>
      </c>
      <c r="Q2359" t="s">
        <v>5045</v>
      </c>
    </row>
    <row r="2360" spans="1:17" x14ac:dyDescent="0.3">
      <c r="A2360" t="s">
        <v>4729</v>
      </c>
      <c r="B2360" t="str">
        <f>"000558"</f>
        <v>000558</v>
      </c>
      <c r="C2360" t="s">
        <v>5046</v>
      </c>
      <c r="D2360" t="s">
        <v>104</v>
      </c>
      <c r="F2360">
        <v>1123619122</v>
      </c>
      <c r="G2360">
        <v>1217236695</v>
      </c>
      <c r="H2360">
        <v>1292697719</v>
      </c>
      <c r="I2360">
        <v>1265464952</v>
      </c>
      <c r="J2360">
        <v>1324318782</v>
      </c>
      <c r="K2360">
        <v>1298094961</v>
      </c>
      <c r="L2360">
        <v>1279984049</v>
      </c>
      <c r="M2360">
        <v>1646099612</v>
      </c>
      <c r="N2360">
        <v>895456774</v>
      </c>
      <c r="O2360">
        <v>869566574</v>
      </c>
      <c r="P2360">
        <v>118</v>
      </c>
      <c r="Q2360" t="s">
        <v>5047</v>
      </c>
    </row>
    <row r="2361" spans="1:17" x14ac:dyDescent="0.3">
      <c r="A2361" t="s">
        <v>4729</v>
      </c>
      <c r="B2361" t="str">
        <f>"000559"</f>
        <v>000559</v>
      </c>
      <c r="C2361" t="s">
        <v>5048</v>
      </c>
      <c r="D2361" t="s">
        <v>348</v>
      </c>
      <c r="F2361">
        <v>8554498816</v>
      </c>
      <c r="G2361">
        <v>8605615144</v>
      </c>
      <c r="H2361">
        <v>5200528775</v>
      </c>
      <c r="I2361">
        <v>5213770825</v>
      </c>
      <c r="J2361">
        <v>5050055848</v>
      </c>
      <c r="K2361">
        <v>4349697336</v>
      </c>
      <c r="L2361">
        <v>4186071089</v>
      </c>
      <c r="M2361">
        <v>3980090032</v>
      </c>
      <c r="N2361">
        <v>3453068053</v>
      </c>
      <c r="O2361">
        <v>3651762744</v>
      </c>
      <c r="P2361">
        <v>414</v>
      </c>
      <c r="Q2361" t="s">
        <v>5049</v>
      </c>
    </row>
    <row r="2362" spans="1:17" x14ac:dyDescent="0.3">
      <c r="A2362" t="s">
        <v>4729</v>
      </c>
      <c r="B2362" t="str">
        <f>"000560"</f>
        <v>000560</v>
      </c>
      <c r="C2362" t="s">
        <v>5050</v>
      </c>
      <c r="D2362" t="s">
        <v>5051</v>
      </c>
      <c r="F2362">
        <v>10569590117</v>
      </c>
      <c r="G2362">
        <v>10282342953</v>
      </c>
      <c r="H2362">
        <v>10177991766</v>
      </c>
      <c r="I2362">
        <v>9406257483</v>
      </c>
      <c r="J2362">
        <v>7775804894</v>
      </c>
      <c r="K2362">
        <v>3765304827</v>
      </c>
      <c r="L2362">
        <v>3745019648</v>
      </c>
      <c r="M2362">
        <v>1228652064</v>
      </c>
      <c r="N2362">
        <v>1101212547</v>
      </c>
      <c r="O2362">
        <v>993458151</v>
      </c>
      <c r="P2362">
        <v>206</v>
      </c>
      <c r="Q2362" t="s">
        <v>5052</v>
      </c>
    </row>
    <row r="2363" spans="1:17" x14ac:dyDescent="0.3">
      <c r="A2363" t="s">
        <v>4729</v>
      </c>
      <c r="B2363" t="str">
        <f>"000561"</f>
        <v>000561</v>
      </c>
      <c r="C2363" t="s">
        <v>5053</v>
      </c>
      <c r="D2363" t="s">
        <v>98</v>
      </c>
      <c r="F2363">
        <v>1704873545</v>
      </c>
      <c r="G2363">
        <v>1571498700</v>
      </c>
      <c r="H2363">
        <v>1498020078</v>
      </c>
      <c r="I2363">
        <v>1373816033</v>
      </c>
      <c r="J2363">
        <v>1278847047</v>
      </c>
      <c r="K2363">
        <v>1141719816</v>
      </c>
      <c r="L2363">
        <v>1022621423</v>
      </c>
      <c r="M2363">
        <v>941943063</v>
      </c>
      <c r="N2363">
        <v>909026583</v>
      </c>
      <c r="O2363">
        <v>843522322</v>
      </c>
      <c r="P2363">
        <v>134</v>
      </c>
      <c r="Q2363" t="s">
        <v>5054</v>
      </c>
    </row>
    <row r="2364" spans="1:17" x14ac:dyDescent="0.3">
      <c r="A2364" t="s">
        <v>4729</v>
      </c>
      <c r="B2364" t="str">
        <f>"000562"</f>
        <v>000562</v>
      </c>
      <c r="C2364" t="s">
        <v>5055</v>
      </c>
      <c r="N2364">
        <v>14800519336.51</v>
      </c>
      <c r="O2364">
        <v>14795389790.690001</v>
      </c>
      <c r="P2364">
        <v>18</v>
      </c>
      <c r="Q2364" t="s">
        <v>5056</v>
      </c>
    </row>
    <row r="2365" spans="1:17" x14ac:dyDescent="0.3">
      <c r="A2365" t="s">
        <v>4729</v>
      </c>
      <c r="B2365" t="str">
        <f>"000563"</f>
        <v>000563</v>
      </c>
      <c r="C2365" t="s">
        <v>5057</v>
      </c>
      <c r="D2365" t="s">
        <v>1651</v>
      </c>
      <c r="F2365">
        <v>12252145841</v>
      </c>
      <c r="G2365">
        <v>11580076124</v>
      </c>
      <c r="H2365">
        <v>10977363712</v>
      </c>
      <c r="I2365">
        <v>10414858172</v>
      </c>
      <c r="J2365">
        <v>7931129587</v>
      </c>
      <c r="K2365">
        <v>7728360605</v>
      </c>
      <c r="L2365">
        <v>7654141182</v>
      </c>
      <c r="M2365">
        <v>3813873903</v>
      </c>
      <c r="N2365">
        <v>3509432173</v>
      </c>
      <c r="O2365">
        <v>3262825853</v>
      </c>
      <c r="P2365">
        <v>205</v>
      </c>
      <c r="Q2365" t="s">
        <v>5058</v>
      </c>
    </row>
    <row r="2366" spans="1:17" x14ac:dyDescent="0.3">
      <c r="A2366" t="s">
        <v>4729</v>
      </c>
      <c r="B2366" t="str">
        <f>"000564"</f>
        <v>000564</v>
      </c>
      <c r="C2366" t="s">
        <v>5059</v>
      </c>
      <c r="D2366" t="s">
        <v>633</v>
      </c>
      <c r="F2366">
        <v>12212882481</v>
      </c>
      <c r="G2366">
        <v>25315012639</v>
      </c>
      <c r="H2366">
        <v>29890438468</v>
      </c>
      <c r="I2366">
        <v>31167615714</v>
      </c>
      <c r="J2366">
        <v>30379499274</v>
      </c>
      <c r="K2366">
        <v>27897877571</v>
      </c>
      <c r="L2366">
        <v>2322732418</v>
      </c>
      <c r="M2366">
        <v>2039172347</v>
      </c>
      <c r="N2366">
        <v>1660436277</v>
      </c>
      <c r="O2366">
        <v>1858730019</v>
      </c>
      <c r="P2366">
        <v>187</v>
      </c>
      <c r="Q2366" t="s">
        <v>5060</v>
      </c>
    </row>
    <row r="2367" spans="1:17" x14ac:dyDescent="0.3">
      <c r="A2367" t="s">
        <v>4729</v>
      </c>
      <c r="B2367" t="str">
        <f>"000565"</f>
        <v>000565</v>
      </c>
      <c r="C2367" t="s">
        <v>5061</v>
      </c>
      <c r="D2367" t="s">
        <v>2585</v>
      </c>
      <c r="F2367">
        <v>1263827071</v>
      </c>
      <c r="G2367">
        <v>1195777000</v>
      </c>
      <c r="H2367">
        <v>1133693794</v>
      </c>
      <c r="I2367">
        <v>1078857110</v>
      </c>
      <c r="J2367">
        <v>1045641743</v>
      </c>
      <c r="K2367">
        <v>982473078</v>
      </c>
      <c r="L2367">
        <v>777611578</v>
      </c>
      <c r="M2367">
        <v>629809953</v>
      </c>
      <c r="N2367">
        <v>596755060</v>
      </c>
      <c r="O2367">
        <v>566644045</v>
      </c>
      <c r="P2367">
        <v>79</v>
      </c>
      <c r="Q2367" t="s">
        <v>5062</v>
      </c>
    </row>
    <row r="2368" spans="1:17" x14ac:dyDescent="0.3">
      <c r="A2368" t="s">
        <v>4729</v>
      </c>
      <c r="B2368" t="str">
        <f>"000566"</f>
        <v>000566</v>
      </c>
      <c r="C2368" t="s">
        <v>5063</v>
      </c>
      <c r="D2368" t="s">
        <v>143</v>
      </c>
      <c r="F2368">
        <v>2149227287</v>
      </c>
      <c r="G2368">
        <v>3706114482</v>
      </c>
      <c r="H2368">
        <v>4458455733</v>
      </c>
      <c r="I2368">
        <v>4608365842</v>
      </c>
      <c r="J2368">
        <v>4853998073</v>
      </c>
      <c r="K2368">
        <v>5428698922</v>
      </c>
      <c r="L2368">
        <v>2294056605</v>
      </c>
      <c r="M2368">
        <v>1625971983</v>
      </c>
      <c r="N2368">
        <v>1484779121</v>
      </c>
      <c r="O2368">
        <v>1395570169</v>
      </c>
      <c r="P2368">
        <v>195</v>
      </c>
      <c r="Q2368" t="s">
        <v>5064</v>
      </c>
    </row>
    <row r="2369" spans="1:17" x14ac:dyDescent="0.3">
      <c r="A2369" t="s">
        <v>4729</v>
      </c>
      <c r="B2369" t="str">
        <f>"000567"</f>
        <v>000567</v>
      </c>
      <c r="C2369" t="s">
        <v>5065</v>
      </c>
      <c r="D2369" t="s">
        <v>116</v>
      </c>
      <c r="F2369">
        <v>4741430813</v>
      </c>
      <c r="G2369">
        <v>4358068244</v>
      </c>
      <c r="H2369">
        <v>4230264554</v>
      </c>
      <c r="I2369">
        <v>4141143504</v>
      </c>
      <c r="J2369">
        <v>294780697</v>
      </c>
      <c r="K2369">
        <v>218901482</v>
      </c>
      <c r="L2369">
        <v>218379576</v>
      </c>
      <c r="M2369">
        <v>195136632</v>
      </c>
      <c r="N2369">
        <v>188944267</v>
      </c>
      <c r="O2369">
        <v>186216245</v>
      </c>
      <c r="P2369">
        <v>117</v>
      </c>
      <c r="Q2369" t="s">
        <v>5066</v>
      </c>
    </row>
    <row r="2370" spans="1:17" x14ac:dyDescent="0.3">
      <c r="A2370" t="s">
        <v>4729</v>
      </c>
      <c r="B2370" t="str">
        <f>"000568"</f>
        <v>000568</v>
      </c>
      <c r="C2370" t="s">
        <v>5067</v>
      </c>
      <c r="D2370" t="s">
        <v>458</v>
      </c>
      <c r="F2370">
        <v>28040247006</v>
      </c>
      <c r="G2370">
        <v>23074858553</v>
      </c>
      <c r="H2370">
        <v>19406845726</v>
      </c>
      <c r="I2370">
        <v>16964671476</v>
      </c>
      <c r="J2370">
        <v>15171448757</v>
      </c>
      <c r="K2370">
        <v>11030504418</v>
      </c>
      <c r="L2370">
        <v>10276158779</v>
      </c>
      <c r="M2370">
        <v>9713103886</v>
      </c>
      <c r="N2370">
        <v>10568084469</v>
      </c>
      <c r="O2370">
        <v>9703349887</v>
      </c>
      <c r="P2370">
        <v>6440</v>
      </c>
      <c r="Q2370" t="s">
        <v>5068</v>
      </c>
    </row>
    <row r="2371" spans="1:17" x14ac:dyDescent="0.3">
      <c r="A2371" t="s">
        <v>4729</v>
      </c>
      <c r="B2371" t="str">
        <f>"000570"</f>
        <v>000570</v>
      </c>
      <c r="C2371" t="s">
        <v>5069</v>
      </c>
      <c r="D2371" t="s">
        <v>348</v>
      </c>
      <c r="F2371">
        <v>3077550018</v>
      </c>
      <c r="G2371">
        <v>2273349347</v>
      </c>
      <c r="H2371">
        <v>2110892768</v>
      </c>
      <c r="I2371">
        <v>2043308027</v>
      </c>
      <c r="J2371">
        <v>2246896858</v>
      </c>
      <c r="K2371">
        <v>2323712893</v>
      </c>
      <c r="L2371">
        <v>2002910311</v>
      </c>
      <c r="M2371">
        <v>1936936835</v>
      </c>
      <c r="N2371">
        <v>1809577062</v>
      </c>
      <c r="O2371">
        <v>1845193201</v>
      </c>
      <c r="P2371">
        <v>81</v>
      </c>
      <c r="Q2371" t="s">
        <v>5070</v>
      </c>
    </row>
    <row r="2372" spans="1:17" x14ac:dyDescent="0.3">
      <c r="A2372" t="s">
        <v>4729</v>
      </c>
      <c r="B2372" t="str">
        <f>"000571"</f>
        <v>000571</v>
      </c>
      <c r="C2372" t="s">
        <v>5071</v>
      </c>
      <c r="D2372" t="s">
        <v>292</v>
      </c>
      <c r="F2372">
        <v>405558022</v>
      </c>
      <c r="G2372">
        <v>494568627</v>
      </c>
      <c r="H2372">
        <v>710375949</v>
      </c>
      <c r="I2372">
        <v>1326828921</v>
      </c>
      <c r="J2372">
        <v>2181610893</v>
      </c>
      <c r="K2372">
        <v>2201246753</v>
      </c>
      <c r="L2372">
        <v>2205073760</v>
      </c>
      <c r="M2372">
        <v>2156670486</v>
      </c>
      <c r="N2372">
        <v>1842234568</v>
      </c>
      <c r="O2372">
        <v>1781665406</v>
      </c>
      <c r="P2372">
        <v>72</v>
      </c>
      <c r="Q2372" t="s">
        <v>5072</v>
      </c>
    </row>
    <row r="2373" spans="1:17" x14ac:dyDescent="0.3">
      <c r="A2373" t="s">
        <v>4729</v>
      </c>
      <c r="B2373" t="str">
        <f>"000572"</f>
        <v>000572</v>
      </c>
      <c r="C2373" t="s">
        <v>5073</v>
      </c>
      <c r="D2373" t="s">
        <v>247</v>
      </c>
      <c r="F2373">
        <v>3676661004</v>
      </c>
      <c r="G2373">
        <v>3584505462</v>
      </c>
      <c r="H2373">
        <v>4920708742</v>
      </c>
      <c r="I2373">
        <v>4884214693</v>
      </c>
      <c r="J2373">
        <v>6549524650</v>
      </c>
      <c r="K2373">
        <v>7501541679</v>
      </c>
      <c r="L2373">
        <v>7358868709</v>
      </c>
      <c r="M2373">
        <v>7208885284</v>
      </c>
      <c r="N2373">
        <v>6985293922</v>
      </c>
      <c r="O2373">
        <v>6680451084</v>
      </c>
      <c r="P2373">
        <v>151</v>
      </c>
      <c r="Q2373" t="s">
        <v>5074</v>
      </c>
    </row>
    <row r="2374" spans="1:17" x14ac:dyDescent="0.3">
      <c r="A2374" t="s">
        <v>4729</v>
      </c>
      <c r="B2374" t="str">
        <f>"000573"</f>
        <v>000573</v>
      </c>
      <c r="C2374" t="s">
        <v>5075</v>
      </c>
      <c r="D2374" t="s">
        <v>104</v>
      </c>
      <c r="F2374">
        <v>1677365968</v>
      </c>
      <c r="G2374">
        <v>1574819475</v>
      </c>
      <c r="H2374">
        <v>1725853343</v>
      </c>
      <c r="I2374">
        <v>1694171347</v>
      </c>
      <c r="J2374">
        <v>1677570934</v>
      </c>
      <c r="K2374">
        <v>1701492602</v>
      </c>
      <c r="L2374">
        <v>1503988365</v>
      </c>
      <c r="M2374">
        <v>1594950447</v>
      </c>
      <c r="N2374">
        <v>1580752214</v>
      </c>
      <c r="O2374">
        <v>1463475101</v>
      </c>
      <c r="P2374">
        <v>130</v>
      </c>
      <c r="Q2374" t="s">
        <v>5076</v>
      </c>
    </row>
    <row r="2375" spans="1:17" x14ac:dyDescent="0.3">
      <c r="A2375" t="s">
        <v>4729</v>
      </c>
      <c r="B2375" t="str">
        <f>"000576"</f>
        <v>000576</v>
      </c>
      <c r="C2375" t="s">
        <v>5077</v>
      </c>
      <c r="D2375" t="s">
        <v>428</v>
      </c>
      <c r="F2375">
        <v>1621176703</v>
      </c>
      <c r="G2375">
        <v>1710800896</v>
      </c>
      <c r="H2375">
        <v>1123411114</v>
      </c>
      <c r="I2375">
        <v>1109280931</v>
      </c>
      <c r="J2375">
        <v>1017797969</v>
      </c>
      <c r="K2375">
        <v>1300060367</v>
      </c>
      <c r="L2375">
        <v>1197654116</v>
      </c>
      <c r="M2375">
        <v>1020333429</v>
      </c>
      <c r="N2375">
        <v>1010062740</v>
      </c>
      <c r="O2375">
        <v>174517199</v>
      </c>
      <c r="P2375">
        <v>161</v>
      </c>
      <c r="Q2375" t="s">
        <v>5078</v>
      </c>
    </row>
    <row r="2376" spans="1:17" x14ac:dyDescent="0.3">
      <c r="A2376" t="s">
        <v>4729</v>
      </c>
      <c r="B2376" t="str">
        <f>"000578"</f>
        <v>000578</v>
      </c>
      <c r="C2376" t="s">
        <v>5079</v>
      </c>
      <c r="N2376">
        <v>16410459103.84</v>
      </c>
      <c r="O2376">
        <v>15930278923.48</v>
      </c>
      <c r="P2376">
        <v>12</v>
      </c>
      <c r="Q2376" t="s">
        <v>5080</v>
      </c>
    </row>
    <row r="2377" spans="1:17" x14ac:dyDescent="0.3">
      <c r="A2377" t="s">
        <v>4729</v>
      </c>
      <c r="B2377" t="str">
        <f>"000581"</f>
        <v>000581</v>
      </c>
      <c r="C2377" t="s">
        <v>5081</v>
      </c>
      <c r="D2377" t="s">
        <v>348</v>
      </c>
      <c r="F2377">
        <v>19398607690</v>
      </c>
      <c r="G2377">
        <v>18282017991</v>
      </c>
      <c r="H2377">
        <v>16990405137</v>
      </c>
      <c r="I2377">
        <v>15913828779</v>
      </c>
      <c r="J2377">
        <v>14835673670</v>
      </c>
      <c r="K2377">
        <v>12927344292</v>
      </c>
      <c r="L2377">
        <v>11783228273</v>
      </c>
      <c r="M2377">
        <v>10859034689</v>
      </c>
      <c r="N2377">
        <v>9600765224</v>
      </c>
      <c r="O2377">
        <v>8655980755</v>
      </c>
      <c r="P2377">
        <v>1711</v>
      </c>
      <c r="Q2377" t="s">
        <v>5082</v>
      </c>
    </row>
    <row r="2378" spans="1:17" x14ac:dyDescent="0.3">
      <c r="A2378" t="s">
        <v>4729</v>
      </c>
      <c r="B2378" t="str">
        <f>"000582"</f>
        <v>000582</v>
      </c>
      <c r="C2378" t="s">
        <v>5083</v>
      </c>
      <c r="D2378" t="s">
        <v>51</v>
      </c>
      <c r="F2378">
        <v>11008838879</v>
      </c>
      <c r="G2378">
        <v>10316625671</v>
      </c>
      <c r="H2378">
        <v>9474863084</v>
      </c>
      <c r="I2378">
        <v>9206440141</v>
      </c>
      <c r="J2378">
        <v>6745254273</v>
      </c>
      <c r="K2378">
        <v>6332260843</v>
      </c>
      <c r="L2378">
        <v>5960201075</v>
      </c>
      <c r="M2378">
        <v>3448469613</v>
      </c>
      <c r="N2378">
        <v>3733973661</v>
      </c>
      <c r="O2378">
        <v>414540949</v>
      </c>
      <c r="P2378">
        <v>227</v>
      </c>
      <c r="Q2378" t="s">
        <v>5084</v>
      </c>
    </row>
    <row r="2379" spans="1:17" x14ac:dyDescent="0.3">
      <c r="A2379" t="s">
        <v>4729</v>
      </c>
      <c r="B2379" t="str">
        <f>"000583"</f>
        <v>000583</v>
      </c>
      <c r="C2379" t="s">
        <v>5085</v>
      </c>
      <c r="K2379">
        <v>-1998881929.74</v>
      </c>
      <c r="L2379">
        <v>-1931798046.6400001</v>
      </c>
      <c r="M2379">
        <v>-1867366190.5699999</v>
      </c>
      <c r="N2379">
        <v>-1811909859.8900001</v>
      </c>
      <c r="O2379">
        <v>-1758291215.5899999</v>
      </c>
      <c r="P2379">
        <v>3</v>
      </c>
      <c r="Q2379" t="s">
        <v>5086</v>
      </c>
    </row>
    <row r="2380" spans="1:17" x14ac:dyDescent="0.3">
      <c r="A2380" t="s">
        <v>4729</v>
      </c>
      <c r="B2380" t="str">
        <f>"000584"</f>
        <v>000584</v>
      </c>
      <c r="C2380" t="s">
        <v>5087</v>
      </c>
      <c r="D2380" t="s">
        <v>2938</v>
      </c>
      <c r="F2380">
        <v>1822551806</v>
      </c>
      <c r="G2380">
        <v>2398315592</v>
      </c>
      <c r="H2380">
        <v>1731178784</v>
      </c>
      <c r="I2380">
        <v>1700668222</v>
      </c>
      <c r="J2380">
        <v>1592632799</v>
      </c>
      <c r="K2380">
        <v>1514465202</v>
      </c>
      <c r="L2380">
        <v>1927136668</v>
      </c>
      <c r="M2380">
        <v>1900601493</v>
      </c>
      <c r="N2380">
        <v>2055577800</v>
      </c>
      <c r="O2380">
        <v>1659601450</v>
      </c>
      <c r="P2380">
        <v>134</v>
      </c>
      <c r="Q2380" t="s">
        <v>5088</v>
      </c>
    </row>
    <row r="2381" spans="1:17" x14ac:dyDescent="0.3">
      <c r="A2381" t="s">
        <v>4729</v>
      </c>
      <c r="B2381" t="str">
        <f>"000585"</f>
        <v>000585</v>
      </c>
      <c r="C2381" t="s">
        <v>5089</v>
      </c>
      <c r="D2381" t="s">
        <v>210</v>
      </c>
      <c r="F2381">
        <v>-169697084</v>
      </c>
      <c r="G2381">
        <v>-187420368</v>
      </c>
      <c r="H2381">
        <v>-56590262</v>
      </c>
      <c r="I2381">
        <v>8619218</v>
      </c>
      <c r="J2381">
        <v>-198631842</v>
      </c>
      <c r="K2381">
        <v>202789879</v>
      </c>
      <c r="L2381">
        <v>296987112</v>
      </c>
      <c r="M2381">
        <v>286188312</v>
      </c>
      <c r="N2381">
        <v>279693302</v>
      </c>
      <c r="O2381">
        <v>271782481</v>
      </c>
      <c r="P2381">
        <v>73</v>
      </c>
      <c r="Q2381" t="s">
        <v>5090</v>
      </c>
    </row>
    <row r="2382" spans="1:17" x14ac:dyDescent="0.3">
      <c r="A2382" t="s">
        <v>4729</v>
      </c>
      <c r="B2382" t="str">
        <f>"000586"</f>
        <v>000586</v>
      </c>
      <c r="C2382" t="s">
        <v>5091</v>
      </c>
      <c r="D2382" t="s">
        <v>250</v>
      </c>
      <c r="F2382">
        <v>295074488</v>
      </c>
      <c r="G2382">
        <v>268933114</v>
      </c>
      <c r="H2382">
        <v>244565204</v>
      </c>
      <c r="I2382">
        <v>234752472</v>
      </c>
      <c r="J2382">
        <v>237311184</v>
      </c>
      <c r="K2382">
        <v>235590902</v>
      </c>
      <c r="L2382">
        <v>231434807</v>
      </c>
      <c r="M2382">
        <v>211943725</v>
      </c>
      <c r="N2382">
        <v>205031149</v>
      </c>
      <c r="O2382">
        <v>190719609</v>
      </c>
      <c r="P2382">
        <v>145</v>
      </c>
      <c r="Q2382" t="s">
        <v>5092</v>
      </c>
    </row>
    <row r="2383" spans="1:17" x14ac:dyDescent="0.3">
      <c r="A2383" t="s">
        <v>4729</v>
      </c>
      <c r="B2383" t="str">
        <f>"000587"</f>
        <v>000587</v>
      </c>
      <c r="C2383" t="s">
        <v>5093</v>
      </c>
      <c r="D2383" t="s">
        <v>1238</v>
      </c>
      <c r="F2383">
        <v>-182040959</v>
      </c>
      <c r="G2383">
        <v>337861219</v>
      </c>
      <c r="H2383">
        <v>276913816</v>
      </c>
      <c r="I2383">
        <v>6574795270</v>
      </c>
      <c r="J2383">
        <v>9419884464</v>
      </c>
      <c r="K2383">
        <v>8441530843</v>
      </c>
      <c r="L2383">
        <v>7569215219</v>
      </c>
      <c r="M2383">
        <v>1305284113</v>
      </c>
      <c r="N2383">
        <v>1192280311</v>
      </c>
      <c r="O2383">
        <v>1045593666</v>
      </c>
      <c r="P2383">
        <v>114</v>
      </c>
      <c r="Q2383" t="s">
        <v>5094</v>
      </c>
    </row>
    <row r="2384" spans="1:17" x14ac:dyDescent="0.3">
      <c r="A2384" t="s">
        <v>4729</v>
      </c>
      <c r="B2384" t="str">
        <f>"000588"</f>
        <v>000588</v>
      </c>
      <c r="C2384" t="s">
        <v>5095</v>
      </c>
      <c r="K2384">
        <v>331238343.83999997</v>
      </c>
      <c r="L2384">
        <v>305396429.76999998</v>
      </c>
      <c r="M2384">
        <v>116095133.72</v>
      </c>
      <c r="P2384">
        <v>5</v>
      </c>
      <c r="Q2384" t="s">
        <v>5096</v>
      </c>
    </row>
    <row r="2385" spans="1:17" x14ac:dyDescent="0.3">
      <c r="A2385" t="s">
        <v>4729</v>
      </c>
      <c r="B2385" t="str">
        <f>"000589"</f>
        <v>000589</v>
      </c>
      <c r="C2385" t="s">
        <v>5097</v>
      </c>
      <c r="D2385" t="s">
        <v>422</v>
      </c>
      <c r="F2385">
        <v>5916887663</v>
      </c>
      <c r="G2385">
        <v>4870125632</v>
      </c>
      <c r="H2385">
        <v>3711591729</v>
      </c>
      <c r="I2385">
        <v>3403254921</v>
      </c>
      <c r="J2385">
        <v>3327565155</v>
      </c>
      <c r="K2385">
        <v>3583213408</v>
      </c>
      <c r="L2385">
        <v>3486146199</v>
      </c>
      <c r="M2385">
        <v>3773123257</v>
      </c>
      <c r="N2385">
        <v>2380925087</v>
      </c>
      <c r="O2385">
        <v>2237415597</v>
      </c>
      <c r="P2385">
        <v>208</v>
      </c>
      <c r="Q2385" t="s">
        <v>5098</v>
      </c>
    </row>
    <row r="2386" spans="1:17" x14ac:dyDescent="0.3">
      <c r="A2386" t="s">
        <v>4729</v>
      </c>
      <c r="B2386" t="str">
        <f>"000590"</f>
        <v>000590</v>
      </c>
      <c r="C2386" t="s">
        <v>5099</v>
      </c>
      <c r="D2386" t="s">
        <v>188</v>
      </c>
      <c r="F2386">
        <v>680322069</v>
      </c>
      <c r="G2386">
        <v>644883465</v>
      </c>
      <c r="H2386">
        <v>622161068</v>
      </c>
      <c r="I2386">
        <v>579718759</v>
      </c>
      <c r="J2386">
        <v>583331153</v>
      </c>
      <c r="K2386">
        <v>260969619</v>
      </c>
      <c r="L2386">
        <v>205794093</v>
      </c>
      <c r="M2386">
        <v>184106375</v>
      </c>
      <c r="N2386">
        <v>269510747</v>
      </c>
      <c r="O2386">
        <v>478581410</v>
      </c>
      <c r="P2386">
        <v>148</v>
      </c>
      <c r="Q2386" t="s">
        <v>5100</v>
      </c>
    </row>
    <row r="2387" spans="1:17" x14ac:dyDescent="0.3">
      <c r="A2387" t="s">
        <v>4729</v>
      </c>
      <c r="B2387" t="str">
        <f>"000591"</f>
        <v>000591</v>
      </c>
      <c r="C2387" t="s">
        <v>5101</v>
      </c>
      <c r="D2387" t="s">
        <v>86</v>
      </c>
      <c r="F2387">
        <v>14883137062</v>
      </c>
      <c r="G2387">
        <v>14035845392</v>
      </c>
      <c r="H2387">
        <v>13330117334</v>
      </c>
      <c r="I2387">
        <v>12732176978</v>
      </c>
      <c r="J2387">
        <v>12098950063</v>
      </c>
      <c r="K2387">
        <v>11296764929</v>
      </c>
      <c r="L2387">
        <v>6021687286</v>
      </c>
      <c r="M2387">
        <v>398101825</v>
      </c>
      <c r="N2387">
        <v>454772664</v>
      </c>
      <c r="O2387">
        <v>413855340</v>
      </c>
      <c r="P2387">
        <v>664</v>
      </c>
      <c r="Q2387" t="s">
        <v>5102</v>
      </c>
    </row>
    <row r="2388" spans="1:17" x14ac:dyDescent="0.3">
      <c r="A2388" t="s">
        <v>4729</v>
      </c>
      <c r="B2388" t="str">
        <f>"000592"</f>
        <v>000592</v>
      </c>
      <c r="C2388" t="s">
        <v>5103</v>
      </c>
      <c r="D2388" t="s">
        <v>603</v>
      </c>
      <c r="F2388">
        <v>2597449124</v>
      </c>
      <c r="G2388">
        <v>2984697035</v>
      </c>
      <c r="H2388">
        <v>3210631218</v>
      </c>
      <c r="I2388">
        <v>3182747546</v>
      </c>
      <c r="J2388">
        <v>3165899412</v>
      </c>
      <c r="K2388">
        <v>3159794744</v>
      </c>
      <c r="L2388">
        <v>3139327196</v>
      </c>
      <c r="M2388">
        <v>1137123591</v>
      </c>
      <c r="N2388">
        <v>1066580915</v>
      </c>
      <c r="O2388">
        <v>1023003438</v>
      </c>
      <c r="P2388">
        <v>150</v>
      </c>
      <c r="Q2388" t="s">
        <v>5104</v>
      </c>
    </row>
    <row r="2389" spans="1:17" x14ac:dyDescent="0.3">
      <c r="A2389" t="s">
        <v>4729</v>
      </c>
      <c r="B2389" t="str">
        <f>"000593"</f>
        <v>000593</v>
      </c>
      <c r="C2389" t="s">
        <v>5105</v>
      </c>
      <c r="D2389" t="s">
        <v>749</v>
      </c>
      <c r="F2389">
        <v>1052073377</v>
      </c>
      <c r="G2389">
        <v>1002076141</v>
      </c>
      <c r="H2389">
        <v>961500411</v>
      </c>
      <c r="I2389">
        <v>922211024</v>
      </c>
      <c r="J2389">
        <v>1106650869</v>
      </c>
      <c r="K2389">
        <v>1110282103</v>
      </c>
      <c r="L2389">
        <v>649822609</v>
      </c>
      <c r="M2389">
        <v>664895759</v>
      </c>
      <c r="N2389">
        <v>667322282</v>
      </c>
      <c r="O2389">
        <v>335828281</v>
      </c>
      <c r="P2389">
        <v>80</v>
      </c>
      <c r="Q2389" t="s">
        <v>5106</v>
      </c>
    </row>
    <row r="2390" spans="1:17" x14ac:dyDescent="0.3">
      <c r="A2390" t="s">
        <v>4729</v>
      </c>
      <c r="B2390" t="str">
        <f>"000594"</f>
        <v>000594</v>
      </c>
      <c r="C2390" t="s">
        <v>5107</v>
      </c>
      <c r="L2390">
        <v>-313839484.97000003</v>
      </c>
      <c r="M2390">
        <v>2599644150.6900001</v>
      </c>
      <c r="N2390">
        <v>2818252624.2800002</v>
      </c>
      <c r="O2390">
        <v>3039744514.6900001</v>
      </c>
      <c r="P2390">
        <v>3</v>
      </c>
      <c r="Q2390" t="s">
        <v>5108</v>
      </c>
    </row>
    <row r="2391" spans="1:17" x14ac:dyDescent="0.3">
      <c r="A2391" t="s">
        <v>4729</v>
      </c>
      <c r="B2391" t="str">
        <f>"000595"</f>
        <v>000595</v>
      </c>
      <c r="C2391" t="s">
        <v>5109</v>
      </c>
      <c r="D2391" t="s">
        <v>274</v>
      </c>
      <c r="F2391">
        <v>753797783</v>
      </c>
      <c r="G2391">
        <v>929924269</v>
      </c>
      <c r="H2391">
        <v>315387425</v>
      </c>
      <c r="I2391">
        <v>625504054</v>
      </c>
      <c r="J2391">
        <v>696506128</v>
      </c>
      <c r="K2391">
        <v>662522871</v>
      </c>
      <c r="L2391">
        <v>746318318</v>
      </c>
      <c r="M2391">
        <v>292457588</v>
      </c>
      <c r="N2391">
        <v>275960180</v>
      </c>
      <c r="O2391">
        <v>223958354</v>
      </c>
      <c r="P2391">
        <v>98</v>
      </c>
      <c r="Q2391" t="s">
        <v>5110</v>
      </c>
    </row>
    <row r="2392" spans="1:17" x14ac:dyDescent="0.3">
      <c r="A2392" t="s">
        <v>4729</v>
      </c>
      <c r="B2392" t="str">
        <f>"000596"</f>
        <v>000596</v>
      </c>
      <c r="C2392" t="s">
        <v>5111</v>
      </c>
      <c r="D2392" t="s">
        <v>458</v>
      </c>
      <c r="F2392">
        <v>16537389444</v>
      </c>
      <c r="G2392">
        <v>10043288014</v>
      </c>
      <c r="H2392">
        <v>8944111764</v>
      </c>
      <c r="I2392">
        <v>7601984025</v>
      </c>
      <c r="J2392">
        <v>6459078378</v>
      </c>
      <c r="K2392">
        <v>5595121384</v>
      </c>
      <c r="L2392">
        <v>4833721630</v>
      </c>
      <c r="M2392">
        <v>4181050978</v>
      </c>
      <c r="N2392">
        <v>3742756257</v>
      </c>
      <c r="O2392">
        <v>3375488109</v>
      </c>
      <c r="P2392">
        <v>53678</v>
      </c>
      <c r="Q2392" t="s">
        <v>5112</v>
      </c>
    </row>
    <row r="2393" spans="1:17" x14ac:dyDescent="0.3">
      <c r="A2393" t="s">
        <v>4729</v>
      </c>
      <c r="B2393" t="str">
        <f>"000597"</f>
        <v>000597</v>
      </c>
      <c r="C2393" t="s">
        <v>5113</v>
      </c>
      <c r="D2393" t="s">
        <v>143</v>
      </c>
      <c r="F2393">
        <v>4143733863</v>
      </c>
      <c r="G2393">
        <v>3980603911</v>
      </c>
      <c r="H2393">
        <v>3810800922</v>
      </c>
      <c r="I2393">
        <v>3470759872</v>
      </c>
      <c r="J2393">
        <v>2433632669</v>
      </c>
      <c r="K2393">
        <v>2314478440</v>
      </c>
      <c r="L2393">
        <v>2289193923</v>
      </c>
      <c r="M2393">
        <v>2664307476</v>
      </c>
      <c r="N2393">
        <v>1503419295</v>
      </c>
      <c r="O2393">
        <v>1671316113</v>
      </c>
      <c r="P2393">
        <v>131</v>
      </c>
      <c r="Q2393" t="s">
        <v>5114</v>
      </c>
    </row>
    <row r="2394" spans="1:17" x14ac:dyDescent="0.3">
      <c r="A2394" t="s">
        <v>4729</v>
      </c>
      <c r="B2394" t="str">
        <f>"000598"</f>
        <v>000598</v>
      </c>
      <c r="C2394" t="s">
        <v>5115</v>
      </c>
      <c r="D2394" t="s">
        <v>33</v>
      </c>
      <c r="F2394">
        <v>13458467111</v>
      </c>
      <c r="G2394">
        <v>12274732225</v>
      </c>
      <c r="H2394">
        <v>11246562010</v>
      </c>
      <c r="I2394">
        <v>10444423883</v>
      </c>
      <c r="J2394">
        <v>9684011082</v>
      </c>
      <c r="K2394">
        <v>8959844928</v>
      </c>
      <c r="L2394">
        <v>8206681629</v>
      </c>
      <c r="M2394">
        <v>7453567013</v>
      </c>
      <c r="N2394">
        <v>6771211946</v>
      </c>
      <c r="O2394">
        <v>4330032547</v>
      </c>
      <c r="P2394">
        <v>444</v>
      </c>
      <c r="Q2394" t="s">
        <v>5116</v>
      </c>
    </row>
    <row r="2395" spans="1:17" x14ac:dyDescent="0.3">
      <c r="A2395" t="s">
        <v>4729</v>
      </c>
      <c r="B2395" t="str">
        <f>"000599"</f>
        <v>000599</v>
      </c>
      <c r="C2395" t="s">
        <v>5117</v>
      </c>
      <c r="D2395" t="s">
        <v>422</v>
      </c>
      <c r="F2395">
        <v>2966156715</v>
      </c>
      <c r="G2395">
        <v>3327487651</v>
      </c>
      <c r="H2395">
        <v>3389659797</v>
      </c>
      <c r="I2395">
        <v>3669837013</v>
      </c>
      <c r="J2395">
        <v>2753029392</v>
      </c>
      <c r="K2395">
        <v>2640735041</v>
      </c>
      <c r="L2395">
        <v>2551614403</v>
      </c>
      <c r="M2395">
        <v>2494417080</v>
      </c>
      <c r="N2395">
        <v>1558614977</v>
      </c>
      <c r="O2395">
        <v>1531893298</v>
      </c>
      <c r="P2395">
        <v>119</v>
      </c>
      <c r="Q2395" t="s">
        <v>5118</v>
      </c>
    </row>
    <row r="2396" spans="1:17" x14ac:dyDescent="0.3">
      <c r="A2396" t="s">
        <v>4729</v>
      </c>
      <c r="B2396" t="str">
        <f>"000600"</f>
        <v>000600</v>
      </c>
      <c r="C2396" t="s">
        <v>5119</v>
      </c>
      <c r="D2396" t="s">
        <v>41</v>
      </c>
      <c r="F2396">
        <v>9593176462</v>
      </c>
      <c r="G2396">
        <v>12173789380</v>
      </c>
      <c r="H2396">
        <v>11463931801</v>
      </c>
      <c r="I2396">
        <v>10954026613</v>
      </c>
      <c r="J2396">
        <v>10673417893</v>
      </c>
      <c r="K2396">
        <v>11228798653</v>
      </c>
      <c r="L2396">
        <v>10583663471</v>
      </c>
      <c r="M2396">
        <v>8987347024</v>
      </c>
      <c r="N2396">
        <v>3620772154</v>
      </c>
      <c r="O2396">
        <v>2951774563</v>
      </c>
      <c r="P2396">
        <v>312</v>
      </c>
      <c r="Q2396" t="s">
        <v>5120</v>
      </c>
    </row>
    <row r="2397" spans="1:17" x14ac:dyDescent="0.3">
      <c r="A2397" t="s">
        <v>4729</v>
      </c>
      <c r="B2397" t="str">
        <f>"000601"</f>
        <v>000601</v>
      </c>
      <c r="C2397" t="s">
        <v>5121</v>
      </c>
      <c r="D2397" t="s">
        <v>66</v>
      </c>
      <c r="F2397">
        <v>4673021595</v>
      </c>
      <c r="G2397">
        <v>4699152884</v>
      </c>
      <c r="H2397">
        <v>4755236710</v>
      </c>
      <c r="I2397">
        <v>4518654686</v>
      </c>
      <c r="J2397">
        <v>4455660348</v>
      </c>
      <c r="K2397">
        <v>4227344589</v>
      </c>
      <c r="L2397">
        <v>3948754308</v>
      </c>
      <c r="M2397">
        <v>3775467572</v>
      </c>
      <c r="N2397">
        <v>3603244577</v>
      </c>
      <c r="O2397">
        <v>3124637570</v>
      </c>
      <c r="P2397">
        <v>215</v>
      </c>
      <c r="Q2397" t="s">
        <v>5122</v>
      </c>
    </row>
    <row r="2398" spans="1:17" x14ac:dyDescent="0.3">
      <c r="A2398" t="s">
        <v>4729</v>
      </c>
      <c r="B2398" t="str">
        <f>"000602"</f>
        <v>000602</v>
      </c>
      <c r="C2398" t="s">
        <v>5123</v>
      </c>
      <c r="O2398">
        <v>3421321528.6399999</v>
      </c>
      <c r="P2398">
        <v>5</v>
      </c>
      <c r="Q2398" t="s">
        <v>5124</v>
      </c>
    </row>
    <row r="2399" spans="1:17" x14ac:dyDescent="0.3">
      <c r="A2399" t="s">
        <v>4729</v>
      </c>
      <c r="B2399" t="str">
        <f>"000603"</f>
        <v>000603</v>
      </c>
      <c r="C2399" t="s">
        <v>5125</v>
      </c>
      <c r="D2399" t="s">
        <v>744</v>
      </c>
      <c r="F2399">
        <v>2612554923</v>
      </c>
      <c r="G2399">
        <v>2224094005</v>
      </c>
      <c r="H2399">
        <v>2250764558</v>
      </c>
      <c r="I2399">
        <v>1816922588</v>
      </c>
      <c r="J2399">
        <v>2438488973</v>
      </c>
      <c r="K2399">
        <v>2515988945</v>
      </c>
      <c r="L2399">
        <v>958027749</v>
      </c>
      <c r="M2399">
        <v>699852130</v>
      </c>
      <c r="N2399">
        <v>462520673</v>
      </c>
      <c r="O2399">
        <v>680877982</v>
      </c>
      <c r="P2399">
        <v>351</v>
      </c>
      <c r="Q2399" t="s">
        <v>5126</v>
      </c>
    </row>
    <row r="2400" spans="1:17" x14ac:dyDescent="0.3">
      <c r="A2400" t="s">
        <v>4729</v>
      </c>
      <c r="B2400" t="str">
        <f>"000605"</f>
        <v>000605</v>
      </c>
      <c r="C2400" t="s">
        <v>5127</v>
      </c>
      <c r="D2400" t="s">
        <v>33</v>
      </c>
      <c r="F2400">
        <v>2094047178</v>
      </c>
      <c r="G2400">
        <v>2016866453</v>
      </c>
      <c r="H2400">
        <v>2003726385</v>
      </c>
      <c r="I2400">
        <v>2084438112</v>
      </c>
      <c r="J2400">
        <v>2037152680</v>
      </c>
      <c r="K2400">
        <v>1046429908</v>
      </c>
      <c r="L2400">
        <v>1003883950</v>
      </c>
      <c r="M2400">
        <v>958526826</v>
      </c>
      <c r="N2400">
        <v>339416181</v>
      </c>
      <c r="O2400">
        <v>57012941</v>
      </c>
      <c r="P2400">
        <v>85</v>
      </c>
      <c r="Q2400" t="s">
        <v>5128</v>
      </c>
    </row>
    <row r="2401" spans="1:17" x14ac:dyDescent="0.3">
      <c r="A2401" t="s">
        <v>4729</v>
      </c>
      <c r="B2401" t="str">
        <f>"000606"</f>
        <v>000606</v>
      </c>
      <c r="C2401" t="s">
        <v>5129</v>
      </c>
      <c r="D2401" t="s">
        <v>316</v>
      </c>
      <c r="F2401">
        <v>-248504683</v>
      </c>
      <c r="G2401">
        <v>410304918</v>
      </c>
      <c r="H2401">
        <v>1660102047</v>
      </c>
      <c r="I2401">
        <v>2783928517</v>
      </c>
      <c r="J2401">
        <v>2745459301</v>
      </c>
      <c r="K2401">
        <v>2791818368</v>
      </c>
      <c r="L2401">
        <v>638891504</v>
      </c>
      <c r="M2401">
        <v>802453590</v>
      </c>
      <c r="N2401">
        <v>915989646</v>
      </c>
      <c r="O2401">
        <v>979092368</v>
      </c>
      <c r="P2401">
        <v>99</v>
      </c>
      <c r="Q2401" t="s">
        <v>5130</v>
      </c>
    </row>
    <row r="2402" spans="1:17" x14ac:dyDescent="0.3">
      <c r="A2402" t="s">
        <v>4729</v>
      </c>
      <c r="B2402" t="str">
        <f>"000607"</f>
        <v>000607</v>
      </c>
      <c r="C2402" t="s">
        <v>5131</v>
      </c>
      <c r="D2402" t="s">
        <v>5132</v>
      </c>
      <c r="F2402">
        <v>1484543349</v>
      </c>
      <c r="G2402">
        <v>1360433880</v>
      </c>
      <c r="H2402">
        <v>1660816747</v>
      </c>
      <c r="I2402">
        <v>1890548490</v>
      </c>
      <c r="J2402">
        <v>1800160138</v>
      </c>
      <c r="K2402">
        <v>1766713258</v>
      </c>
      <c r="L2402">
        <v>1539673291</v>
      </c>
      <c r="M2402">
        <v>1261763343</v>
      </c>
      <c r="N2402">
        <v>370552345</v>
      </c>
      <c r="O2402">
        <v>360937035</v>
      </c>
      <c r="P2402">
        <v>109</v>
      </c>
      <c r="Q2402" t="s">
        <v>5133</v>
      </c>
    </row>
    <row r="2403" spans="1:17" x14ac:dyDescent="0.3">
      <c r="A2403" t="s">
        <v>4729</v>
      </c>
      <c r="B2403" t="str">
        <f>"000608"</f>
        <v>000608</v>
      </c>
      <c r="C2403" t="s">
        <v>5134</v>
      </c>
      <c r="D2403" t="s">
        <v>30</v>
      </c>
      <c r="F2403">
        <v>3160180392</v>
      </c>
      <c r="G2403">
        <v>3140074856</v>
      </c>
      <c r="H2403">
        <v>2889590000</v>
      </c>
      <c r="I2403">
        <v>2974219000</v>
      </c>
      <c r="J2403">
        <v>2985401000</v>
      </c>
      <c r="K2403">
        <v>2846516000</v>
      </c>
      <c r="L2403">
        <v>3314631000</v>
      </c>
      <c r="M2403">
        <v>3294179000</v>
      </c>
      <c r="N2403">
        <v>2936007000</v>
      </c>
      <c r="O2403">
        <v>2800307000</v>
      </c>
      <c r="P2403">
        <v>102</v>
      </c>
      <c r="Q2403" t="s">
        <v>5135</v>
      </c>
    </row>
    <row r="2404" spans="1:17" x14ac:dyDescent="0.3">
      <c r="A2404" t="s">
        <v>4729</v>
      </c>
      <c r="B2404" t="str">
        <f>"000609"</f>
        <v>000609</v>
      </c>
      <c r="C2404" t="s">
        <v>5136</v>
      </c>
      <c r="D2404" t="s">
        <v>104</v>
      </c>
      <c r="F2404">
        <v>862819610</v>
      </c>
      <c r="G2404">
        <v>1249191673</v>
      </c>
      <c r="H2404">
        <v>1544809700</v>
      </c>
      <c r="I2404">
        <v>1515750114</v>
      </c>
      <c r="J2404">
        <v>1576565155</v>
      </c>
      <c r="K2404">
        <v>1438760888</v>
      </c>
      <c r="L2404">
        <v>1301119716</v>
      </c>
      <c r="M2404">
        <v>1280923449</v>
      </c>
      <c r="N2404">
        <v>1160399570</v>
      </c>
      <c r="O2404">
        <v>1064227028</v>
      </c>
      <c r="P2404">
        <v>95</v>
      </c>
      <c r="Q2404" t="s">
        <v>5137</v>
      </c>
    </row>
    <row r="2405" spans="1:17" x14ac:dyDescent="0.3">
      <c r="A2405" t="s">
        <v>4729</v>
      </c>
      <c r="B2405" t="str">
        <f>"000610"</f>
        <v>000610</v>
      </c>
      <c r="C2405" t="s">
        <v>5138</v>
      </c>
      <c r="D2405" t="s">
        <v>590</v>
      </c>
      <c r="F2405">
        <v>818310468</v>
      </c>
      <c r="G2405">
        <v>891498805</v>
      </c>
      <c r="H2405">
        <v>853922527</v>
      </c>
      <c r="I2405">
        <v>870370785</v>
      </c>
      <c r="J2405">
        <v>775791728</v>
      </c>
      <c r="K2405">
        <v>800684924</v>
      </c>
      <c r="L2405">
        <v>786683151</v>
      </c>
      <c r="M2405">
        <v>435448245</v>
      </c>
      <c r="N2405">
        <v>462200085</v>
      </c>
      <c r="O2405">
        <v>457564886</v>
      </c>
      <c r="P2405">
        <v>152</v>
      </c>
      <c r="Q2405" t="s">
        <v>5139</v>
      </c>
    </row>
    <row r="2406" spans="1:17" x14ac:dyDescent="0.3">
      <c r="A2406" t="s">
        <v>4729</v>
      </c>
      <c r="B2406" t="str">
        <f>"000611"</f>
        <v>000611</v>
      </c>
      <c r="C2406" t="s">
        <v>5140</v>
      </c>
      <c r="D2406" t="s">
        <v>292</v>
      </c>
      <c r="F2406">
        <v>356600997</v>
      </c>
      <c r="G2406">
        <v>391002308</v>
      </c>
      <c r="H2406">
        <v>402560779</v>
      </c>
      <c r="I2406">
        <v>380439462</v>
      </c>
      <c r="J2406">
        <v>517639199</v>
      </c>
      <c r="K2406">
        <v>195042274</v>
      </c>
      <c r="L2406">
        <v>189311611</v>
      </c>
      <c r="M2406">
        <v>545372767</v>
      </c>
      <c r="N2406">
        <v>595611235</v>
      </c>
      <c r="O2406">
        <v>584205823</v>
      </c>
      <c r="P2406">
        <v>68</v>
      </c>
      <c r="Q2406" t="s">
        <v>5141</v>
      </c>
    </row>
    <row r="2407" spans="1:17" x14ac:dyDescent="0.3">
      <c r="A2407" t="s">
        <v>4729</v>
      </c>
      <c r="B2407" t="str">
        <f>"000612"</f>
        <v>000612</v>
      </c>
      <c r="C2407" t="s">
        <v>5142</v>
      </c>
      <c r="D2407" t="s">
        <v>504</v>
      </c>
      <c r="F2407">
        <v>5093454792</v>
      </c>
      <c r="G2407">
        <v>4825525232</v>
      </c>
      <c r="H2407">
        <v>4313985024</v>
      </c>
      <c r="I2407">
        <v>4225156627</v>
      </c>
      <c r="J2407">
        <v>4710100043</v>
      </c>
      <c r="K2407">
        <v>4523218172</v>
      </c>
      <c r="L2407">
        <v>4764020805</v>
      </c>
      <c r="M2407">
        <v>4727850234</v>
      </c>
      <c r="N2407">
        <v>4323612180</v>
      </c>
      <c r="O2407">
        <v>2448046473</v>
      </c>
      <c r="P2407">
        <v>199</v>
      </c>
      <c r="Q2407" t="s">
        <v>5143</v>
      </c>
    </row>
    <row r="2408" spans="1:17" x14ac:dyDescent="0.3">
      <c r="A2408" t="s">
        <v>4729</v>
      </c>
      <c r="B2408" t="str">
        <f>"000613"</f>
        <v>000613</v>
      </c>
      <c r="C2408" t="s">
        <v>5144</v>
      </c>
      <c r="D2408" t="s">
        <v>590</v>
      </c>
      <c r="F2408">
        <v>69621811</v>
      </c>
      <c r="G2408">
        <v>66918715</v>
      </c>
      <c r="H2408">
        <v>78486604</v>
      </c>
      <c r="I2408">
        <v>77788696</v>
      </c>
      <c r="J2408">
        <v>77135414</v>
      </c>
      <c r="K2408">
        <v>74276415</v>
      </c>
      <c r="L2408">
        <v>76937468</v>
      </c>
      <c r="M2408">
        <v>84415334</v>
      </c>
      <c r="N2408">
        <v>81911848</v>
      </c>
      <c r="O2408">
        <v>84111168</v>
      </c>
      <c r="P2408">
        <v>100</v>
      </c>
      <c r="Q2408" t="s">
        <v>5145</v>
      </c>
    </row>
    <row r="2409" spans="1:17" x14ac:dyDescent="0.3">
      <c r="A2409" t="s">
        <v>4729</v>
      </c>
      <c r="B2409" t="str">
        <f>"000615"</f>
        <v>000615</v>
      </c>
      <c r="C2409" t="s">
        <v>5146</v>
      </c>
      <c r="D2409" t="s">
        <v>5147</v>
      </c>
      <c r="F2409">
        <v>1465748897</v>
      </c>
      <c r="G2409">
        <v>1713888195</v>
      </c>
      <c r="H2409">
        <v>1833745727</v>
      </c>
      <c r="I2409">
        <v>1927109622</v>
      </c>
      <c r="J2409">
        <v>1953706921</v>
      </c>
      <c r="K2409">
        <v>1700965403</v>
      </c>
      <c r="L2409">
        <v>1653596209</v>
      </c>
      <c r="M2409">
        <v>781199377</v>
      </c>
      <c r="N2409">
        <v>607169529</v>
      </c>
      <c r="O2409">
        <v>637009102</v>
      </c>
      <c r="P2409">
        <v>188</v>
      </c>
      <c r="Q2409" t="s">
        <v>5148</v>
      </c>
    </row>
    <row r="2410" spans="1:17" x14ac:dyDescent="0.3">
      <c r="A2410" t="s">
        <v>4729</v>
      </c>
      <c r="B2410" t="str">
        <f>"000616"</f>
        <v>000616</v>
      </c>
      <c r="C2410" t="s">
        <v>5149</v>
      </c>
      <c r="D2410" t="s">
        <v>104</v>
      </c>
      <c r="F2410">
        <v>4592532346</v>
      </c>
      <c r="G2410">
        <v>4708243669</v>
      </c>
      <c r="H2410">
        <v>4364207111</v>
      </c>
      <c r="I2410">
        <v>4352489149</v>
      </c>
      <c r="J2410">
        <v>3969513172</v>
      </c>
      <c r="K2410">
        <v>3968279178</v>
      </c>
      <c r="L2410">
        <v>4410637755</v>
      </c>
      <c r="M2410">
        <v>4217425469</v>
      </c>
      <c r="N2410">
        <v>4240081407</v>
      </c>
      <c r="O2410">
        <v>3892211439</v>
      </c>
      <c r="P2410">
        <v>140</v>
      </c>
      <c r="Q2410" t="s">
        <v>5150</v>
      </c>
    </row>
    <row r="2411" spans="1:17" x14ac:dyDescent="0.3">
      <c r="A2411" t="s">
        <v>4729</v>
      </c>
      <c r="B2411" t="str">
        <f>"000617"</f>
        <v>000617</v>
      </c>
      <c r="C2411" t="s">
        <v>5151</v>
      </c>
      <c r="D2411" t="s">
        <v>140</v>
      </c>
      <c r="F2411">
        <v>92859552745</v>
      </c>
      <c r="G2411">
        <v>89414362738</v>
      </c>
      <c r="H2411">
        <v>83971261509</v>
      </c>
      <c r="I2411">
        <v>77380068019</v>
      </c>
      <c r="J2411">
        <v>71496956967</v>
      </c>
      <c r="K2411">
        <v>65831242031</v>
      </c>
      <c r="L2411">
        <v>527078521</v>
      </c>
      <c r="M2411">
        <v>598995488</v>
      </c>
      <c r="N2411">
        <v>709838084</v>
      </c>
      <c r="O2411">
        <v>695348893</v>
      </c>
      <c r="P2411">
        <v>234</v>
      </c>
      <c r="Q2411" t="s">
        <v>5152</v>
      </c>
    </row>
    <row r="2412" spans="1:17" x14ac:dyDescent="0.3">
      <c r="A2412" t="s">
        <v>4729</v>
      </c>
      <c r="B2412" t="str">
        <f>"000619"</f>
        <v>000619</v>
      </c>
      <c r="C2412" t="s">
        <v>5153</v>
      </c>
      <c r="D2412" t="s">
        <v>722</v>
      </c>
      <c r="F2412">
        <v>2300505992</v>
      </c>
      <c r="G2412">
        <v>2484804042</v>
      </c>
      <c r="H2412">
        <v>2469691738</v>
      </c>
      <c r="I2412">
        <v>2451209588</v>
      </c>
      <c r="J2412">
        <v>2441849484</v>
      </c>
      <c r="K2412">
        <v>2468817958</v>
      </c>
      <c r="L2412">
        <v>2428845771</v>
      </c>
      <c r="M2412">
        <v>2366313206</v>
      </c>
      <c r="N2412">
        <v>2293726354</v>
      </c>
      <c r="O2412">
        <v>2189242259</v>
      </c>
      <c r="P2412">
        <v>98</v>
      </c>
      <c r="Q2412" t="s">
        <v>5154</v>
      </c>
    </row>
    <row r="2413" spans="1:17" x14ac:dyDescent="0.3">
      <c r="A2413" t="s">
        <v>4729</v>
      </c>
      <c r="B2413" t="str">
        <f>"000620"</f>
        <v>000620</v>
      </c>
      <c r="C2413" t="s">
        <v>5155</v>
      </c>
      <c r="D2413" t="s">
        <v>104</v>
      </c>
      <c r="F2413">
        <v>2653761420</v>
      </c>
      <c r="G2413">
        <v>6613203430</v>
      </c>
      <c r="H2413">
        <v>7919897888</v>
      </c>
      <c r="I2413">
        <v>7777477748</v>
      </c>
      <c r="J2413">
        <v>3533342932</v>
      </c>
      <c r="K2413">
        <v>6168675531</v>
      </c>
      <c r="L2413">
        <v>5918430134</v>
      </c>
      <c r="M2413">
        <v>3513104362</v>
      </c>
      <c r="N2413">
        <v>3261814360</v>
      </c>
      <c r="O2413">
        <v>2661111623</v>
      </c>
      <c r="P2413">
        <v>298</v>
      </c>
      <c r="Q2413" t="s">
        <v>5156</v>
      </c>
    </row>
    <row r="2414" spans="1:17" x14ac:dyDescent="0.3">
      <c r="A2414" t="s">
        <v>4729</v>
      </c>
      <c r="B2414" t="str">
        <f>"000622"</f>
        <v>000622</v>
      </c>
      <c r="C2414" t="s">
        <v>5157</v>
      </c>
      <c r="D2414" t="s">
        <v>110</v>
      </c>
      <c r="F2414">
        <v>207567869</v>
      </c>
      <c r="G2414">
        <v>205780934</v>
      </c>
      <c r="H2414">
        <v>202562396</v>
      </c>
      <c r="I2414">
        <v>190705821</v>
      </c>
      <c r="J2414">
        <v>187553192</v>
      </c>
      <c r="K2414">
        <v>201571080</v>
      </c>
      <c r="L2414">
        <v>153572027</v>
      </c>
      <c r="M2414">
        <v>200387766</v>
      </c>
      <c r="N2414">
        <v>236940437</v>
      </c>
      <c r="O2414">
        <v>226811702</v>
      </c>
      <c r="P2414">
        <v>101</v>
      </c>
      <c r="Q2414" t="s">
        <v>5158</v>
      </c>
    </row>
    <row r="2415" spans="1:17" x14ac:dyDescent="0.3">
      <c r="A2415" t="s">
        <v>4729</v>
      </c>
      <c r="B2415" t="str">
        <f>"000623"</f>
        <v>000623</v>
      </c>
      <c r="C2415" t="s">
        <v>5159</v>
      </c>
      <c r="D2415" t="s">
        <v>143</v>
      </c>
      <c r="F2415">
        <v>24299435132</v>
      </c>
      <c r="G2415">
        <v>22792944562</v>
      </c>
      <c r="H2415">
        <v>21689379683</v>
      </c>
      <c r="I2415">
        <v>20467052800</v>
      </c>
      <c r="J2415">
        <v>20299720068</v>
      </c>
      <c r="K2415">
        <v>18639145494</v>
      </c>
      <c r="L2415">
        <v>17378771619</v>
      </c>
      <c r="M2415">
        <v>12581242478</v>
      </c>
      <c r="N2415">
        <v>10575361768</v>
      </c>
      <c r="O2415">
        <v>9672300200</v>
      </c>
      <c r="P2415">
        <v>671</v>
      </c>
      <c r="Q2415" t="s">
        <v>5160</v>
      </c>
    </row>
    <row r="2416" spans="1:17" x14ac:dyDescent="0.3">
      <c r="A2416" t="s">
        <v>4729</v>
      </c>
      <c r="B2416" t="str">
        <f>"000625"</f>
        <v>000625</v>
      </c>
      <c r="C2416" t="s">
        <v>5161</v>
      </c>
      <c r="D2416" t="s">
        <v>247</v>
      </c>
      <c r="F2416">
        <v>55732932104</v>
      </c>
      <c r="G2416">
        <v>53410193236</v>
      </c>
      <c r="H2416">
        <v>44028312744</v>
      </c>
      <c r="I2416">
        <v>46244958677</v>
      </c>
      <c r="J2416">
        <v>47598690942</v>
      </c>
      <c r="K2416">
        <v>43573812404</v>
      </c>
      <c r="L2416">
        <v>34385189070</v>
      </c>
      <c r="M2416">
        <v>25637298550</v>
      </c>
      <c r="N2416">
        <v>18778354428</v>
      </c>
      <c r="O2416">
        <v>15512935348</v>
      </c>
      <c r="P2416">
        <v>3098</v>
      </c>
      <c r="Q2416" t="s">
        <v>5162</v>
      </c>
    </row>
    <row r="2417" spans="1:17" x14ac:dyDescent="0.3">
      <c r="A2417" t="s">
        <v>4729</v>
      </c>
      <c r="B2417" t="str">
        <f>"000626"</f>
        <v>000626</v>
      </c>
      <c r="C2417" t="s">
        <v>5163</v>
      </c>
      <c r="D2417" t="s">
        <v>128</v>
      </c>
      <c r="F2417">
        <v>2880831939</v>
      </c>
      <c r="G2417">
        <v>2640159070</v>
      </c>
      <c r="H2417">
        <v>2784967999</v>
      </c>
      <c r="I2417">
        <v>2585341759</v>
      </c>
      <c r="J2417">
        <v>2553201883</v>
      </c>
      <c r="K2417">
        <v>2834129369</v>
      </c>
      <c r="L2417">
        <v>961579470</v>
      </c>
      <c r="M2417">
        <v>648644356</v>
      </c>
      <c r="N2417">
        <v>422699029</v>
      </c>
      <c r="O2417">
        <v>397830917</v>
      </c>
      <c r="P2417">
        <v>125</v>
      </c>
      <c r="Q2417" t="s">
        <v>5164</v>
      </c>
    </row>
    <row r="2418" spans="1:17" x14ac:dyDescent="0.3">
      <c r="A2418" t="s">
        <v>4729</v>
      </c>
      <c r="B2418" t="str">
        <f>"000627"</f>
        <v>000627</v>
      </c>
      <c r="C2418" t="s">
        <v>5165</v>
      </c>
      <c r="D2418" t="s">
        <v>660</v>
      </c>
      <c r="F2418">
        <v>22553333829</v>
      </c>
      <c r="G2418">
        <v>21134911593</v>
      </c>
      <c r="H2418">
        <v>21223052939</v>
      </c>
      <c r="I2418">
        <v>18992084129</v>
      </c>
      <c r="J2418">
        <v>19337031223</v>
      </c>
      <c r="K2418">
        <v>13801760321</v>
      </c>
      <c r="L2418">
        <v>1739666964</v>
      </c>
      <c r="M2418">
        <v>1449017059</v>
      </c>
      <c r="N2418">
        <v>1395796433</v>
      </c>
      <c r="O2418">
        <v>1497476656</v>
      </c>
      <c r="P2418">
        <v>288</v>
      </c>
      <c r="Q2418" t="s">
        <v>5166</v>
      </c>
    </row>
    <row r="2419" spans="1:17" x14ac:dyDescent="0.3">
      <c r="A2419" t="s">
        <v>4729</v>
      </c>
      <c r="B2419" t="str">
        <f>"000628"</f>
        <v>000628</v>
      </c>
      <c r="C2419" t="s">
        <v>5167</v>
      </c>
      <c r="D2419" t="s">
        <v>398</v>
      </c>
      <c r="F2419">
        <v>1558202228</v>
      </c>
      <c r="G2419">
        <v>1535196626</v>
      </c>
      <c r="H2419">
        <v>1012434760</v>
      </c>
      <c r="I2419">
        <v>812726407</v>
      </c>
      <c r="J2419">
        <v>754361634</v>
      </c>
      <c r="K2419">
        <v>730276552</v>
      </c>
      <c r="L2419">
        <v>700103354</v>
      </c>
      <c r="M2419">
        <v>163502267</v>
      </c>
      <c r="N2419">
        <v>210638261</v>
      </c>
      <c r="O2419">
        <v>196252888</v>
      </c>
      <c r="P2419">
        <v>127</v>
      </c>
      <c r="Q2419" t="s">
        <v>5168</v>
      </c>
    </row>
    <row r="2420" spans="1:17" x14ac:dyDescent="0.3">
      <c r="A2420" t="s">
        <v>4729</v>
      </c>
      <c r="B2420" t="str">
        <f>"000629"</f>
        <v>000629</v>
      </c>
      <c r="C2420" t="s">
        <v>5169</v>
      </c>
      <c r="D2420" t="s">
        <v>669</v>
      </c>
      <c r="F2420">
        <v>7525664801</v>
      </c>
      <c r="G2420">
        <v>9478054991</v>
      </c>
      <c r="H2420">
        <v>9337005829</v>
      </c>
      <c r="I2420">
        <v>7399786374</v>
      </c>
      <c r="J2420">
        <v>4302206349</v>
      </c>
      <c r="K2420">
        <v>3428407818</v>
      </c>
      <c r="L2420">
        <v>8421881290</v>
      </c>
      <c r="M2420">
        <v>10603017235</v>
      </c>
      <c r="N2420">
        <v>14784307159</v>
      </c>
      <c r="O2420">
        <v>15080541084</v>
      </c>
      <c r="P2420">
        <v>335</v>
      </c>
      <c r="Q2420" t="s">
        <v>5170</v>
      </c>
    </row>
    <row r="2421" spans="1:17" x14ac:dyDescent="0.3">
      <c r="A2421" t="s">
        <v>4729</v>
      </c>
      <c r="B2421" t="str">
        <f>"000630"</f>
        <v>000630</v>
      </c>
      <c r="C2421" t="s">
        <v>5171</v>
      </c>
      <c r="D2421" t="s">
        <v>263</v>
      </c>
      <c r="F2421">
        <v>21707388268</v>
      </c>
      <c r="G2421">
        <v>18923749902</v>
      </c>
      <c r="H2421">
        <v>18319597898</v>
      </c>
      <c r="I2421">
        <v>17928085686</v>
      </c>
      <c r="J2421">
        <v>17280524281</v>
      </c>
      <c r="K2421">
        <v>16637735113</v>
      </c>
      <c r="L2421">
        <v>13881309565</v>
      </c>
      <c r="M2421">
        <v>14828140857</v>
      </c>
      <c r="N2421">
        <v>11140318264</v>
      </c>
      <c r="O2421">
        <v>10781039476</v>
      </c>
      <c r="P2421">
        <v>464</v>
      </c>
      <c r="Q2421" t="s">
        <v>5172</v>
      </c>
    </row>
    <row r="2422" spans="1:17" x14ac:dyDescent="0.3">
      <c r="A2422" t="s">
        <v>4729</v>
      </c>
      <c r="B2422" t="str">
        <f>"000631"</f>
        <v>000631</v>
      </c>
      <c r="C2422" t="s">
        <v>5173</v>
      </c>
      <c r="D2422" t="s">
        <v>104</v>
      </c>
      <c r="F2422">
        <v>6208918052</v>
      </c>
      <c r="G2422">
        <v>6301859872</v>
      </c>
      <c r="H2422">
        <v>6508389616</v>
      </c>
      <c r="I2422">
        <v>6380953984</v>
      </c>
      <c r="J2422">
        <v>6092602593</v>
      </c>
      <c r="K2422">
        <v>5583774965</v>
      </c>
      <c r="L2422">
        <v>3762702689</v>
      </c>
      <c r="M2422">
        <v>3528842419</v>
      </c>
      <c r="N2422">
        <v>3007070624</v>
      </c>
      <c r="O2422">
        <v>2813023932</v>
      </c>
      <c r="P2422">
        <v>359</v>
      </c>
      <c r="Q2422" t="s">
        <v>5174</v>
      </c>
    </row>
    <row r="2423" spans="1:17" x14ac:dyDescent="0.3">
      <c r="A2423" t="s">
        <v>4729</v>
      </c>
      <c r="B2423" t="str">
        <f>"000632"</f>
        <v>000632</v>
      </c>
      <c r="C2423" t="s">
        <v>5175</v>
      </c>
      <c r="D2423" t="s">
        <v>110</v>
      </c>
      <c r="F2423">
        <v>1419509261</v>
      </c>
      <c r="G2423">
        <v>1393977983</v>
      </c>
      <c r="H2423">
        <v>1345550695</v>
      </c>
      <c r="I2423">
        <v>1303434464</v>
      </c>
      <c r="J2423">
        <v>1270312840</v>
      </c>
      <c r="K2423">
        <v>1246223588</v>
      </c>
      <c r="L2423">
        <v>1229676449</v>
      </c>
      <c r="M2423">
        <v>1258469654</v>
      </c>
      <c r="N2423">
        <v>1243577012</v>
      </c>
      <c r="O2423">
        <v>1229332482</v>
      </c>
      <c r="P2423">
        <v>69</v>
      </c>
      <c r="Q2423" t="s">
        <v>5176</v>
      </c>
    </row>
    <row r="2424" spans="1:17" x14ac:dyDescent="0.3">
      <c r="A2424" t="s">
        <v>4729</v>
      </c>
      <c r="B2424" t="str">
        <f>"000633"</f>
        <v>000633</v>
      </c>
      <c r="C2424" t="s">
        <v>5177</v>
      </c>
      <c r="D2424" t="s">
        <v>581</v>
      </c>
      <c r="F2424">
        <v>168196306</v>
      </c>
      <c r="G2424">
        <v>164971866</v>
      </c>
      <c r="H2424">
        <v>163320919</v>
      </c>
      <c r="I2424">
        <v>163297762</v>
      </c>
      <c r="J2424">
        <v>158404880</v>
      </c>
      <c r="K2424">
        <v>182113924</v>
      </c>
      <c r="L2424">
        <v>155706813</v>
      </c>
      <c r="M2424">
        <v>197930767</v>
      </c>
      <c r="N2424">
        <v>226831084</v>
      </c>
      <c r="O2424">
        <v>221006770</v>
      </c>
      <c r="P2424">
        <v>72</v>
      </c>
      <c r="Q2424" t="s">
        <v>5178</v>
      </c>
    </row>
    <row r="2425" spans="1:17" x14ac:dyDescent="0.3">
      <c r="A2425" t="s">
        <v>4729</v>
      </c>
      <c r="B2425" t="str">
        <f>"000635"</f>
        <v>000635</v>
      </c>
      <c r="C2425" t="s">
        <v>5179</v>
      </c>
      <c r="D2425" t="s">
        <v>175</v>
      </c>
      <c r="F2425">
        <v>2657801545</v>
      </c>
      <c r="G2425">
        <v>2697559715</v>
      </c>
      <c r="H2425">
        <v>2671731678</v>
      </c>
      <c r="I2425">
        <v>2644893707</v>
      </c>
      <c r="J2425">
        <v>2985502002</v>
      </c>
      <c r="K2425">
        <v>2895099678</v>
      </c>
      <c r="L2425">
        <v>2793236870</v>
      </c>
      <c r="M2425">
        <v>2767966859</v>
      </c>
      <c r="N2425">
        <v>2744056292</v>
      </c>
      <c r="O2425">
        <v>2680242920</v>
      </c>
      <c r="P2425">
        <v>135</v>
      </c>
      <c r="Q2425" t="s">
        <v>5180</v>
      </c>
    </row>
    <row r="2426" spans="1:17" x14ac:dyDescent="0.3">
      <c r="A2426" t="s">
        <v>4729</v>
      </c>
      <c r="B2426" t="str">
        <f>"000636"</f>
        <v>000636</v>
      </c>
      <c r="C2426" t="s">
        <v>5181</v>
      </c>
      <c r="D2426" t="s">
        <v>546</v>
      </c>
      <c r="F2426">
        <v>6948369420</v>
      </c>
      <c r="G2426">
        <v>5985644750</v>
      </c>
      <c r="H2426">
        <v>5574088890</v>
      </c>
      <c r="I2426">
        <v>5433438049</v>
      </c>
      <c r="J2426">
        <v>4497979858</v>
      </c>
      <c r="K2426">
        <v>4454222473</v>
      </c>
      <c r="L2426">
        <v>4729924767</v>
      </c>
      <c r="M2426">
        <v>3715760014</v>
      </c>
      <c r="N2426">
        <v>2263552468</v>
      </c>
      <c r="O2426">
        <v>2146331616</v>
      </c>
      <c r="P2426">
        <v>896</v>
      </c>
      <c r="Q2426" t="s">
        <v>5182</v>
      </c>
    </row>
    <row r="2427" spans="1:17" x14ac:dyDescent="0.3">
      <c r="A2427" t="s">
        <v>4729</v>
      </c>
      <c r="B2427" t="str">
        <f>"000637"</f>
        <v>000637</v>
      </c>
      <c r="C2427" t="s">
        <v>5183</v>
      </c>
      <c r="D2427" t="s">
        <v>1617</v>
      </c>
      <c r="F2427">
        <v>1036150908</v>
      </c>
      <c r="G2427">
        <v>908906418</v>
      </c>
      <c r="H2427">
        <v>942012915</v>
      </c>
      <c r="I2427">
        <v>858571911</v>
      </c>
      <c r="J2427">
        <v>901812998</v>
      </c>
      <c r="K2427">
        <v>855146458</v>
      </c>
      <c r="L2427">
        <v>858768171</v>
      </c>
      <c r="M2427">
        <v>814583202</v>
      </c>
      <c r="N2427">
        <v>786613346</v>
      </c>
      <c r="O2427">
        <v>758768424</v>
      </c>
      <c r="P2427">
        <v>93</v>
      </c>
      <c r="Q2427" t="s">
        <v>5184</v>
      </c>
    </row>
    <row r="2428" spans="1:17" x14ac:dyDescent="0.3">
      <c r="A2428" t="s">
        <v>4729</v>
      </c>
      <c r="B2428" t="str">
        <f>"000638"</f>
        <v>000638</v>
      </c>
      <c r="C2428" t="s">
        <v>5185</v>
      </c>
      <c r="D2428" t="s">
        <v>316</v>
      </c>
      <c r="F2428">
        <v>177058616</v>
      </c>
      <c r="G2428">
        <v>109620524</v>
      </c>
      <c r="H2428">
        <v>150733211</v>
      </c>
      <c r="I2428">
        <v>130612093</v>
      </c>
      <c r="J2428">
        <v>263485142</v>
      </c>
      <c r="K2428">
        <v>221047580</v>
      </c>
      <c r="L2428">
        <v>206496711</v>
      </c>
      <c r="M2428">
        <v>232699895</v>
      </c>
      <c r="N2428">
        <v>216913584</v>
      </c>
      <c r="O2428">
        <v>215560989</v>
      </c>
      <c r="P2428">
        <v>87</v>
      </c>
      <c r="Q2428" t="s">
        <v>5186</v>
      </c>
    </row>
    <row r="2429" spans="1:17" x14ac:dyDescent="0.3">
      <c r="A2429" t="s">
        <v>4729</v>
      </c>
      <c r="B2429" t="str">
        <f>"000639"</f>
        <v>000639</v>
      </c>
      <c r="C2429" t="s">
        <v>5187</v>
      </c>
      <c r="D2429" t="s">
        <v>306</v>
      </c>
      <c r="F2429">
        <v>3778726657</v>
      </c>
      <c r="G2429">
        <v>3651105346</v>
      </c>
      <c r="H2429">
        <v>3534101532</v>
      </c>
      <c r="I2429">
        <v>4375386804</v>
      </c>
      <c r="J2429">
        <v>2259291787</v>
      </c>
      <c r="K2429">
        <v>1920612755</v>
      </c>
      <c r="L2429">
        <v>1359892942</v>
      </c>
      <c r="M2429">
        <v>1219262779</v>
      </c>
      <c r="N2429">
        <v>1158265641</v>
      </c>
      <c r="O2429">
        <v>1024397711</v>
      </c>
      <c r="P2429">
        <v>328</v>
      </c>
      <c r="Q2429" t="s">
        <v>5188</v>
      </c>
    </row>
    <row r="2430" spans="1:17" x14ac:dyDescent="0.3">
      <c r="A2430" t="s">
        <v>4729</v>
      </c>
      <c r="B2430" t="str">
        <f>"000650"</f>
        <v>000650</v>
      </c>
      <c r="C2430" t="s">
        <v>5189</v>
      </c>
      <c r="D2430" t="s">
        <v>188</v>
      </c>
      <c r="F2430">
        <v>5287242574</v>
      </c>
      <c r="G2430">
        <v>5072896094</v>
      </c>
      <c r="H2430">
        <v>3805550783</v>
      </c>
      <c r="I2430">
        <v>3391558144</v>
      </c>
      <c r="J2430">
        <v>3008549792</v>
      </c>
      <c r="K2430">
        <v>2751851045</v>
      </c>
      <c r="L2430">
        <v>2389014471</v>
      </c>
      <c r="M2430">
        <v>2032943930</v>
      </c>
      <c r="N2430">
        <v>1826424170</v>
      </c>
      <c r="O2430">
        <v>1620752834</v>
      </c>
      <c r="P2430">
        <v>888</v>
      </c>
      <c r="Q2430" t="s">
        <v>5190</v>
      </c>
    </row>
    <row r="2431" spans="1:17" x14ac:dyDescent="0.3">
      <c r="A2431" t="s">
        <v>4729</v>
      </c>
      <c r="B2431" t="str">
        <f>"000651"</f>
        <v>000651</v>
      </c>
      <c r="C2431" t="s">
        <v>5191</v>
      </c>
      <c r="D2431" t="s">
        <v>1727</v>
      </c>
      <c r="F2431">
        <v>103651654600</v>
      </c>
      <c r="G2431">
        <v>115190211207</v>
      </c>
      <c r="H2431">
        <v>110153573283</v>
      </c>
      <c r="I2431">
        <v>91327095069</v>
      </c>
      <c r="J2431">
        <v>65595006072</v>
      </c>
      <c r="K2431">
        <v>53863951278</v>
      </c>
      <c r="L2431">
        <v>47521376092</v>
      </c>
      <c r="M2431">
        <v>44152654825</v>
      </c>
      <c r="N2431">
        <v>34582810312</v>
      </c>
      <c r="O2431">
        <v>26743134405</v>
      </c>
      <c r="P2431">
        <v>55062</v>
      </c>
      <c r="Q2431" t="s">
        <v>5192</v>
      </c>
    </row>
    <row r="2432" spans="1:17" x14ac:dyDescent="0.3">
      <c r="A2432" t="s">
        <v>4729</v>
      </c>
      <c r="B2432" t="str">
        <f>"000652"</f>
        <v>000652</v>
      </c>
      <c r="C2432" t="s">
        <v>5193</v>
      </c>
      <c r="D2432" t="s">
        <v>110</v>
      </c>
      <c r="F2432">
        <v>5335858725</v>
      </c>
      <c r="G2432">
        <v>4968240956</v>
      </c>
      <c r="H2432">
        <v>4807330981</v>
      </c>
      <c r="I2432">
        <v>4012304017</v>
      </c>
      <c r="J2432">
        <v>3782549058</v>
      </c>
      <c r="K2432">
        <v>3525836207</v>
      </c>
      <c r="L2432">
        <v>3134333751</v>
      </c>
      <c r="M2432">
        <v>2362563595</v>
      </c>
      <c r="N2432">
        <v>2119357411</v>
      </c>
      <c r="O2432">
        <v>1998567888</v>
      </c>
      <c r="P2432">
        <v>196</v>
      </c>
      <c r="Q2432" t="s">
        <v>5194</v>
      </c>
    </row>
    <row r="2433" spans="1:17" x14ac:dyDescent="0.3">
      <c r="A2433" t="s">
        <v>4729</v>
      </c>
      <c r="B2433" t="str">
        <f>"000655"</f>
        <v>000655</v>
      </c>
      <c r="C2433" t="s">
        <v>5195</v>
      </c>
      <c r="D2433" t="s">
        <v>2376</v>
      </c>
      <c r="F2433">
        <v>2891778080</v>
      </c>
      <c r="G2433">
        <v>2808674219</v>
      </c>
      <c r="H2433">
        <v>2577781808</v>
      </c>
      <c r="I2433">
        <v>2395686332</v>
      </c>
      <c r="J2433">
        <v>2294425861</v>
      </c>
      <c r="K2433">
        <v>2609427354</v>
      </c>
      <c r="L2433">
        <v>3171658352</v>
      </c>
      <c r="M2433">
        <v>3164286246</v>
      </c>
      <c r="N2433">
        <v>3012285857</v>
      </c>
      <c r="O2433">
        <v>2805107076</v>
      </c>
      <c r="P2433">
        <v>145</v>
      </c>
      <c r="Q2433" t="s">
        <v>5196</v>
      </c>
    </row>
    <row r="2434" spans="1:17" x14ac:dyDescent="0.3">
      <c r="A2434" t="s">
        <v>4729</v>
      </c>
      <c r="B2434" t="str">
        <f>"000656"</f>
        <v>000656</v>
      </c>
      <c r="C2434" t="s">
        <v>5197</v>
      </c>
      <c r="D2434" t="s">
        <v>104</v>
      </c>
      <c r="F2434">
        <v>34769248811</v>
      </c>
      <c r="G2434">
        <v>34780286354</v>
      </c>
      <c r="H2434">
        <v>26567082144</v>
      </c>
      <c r="I2434">
        <v>21480765417</v>
      </c>
      <c r="J2434">
        <v>18069014269</v>
      </c>
      <c r="K2434">
        <v>17106394470</v>
      </c>
      <c r="L2434">
        <v>11454001979</v>
      </c>
      <c r="M2434">
        <v>10529946323</v>
      </c>
      <c r="N2434">
        <v>7852164529</v>
      </c>
      <c r="O2434">
        <v>6946014257</v>
      </c>
      <c r="P2434">
        <v>1065</v>
      </c>
      <c r="Q2434" t="s">
        <v>5198</v>
      </c>
    </row>
    <row r="2435" spans="1:17" x14ac:dyDescent="0.3">
      <c r="A2435" t="s">
        <v>4729</v>
      </c>
      <c r="B2435" t="str">
        <f>"000657"</f>
        <v>000657</v>
      </c>
      <c r="C2435" t="s">
        <v>5199</v>
      </c>
      <c r="D2435" t="s">
        <v>1110</v>
      </c>
      <c r="F2435">
        <v>4912778655</v>
      </c>
      <c r="G2435">
        <v>4302336998</v>
      </c>
      <c r="H2435">
        <v>3300778779</v>
      </c>
      <c r="I2435">
        <v>3181776719</v>
      </c>
      <c r="J2435">
        <v>3095352560</v>
      </c>
      <c r="K2435">
        <v>2975592177</v>
      </c>
      <c r="L2435">
        <v>2955875483</v>
      </c>
      <c r="M2435">
        <v>3481642051</v>
      </c>
      <c r="N2435">
        <v>3484597928</v>
      </c>
      <c r="O2435">
        <v>281872415</v>
      </c>
      <c r="P2435">
        <v>177</v>
      </c>
      <c r="Q2435" t="s">
        <v>5200</v>
      </c>
    </row>
    <row r="2436" spans="1:17" x14ac:dyDescent="0.3">
      <c r="A2436" t="s">
        <v>4729</v>
      </c>
      <c r="B2436" t="str">
        <f>"000658"</f>
        <v>000658</v>
      </c>
      <c r="C2436" t="s">
        <v>5201</v>
      </c>
      <c r="K2436">
        <v>-846209259.71000004</v>
      </c>
      <c r="L2436">
        <v>-848263069.27999997</v>
      </c>
      <c r="M2436">
        <v>-658878113.12</v>
      </c>
      <c r="N2436">
        <v>-646765525.24000001</v>
      </c>
      <c r="O2436">
        <v>-633668868.5</v>
      </c>
      <c r="P2436">
        <v>5</v>
      </c>
      <c r="Q2436" t="s">
        <v>5202</v>
      </c>
    </row>
    <row r="2437" spans="1:17" x14ac:dyDescent="0.3">
      <c r="A2437" t="s">
        <v>4729</v>
      </c>
      <c r="B2437" t="str">
        <f>"000659"</f>
        <v>000659</v>
      </c>
      <c r="C2437" t="s">
        <v>5203</v>
      </c>
      <c r="D2437" t="s">
        <v>485</v>
      </c>
      <c r="F2437">
        <v>581654696</v>
      </c>
      <c r="G2437">
        <v>564162615</v>
      </c>
      <c r="H2437">
        <v>736403034</v>
      </c>
      <c r="I2437">
        <v>683710097</v>
      </c>
      <c r="J2437">
        <v>658071020</v>
      </c>
      <c r="K2437">
        <v>481458440</v>
      </c>
      <c r="L2437">
        <v>1048401462</v>
      </c>
      <c r="M2437">
        <v>1120083683</v>
      </c>
      <c r="N2437">
        <v>1078168634</v>
      </c>
      <c r="O2437">
        <v>2119023843</v>
      </c>
      <c r="P2437">
        <v>77</v>
      </c>
      <c r="Q2437" t="s">
        <v>5204</v>
      </c>
    </row>
    <row r="2438" spans="1:17" x14ac:dyDescent="0.3">
      <c r="A2438" t="s">
        <v>4729</v>
      </c>
      <c r="B2438" t="str">
        <f>"000660"</f>
        <v>000660</v>
      </c>
      <c r="C2438" t="s">
        <v>5205</v>
      </c>
      <c r="K2438">
        <v>214307732.41</v>
      </c>
      <c r="L2438">
        <v>167715577.66</v>
      </c>
      <c r="N2438">
        <v>-1371070616.0799999</v>
      </c>
      <c r="O2438">
        <v>-1301193769.3499999</v>
      </c>
      <c r="P2438">
        <v>6</v>
      </c>
      <c r="Q2438" t="s">
        <v>5206</v>
      </c>
    </row>
    <row r="2439" spans="1:17" x14ac:dyDescent="0.3">
      <c r="A2439" t="s">
        <v>4729</v>
      </c>
      <c r="B2439" t="str">
        <f>"000661"</f>
        <v>000661</v>
      </c>
      <c r="C2439" t="s">
        <v>5207</v>
      </c>
      <c r="D2439" t="s">
        <v>1379</v>
      </c>
      <c r="F2439">
        <v>14573728470</v>
      </c>
      <c r="G2439">
        <v>10931005141</v>
      </c>
      <c r="H2439">
        <v>8084342043</v>
      </c>
      <c r="I2439">
        <v>5295049120</v>
      </c>
      <c r="J2439">
        <v>4425843573</v>
      </c>
      <c r="K2439">
        <v>3899843579</v>
      </c>
      <c r="L2439">
        <v>1777932388</v>
      </c>
      <c r="M2439">
        <v>1460212013</v>
      </c>
      <c r="N2439">
        <v>1192748855</v>
      </c>
      <c r="O2439">
        <v>929259008</v>
      </c>
      <c r="P2439">
        <v>59935</v>
      </c>
      <c r="Q2439" t="s">
        <v>5208</v>
      </c>
    </row>
    <row r="2440" spans="1:17" x14ac:dyDescent="0.3">
      <c r="A2440" t="s">
        <v>4729</v>
      </c>
      <c r="B2440" t="str">
        <f>"000662"</f>
        <v>000662</v>
      </c>
      <c r="C2440" t="s">
        <v>5209</v>
      </c>
      <c r="H2440">
        <v>671401185</v>
      </c>
      <c r="I2440">
        <v>5659368901</v>
      </c>
      <c r="J2440">
        <v>5569381310</v>
      </c>
      <c r="K2440">
        <v>5014512927</v>
      </c>
      <c r="L2440">
        <v>570238881</v>
      </c>
      <c r="M2440">
        <v>572769558</v>
      </c>
      <c r="N2440">
        <v>563122778</v>
      </c>
      <c r="O2440">
        <v>625765895</v>
      </c>
      <c r="P2440">
        <v>146</v>
      </c>
      <c r="Q2440" t="s">
        <v>5210</v>
      </c>
    </row>
    <row r="2441" spans="1:17" x14ac:dyDescent="0.3">
      <c r="A2441" t="s">
        <v>4729</v>
      </c>
      <c r="B2441" t="str">
        <f>"000663"</f>
        <v>000663</v>
      </c>
      <c r="C2441" t="s">
        <v>5211</v>
      </c>
      <c r="D2441" t="s">
        <v>2664</v>
      </c>
      <c r="F2441">
        <v>650132651</v>
      </c>
      <c r="G2441">
        <v>596454661</v>
      </c>
      <c r="H2441">
        <v>572846455</v>
      </c>
      <c r="I2441">
        <v>810485746</v>
      </c>
      <c r="J2441">
        <v>2141734304</v>
      </c>
      <c r="K2441">
        <v>2127294187</v>
      </c>
      <c r="L2441">
        <v>2013029499</v>
      </c>
      <c r="M2441">
        <v>323268844</v>
      </c>
      <c r="N2441">
        <v>332494215</v>
      </c>
      <c r="O2441">
        <v>351653876</v>
      </c>
      <c r="P2441">
        <v>93</v>
      </c>
      <c r="Q2441" t="s">
        <v>5212</v>
      </c>
    </row>
    <row r="2442" spans="1:17" x14ac:dyDescent="0.3">
      <c r="A2442" t="s">
        <v>4729</v>
      </c>
      <c r="B2442" t="str">
        <f>"000665"</f>
        <v>000665</v>
      </c>
      <c r="C2442" t="s">
        <v>5213</v>
      </c>
      <c r="D2442" t="s">
        <v>95</v>
      </c>
      <c r="F2442">
        <v>5633996079</v>
      </c>
      <c r="G2442">
        <v>5870074917</v>
      </c>
      <c r="H2442">
        <v>6481119666</v>
      </c>
      <c r="I2442">
        <v>5988967071</v>
      </c>
      <c r="J2442">
        <v>5863572816</v>
      </c>
      <c r="K2442">
        <v>5597596807</v>
      </c>
      <c r="L2442">
        <v>5349705338</v>
      </c>
      <c r="M2442">
        <v>5023013555</v>
      </c>
      <c r="N2442">
        <v>2320871627</v>
      </c>
      <c r="O2442">
        <v>2136967817</v>
      </c>
      <c r="P2442">
        <v>221</v>
      </c>
      <c r="Q2442" t="s">
        <v>5214</v>
      </c>
    </row>
    <row r="2443" spans="1:17" x14ac:dyDescent="0.3">
      <c r="A2443" t="s">
        <v>4729</v>
      </c>
      <c r="B2443" t="str">
        <f>"000666"</f>
        <v>000666</v>
      </c>
      <c r="C2443" t="s">
        <v>5215</v>
      </c>
      <c r="D2443" t="s">
        <v>1651</v>
      </c>
      <c r="F2443">
        <v>9405611053</v>
      </c>
      <c r="G2443">
        <v>9154440274</v>
      </c>
      <c r="H2443">
        <v>8790460517</v>
      </c>
      <c r="I2443">
        <v>8328333105</v>
      </c>
      <c r="J2443">
        <v>7634670496</v>
      </c>
      <c r="K2443">
        <v>6722430992</v>
      </c>
      <c r="L2443">
        <v>6063537214</v>
      </c>
      <c r="M2443">
        <v>5590919388</v>
      </c>
      <c r="N2443">
        <v>5114068305</v>
      </c>
      <c r="O2443">
        <v>4702154830</v>
      </c>
      <c r="P2443">
        <v>186</v>
      </c>
      <c r="Q2443" t="s">
        <v>5216</v>
      </c>
    </row>
    <row r="2444" spans="1:17" x14ac:dyDescent="0.3">
      <c r="A2444" t="s">
        <v>4729</v>
      </c>
      <c r="B2444" t="str">
        <f>"000667"</f>
        <v>000667</v>
      </c>
      <c r="C2444" t="s">
        <v>5217</v>
      </c>
      <c r="D2444" t="s">
        <v>104</v>
      </c>
      <c r="F2444">
        <v>4502838603</v>
      </c>
      <c r="G2444">
        <v>7221654306</v>
      </c>
      <c r="H2444">
        <v>7079635463</v>
      </c>
      <c r="I2444">
        <v>7196324581</v>
      </c>
      <c r="J2444">
        <v>7071975391</v>
      </c>
      <c r="K2444">
        <v>6479681960</v>
      </c>
      <c r="L2444">
        <v>5878807762</v>
      </c>
      <c r="M2444">
        <v>5450626687</v>
      </c>
      <c r="N2444">
        <v>5376530107</v>
      </c>
      <c r="O2444">
        <v>5403153600</v>
      </c>
      <c r="P2444">
        <v>169</v>
      </c>
      <c r="Q2444" t="s">
        <v>5218</v>
      </c>
    </row>
    <row r="2445" spans="1:17" x14ac:dyDescent="0.3">
      <c r="A2445" t="s">
        <v>4729</v>
      </c>
      <c r="B2445" t="str">
        <f>"000668"</f>
        <v>000668</v>
      </c>
      <c r="C2445" t="s">
        <v>5219</v>
      </c>
      <c r="D2445" t="s">
        <v>104</v>
      </c>
      <c r="F2445">
        <v>1179691411</v>
      </c>
      <c r="G2445">
        <v>944093269</v>
      </c>
      <c r="H2445">
        <v>974440949</v>
      </c>
      <c r="I2445">
        <v>848980246</v>
      </c>
      <c r="J2445">
        <v>614658143</v>
      </c>
      <c r="K2445">
        <v>604274380</v>
      </c>
      <c r="L2445">
        <v>648146052</v>
      </c>
      <c r="M2445">
        <v>622654112</v>
      </c>
      <c r="N2445">
        <v>670207814</v>
      </c>
      <c r="O2445">
        <v>669908046</v>
      </c>
      <c r="P2445">
        <v>96</v>
      </c>
      <c r="Q2445" t="s">
        <v>5220</v>
      </c>
    </row>
    <row r="2446" spans="1:17" x14ac:dyDescent="0.3">
      <c r="A2446" t="s">
        <v>4729</v>
      </c>
      <c r="B2446" t="str">
        <f>"000669"</f>
        <v>000669</v>
      </c>
      <c r="C2446" t="s">
        <v>5221</v>
      </c>
      <c r="D2446" t="s">
        <v>749</v>
      </c>
      <c r="F2446">
        <v>615149324</v>
      </c>
      <c r="G2446">
        <v>1273837391</v>
      </c>
      <c r="H2446">
        <v>1187076271</v>
      </c>
      <c r="I2446">
        <v>2526720675</v>
      </c>
      <c r="J2446">
        <v>4122009093</v>
      </c>
      <c r="K2446">
        <v>3935402275</v>
      </c>
      <c r="L2446">
        <v>3810317989</v>
      </c>
      <c r="M2446">
        <v>4022239413</v>
      </c>
      <c r="N2446">
        <v>2064770573</v>
      </c>
      <c r="O2446">
        <v>1764911684</v>
      </c>
      <c r="P2446">
        <v>83</v>
      </c>
      <c r="Q2446" t="s">
        <v>5222</v>
      </c>
    </row>
    <row r="2447" spans="1:17" x14ac:dyDescent="0.3">
      <c r="A2447" t="s">
        <v>4729</v>
      </c>
      <c r="B2447" t="str">
        <f>"000670"</f>
        <v>000670</v>
      </c>
      <c r="C2447" t="s">
        <v>5223</v>
      </c>
      <c r="D2447" t="s">
        <v>461</v>
      </c>
      <c r="F2447">
        <v>32739547</v>
      </c>
      <c r="G2447">
        <v>15769789</v>
      </c>
      <c r="H2447">
        <v>-23790940</v>
      </c>
      <c r="I2447">
        <v>197595633</v>
      </c>
      <c r="J2447">
        <v>363187648</v>
      </c>
      <c r="K2447">
        <v>685621146</v>
      </c>
      <c r="L2447">
        <v>539408469</v>
      </c>
      <c r="M2447">
        <v>495175785</v>
      </c>
      <c r="N2447">
        <v>215724754</v>
      </c>
      <c r="O2447">
        <v>209968204</v>
      </c>
      <c r="P2447">
        <v>116</v>
      </c>
      <c r="Q2447" t="s">
        <v>5224</v>
      </c>
    </row>
    <row r="2448" spans="1:17" x14ac:dyDescent="0.3">
      <c r="A2448" t="s">
        <v>4729</v>
      </c>
      <c r="B2448" t="str">
        <f>"000671"</f>
        <v>000671</v>
      </c>
      <c r="C2448" t="s">
        <v>5225</v>
      </c>
      <c r="D2448" t="s">
        <v>104</v>
      </c>
      <c r="F2448">
        <v>18191665304</v>
      </c>
      <c r="G2448">
        <v>26693031982</v>
      </c>
      <c r="H2448">
        <v>21744421926</v>
      </c>
      <c r="I2448">
        <v>17978706093</v>
      </c>
      <c r="J2448">
        <v>15150118524</v>
      </c>
      <c r="K2448">
        <v>13202927312</v>
      </c>
      <c r="L2448">
        <v>12014479383</v>
      </c>
      <c r="M2448">
        <v>6422681647</v>
      </c>
      <c r="N2448">
        <v>3275102872</v>
      </c>
      <c r="O2448">
        <v>2195542385</v>
      </c>
      <c r="P2448">
        <v>1192</v>
      </c>
      <c r="Q2448" t="s">
        <v>5226</v>
      </c>
    </row>
    <row r="2449" spans="1:17" x14ac:dyDescent="0.3">
      <c r="A2449" t="s">
        <v>4729</v>
      </c>
      <c r="B2449" t="str">
        <f>"000672"</f>
        <v>000672</v>
      </c>
      <c r="C2449" t="s">
        <v>5227</v>
      </c>
      <c r="D2449" t="s">
        <v>731</v>
      </c>
      <c r="F2449">
        <v>8289700699</v>
      </c>
      <c r="G2449">
        <v>6775844429</v>
      </c>
      <c r="H2449">
        <v>5429856317</v>
      </c>
      <c r="I2449">
        <v>3454871396</v>
      </c>
      <c r="J2449">
        <v>2244007300</v>
      </c>
      <c r="K2449">
        <v>1466865534</v>
      </c>
      <c r="L2449">
        <v>1738248972</v>
      </c>
      <c r="M2449">
        <v>1737021914</v>
      </c>
      <c r="N2449">
        <v>1459612259</v>
      </c>
      <c r="O2449">
        <v>26272654</v>
      </c>
      <c r="P2449">
        <v>1263</v>
      </c>
      <c r="Q2449" t="s">
        <v>5228</v>
      </c>
    </row>
    <row r="2450" spans="1:17" x14ac:dyDescent="0.3">
      <c r="A2450" t="s">
        <v>4729</v>
      </c>
      <c r="B2450" t="str">
        <f>"000673"</f>
        <v>000673</v>
      </c>
      <c r="C2450" t="s">
        <v>5229</v>
      </c>
      <c r="D2450" t="s">
        <v>113</v>
      </c>
      <c r="F2450">
        <v>21713004</v>
      </c>
      <c r="G2450">
        <v>-140717351</v>
      </c>
      <c r="H2450">
        <v>-161579992</v>
      </c>
      <c r="I2450">
        <v>553212205</v>
      </c>
      <c r="J2450">
        <v>2154235255</v>
      </c>
      <c r="K2450">
        <v>2314305195</v>
      </c>
      <c r="L2450">
        <v>2086976323</v>
      </c>
      <c r="M2450">
        <v>10735661</v>
      </c>
      <c r="N2450">
        <v>11291031</v>
      </c>
      <c r="O2450">
        <v>9027109</v>
      </c>
      <c r="P2450">
        <v>90</v>
      </c>
      <c r="Q2450" t="s">
        <v>5230</v>
      </c>
    </row>
    <row r="2451" spans="1:17" x14ac:dyDescent="0.3">
      <c r="A2451" t="s">
        <v>4729</v>
      </c>
      <c r="B2451" t="str">
        <f>"000675"</f>
        <v>000675</v>
      </c>
      <c r="C2451" t="s">
        <v>5231</v>
      </c>
      <c r="K2451">
        <v>-1229322433.5699999</v>
      </c>
      <c r="M2451">
        <v>-1122631556.0699999</v>
      </c>
      <c r="N2451">
        <v>-1079580683.6600001</v>
      </c>
      <c r="O2451">
        <v>-1017347874.08</v>
      </c>
      <c r="P2451">
        <v>5</v>
      </c>
      <c r="Q2451" t="s">
        <v>5232</v>
      </c>
    </row>
    <row r="2452" spans="1:17" x14ac:dyDescent="0.3">
      <c r="A2452" t="s">
        <v>4729</v>
      </c>
      <c r="B2452" t="str">
        <f>"000676"</f>
        <v>000676</v>
      </c>
      <c r="C2452" t="s">
        <v>5233</v>
      </c>
      <c r="D2452" t="s">
        <v>207</v>
      </c>
      <c r="F2452">
        <v>3850908479</v>
      </c>
      <c r="G2452">
        <v>3694923734</v>
      </c>
      <c r="H2452">
        <v>6666824469</v>
      </c>
      <c r="I2452">
        <v>5863132725</v>
      </c>
      <c r="J2452">
        <v>5052735151</v>
      </c>
      <c r="K2452">
        <v>4607850605</v>
      </c>
      <c r="L2452">
        <v>144613482</v>
      </c>
      <c r="M2452">
        <v>141981109</v>
      </c>
      <c r="N2452">
        <v>210570907</v>
      </c>
      <c r="O2452">
        <v>172598361</v>
      </c>
      <c r="P2452">
        <v>215</v>
      </c>
      <c r="Q2452" t="s">
        <v>5234</v>
      </c>
    </row>
    <row r="2453" spans="1:17" x14ac:dyDescent="0.3">
      <c r="A2453" t="s">
        <v>4729</v>
      </c>
      <c r="B2453" t="str">
        <f>"000677"</f>
        <v>000677</v>
      </c>
      <c r="C2453" t="s">
        <v>5235</v>
      </c>
      <c r="D2453" t="s">
        <v>888</v>
      </c>
      <c r="F2453">
        <v>365256803</v>
      </c>
      <c r="G2453">
        <v>287461783</v>
      </c>
      <c r="H2453">
        <v>280921625</v>
      </c>
      <c r="I2453">
        <v>273795692</v>
      </c>
      <c r="J2453">
        <v>272464879</v>
      </c>
      <c r="K2453">
        <v>270533215</v>
      </c>
      <c r="L2453">
        <v>266011839</v>
      </c>
      <c r="M2453">
        <v>211246674</v>
      </c>
      <c r="N2453">
        <v>521544624</v>
      </c>
      <c r="O2453">
        <v>782545666</v>
      </c>
      <c r="P2453">
        <v>80</v>
      </c>
      <c r="Q2453" t="s">
        <v>5236</v>
      </c>
    </row>
    <row r="2454" spans="1:17" x14ac:dyDescent="0.3">
      <c r="A2454" t="s">
        <v>4729</v>
      </c>
      <c r="B2454" t="str">
        <f>"000678"</f>
        <v>000678</v>
      </c>
      <c r="C2454" t="s">
        <v>5237</v>
      </c>
      <c r="D2454" t="s">
        <v>348</v>
      </c>
      <c r="F2454">
        <v>1036313596</v>
      </c>
      <c r="G2454">
        <v>1090672646</v>
      </c>
      <c r="H2454">
        <v>1199432048</v>
      </c>
      <c r="I2454">
        <v>1184848541</v>
      </c>
      <c r="J2454">
        <v>1251302106</v>
      </c>
      <c r="K2454">
        <v>1223901460</v>
      </c>
      <c r="L2454">
        <v>983005955</v>
      </c>
      <c r="M2454">
        <v>1061824099</v>
      </c>
      <c r="N2454">
        <v>1064937493</v>
      </c>
      <c r="O2454">
        <v>527568442</v>
      </c>
      <c r="P2454">
        <v>71</v>
      </c>
      <c r="Q2454" t="s">
        <v>5238</v>
      </c>
    </row>
    <row r="2455" spans="1:17" x14ac:dyDescent="0.3">
      <c r="A2455" t="s">
        <v>4729</v>
      </c>
      <c r="B2455" t="str">
        <f>"000679"</f>
        <v>000679</v>
      </c>
      <c r="C2455" t="s">
        <v>5239</v>
      </c>
      <c r="D2455" t="s">
        <v>1404</v>
      </c>
      <c r="F2455">
        <v>419469930</v>
      </c>
      <c r="G2455">
        <v>635828427</v>
      </c>
      <c r="H2455">
        <v>610064843</v>
      </c>
      <c r="I2455">
        <v>936269041</v>
      </c>
      <c r="J2455">
        <v>1351196006</v>
      </c>
      <c r="K2455">
        <v>1391283224</v>
      </c>
      <c r="L2455">
        <v>1262259838</v>
      </c>
      <c r="M2455">
        <v>1468639120</v>
      </c>
      <c r="N2455">
        <v>1489634743</v>
      </c>
      <c r="O2455">
        <v>1405856532</v>
      </c>
      <c r="P2455">
        <v>83</v>
      </c>
      <c r="Q2455" t="s">
        <v>5240</v>
      </c>
    </row>
    <row r="2456" spans="1:17" x14ac:dyDescent="0.3">
      <c r="A2456" t="s">
        <v>4729</v>
      </c>
      <c r="B2456" t="str">
        <f>"000680"</f>
        <v>000680</v>
      </c>
      <c r="C2456" t="s">
        <v>5241</v>
      </c>
      <c r="D2456" t="s">
        <v>83</v>
      </c>
      <c r="F2456">
        <v>4384491019</v>
      </c>
      <c r="G2456">
        <v>3509467523</v>
      </c>
      <c r="H2456">
        <v>3406361036</v>
      </c>
      <c r="I2456">
        <v>3369904942</v>
      </c>
      <c r="J2456">
        <v>3307592545</v>
      </c>
      <c r="K2456">
        <v>3226484028</v>
      </c>
      <c r="L2456">
        <v>3179849152</v>
      </c>
      <c r="M2456">
        <v>4073755720</v>
      </c>
      <c r="N2456">
        <v>4244139781</v>
      </c>
      <c r="O2456">
        <v>4197799191</v>
      </c>
      <c r="P2456">
        <v>120</v>
      </c>
      <c r="Q2456" t="s">
        <v>5242</v>
      </c>
    </row>
    <row r="2457" spans="1:17" x14ac:dyDescent="0.3">
      <c r="A2457" t="s">
        <v>4729</v>
      </c>
      <c r="B2457" t="str">
        <f>"000681"</f>
        <v>000681</v>
      </c>
      <c r="C2457" t="s">
        <v>5243</v>
      </c>
      <c r="D2457" t="s">
        <v>5244</v>
      </c>
      <c r="F2457">
        <v>3258707964</v>
      </c>
      <c r="G2457">
        <v>3165236909</v>
      </c>
      <c r="H2457">
        <v>3073699436</v>
      </c>
      <c r="I2457">
        <v>2890114063</v>
      </c>
      <c r="J2457">
        <v>2572499033</v>
      </c>
      <c r="K2457">
        <v>2296778132</v>
      </c>
      <c r="L2457">
        <v>2080437725</v>
      </c>
      <c r="M2457">
        <v>1358723145</v>
      </c>
      <c r="N2457">
        <v>149382035</v>
      </c>
      <c r="O2457">
        <v>144923319</v>
      </c>
      <c r="P2457">
        <v>449</v>
      </c>
      <c r="Q2457" t="s">
        <v>5245</v>
      </c>
    </row>
    <row r="2458" spans="1:17" x14ac:dyDescent="0.3">
      <c r="A2458" t="s">
        <v>4729</v>
      </c>
      <c r="B2458" t="str">
        <f>"000682"</f>
        <v>000682</v>
      </c>
      <c r="C2458" t="s">
        <v>5246</v>
      </c>
      <c r="D2458" t="s">
        <v>610</v>
      </c>
      <c r="F2458">
        <v>3808242750</v>
      </c>
      <c r="G2458">
        <v>3475706294</v>
      </c>
      <c r="H2458">
        <v>3260019190</v>
      </c>
      <c r="I2458">
        <v>3022453438</v>
      </c>
      <c r="J2458">
        <v>1742668385</v>
      </c>
      <c r="K2458">
        <v>1570835592</v>
      </c>
      <c r="L2458">
        <v>1512692623</v>
      </c>
      <c r="M2458">
        <v>1462757549</v>
      </c>
      <c r="N2458">
        <v>1432645453</v>
      </c>
      <c r="O2458">
        <v>1396416220</v>
      </c>
      <c r="P2458">
        <v>156</v>
      </c>
      <c r="Q2458" t="s">
        <v>5247</v>
      </c>
    </row>
    <row r="2459" spans="1:17" x14ac:dyDescent="0.3">
      <c r="A2459" t="s">
        <v>4729</v>
      </c>
      <c r="B2459" t="str">
        <f>"000683"</f>
        <v>000683</v>
      </c>
      <c r="C2459" t="s">
        <v>5248</v>
      </c>
      <c r="D2459" t="s">
        <v>2529</v>
      </c>
      <c r="F2459">
        <v>15323715385</v>
      </c>
      <c r="G2459">
        <v>10227129098</v>
      </c>
      <c r="H2459">
        <v>10203543509</v>
      </c>
      <c r="I2459">
        <v>9805251625</v>
      </c>
      <c r="J2459">
        <v>8807023331</v>
      </c>
      <c r="K2459">
        <v>8124702328</v>
      </c>
      <c r="L2459">
        <v>6059739913</v>
      </c>
      <c r="M2459">
        <v>6047181833</v>
      </c>
      <c r="N2459">
        <v>2393513716</v>
      </c>
      <c r="O2459">
        <v>2378431733</v>
      </c>
      <c r="P2459">
        <v>314</v>
      </c>
      <c r="Q2459" t="s">
        <v>5249</v>
      </c>
    </row>
    <row r="2460" spans="1:17" x14ac:dyDescent="0.3">
      <c r="A2460" t="s">
        <v>4729</v>
      </c>
      <c r="B2460" t="str">
        <f>"000685"</f>
        <v>000685</v>
      </c>
      <c r="C2460" t="s">
        <v>5250</v>
      </c>
      <c r="D2460" t="s">
        <v>33</v>
      </c>
      <c r="F2460">
        <v>15141971528</v>
      </c>
      <c r="G2460">
        <v>14075436434</v>
      </c>
      <c r="H2460">
        <v>13132338134</v>
      </c>
      <c r="I2460">
        <v>12280474161</v>
      </c>
      <c r="J2460">
        <v>7662323949</v>
      </c>
      <c r="K2460">
        <v>11330231384</v>
      </c>
      <c r="L2460">
        <v>10869054267</v>
      </c>
      <c r="M2460">
        <v>7474307461</v>
      </c>
      <c r="N2460">
        <v>6540954691</v>
      </c>
      <c r="O2460">
        <v>6047261639</v>
      </c>
      <c r="P2460">
        <v>511</v>
      </c>
      <c r="Q2460" t="s">
        <v>5251</v>
      </c>
    </row>
    <row r="2461" spans="1:17" x14ac:dyDescent="0.3">
      <c r="A2461" t="s">
        <v>4729</v>
      </c>
      <c r="B2461" t="str">
        <f>"000686"</f>
        <v>000686</v>
      </c>
      <c r="C2461" t="s">
        <v>5252</v>
      </c>
      <c r="D2461" t="s">
        <v>80</v>
      </c>
      <c r="F2461">
        <v>18045198015</v>
      </c>
      <c r="G2461">
        <v>16669364706</v>
      </c>
      <c r="H2461">
        <v>15583479267</v>
      </c>
      <c r="I2461">
        <v>15035425061</v>
      </c>
      <c r="J2461">
        <v>15670782678</v>
      </c>
      <c r="K2461">
        <v>15587205427</v>
      </c>
      <c r="L2461">
        <v>11391101373</v>
      </c>
      <c r="M2461">
        <v>8677276279</v>
      </c>
      <c r="N2461">
        <v>7434348033</v>
      </c>
      <c r="O2461">
        <v>7205713013</v>
      </c>
      <c r="P2461">
        <v>888</v>
      </c>
      <c r="Q2461" t="s">
        <v>5253</v>
      </c>
    </row>
    <row r="2462" spans="1:17" x14ac:dyDescent="0.3">
      <c r="A2462" t="s">
        <v>4729</v>
      </c>
      <c r="B2462" t="str">
        <f>"000687"</f>
        <v>000687</v>
      </c>
      <c r="C2462" t="s">
        <v>5254</v>
      </c>
      <c r="D2462" t="s">
        <v>98</v>
      </c>
      <c r="F2462">
        <v>-2132221831</v>
      </c>
      <c r="G2462">
        <v>-1507294128</v>
      </c>
      <c r="H2462">
        <v>-447279023</v>
      </c>
      <c r="I2462">
        <v>891955242</v>
      </c>
      <c r="J2462">
        <v>1347301001</v>
      </c>
      <c r="K2462">
        <v>1312857902</v>
      </c>
      <c r="L2462">
        <v>1111955180</v>
      </c>
      <c r="M2462">
        <v>1385290977</v>
      </c>
      <c r="N2462">
        <v>1421858146</v>
      </c>
      <c r="O2462">
        <v>1574697288</v>
      </c>
      <c r="P2462">
        <v>86</v>
      </c>
      <c r="Q2462" t="s">
        <v>5255</v>
      </c>
    </row>
    <row r="2463" spans="1:17" x14ac:dyDescent="0.3">
      <c r="A2463" t="s">
        <v>4729</v>
      </c>
      <c r="B2463" t="str">
        <f>"000688"</f>
        <v>000688</v>
      </c>
      <c r="C2463" t="s">
        <v>5256</v>
      </c>
      <c r="D2463" t="s">
        <v>744</v>
      </c>
      <c r="F2463">
        <v>2449662301</v>
      </c>
      <c r="G2463">
        <v>2270454481</v>
      </c>
      <c r="H2463">
        <v>2131663855</v>
      </c>
      <c r="I2463">
        <v>2341455842</v>
      </c>
      <c r="J2463">
        <v>2171184602</v>
      </c>
      <c r="K2463">
        <v>1749389485</v>
      </c>
      <c r="L2463">
        <v>1489758836</v>
      </c>
      <c r="M2463">
        <v>1206108679</v>
      </c>
      <c r="N2463">
        <v>971173153</v>
      </c>
      <c r="O2463">
        <v>-90696230</v>
      </c>
      <c r="P2463">
        <v>197</v>
      </c>
      <c r="Q2463" t="s">
        <v>5257</v>
      </c>
    </row>
    <row r="2464" spans="1:17" x14ac:dyDescent="0.3">
      <c r="A2464" t="s">
        <v>4729</v>
      </c>
      <c r="B2464" t="str">
        <f>"000689"</f>
        <v>000689</v>
      </c>
      <c r="C2464" t="s">
        <v>5258</v>
      </c>
      <c r="K2464">
        <v>-949367922.32000005</v>
      </c>
      <c r="L2464">
        <v>-891131764.65999997</v>
      </c>
      <c r="M2464">
        <v>-837369742.52999997</v>
      </c>
      <c r="N2464">
        <v>-790657030.02999997</v>
      </c>
      <c r="O2464">
        <v>-749446623.10000002</v>
      </c>
      <c r="P2464">
        <v>5</v>
      </c>
      <c r="Q2464" t="s">
        <v>5259</v>
      </c>
    </row>
    <row r="2465" spans="1:17" x14ac:dyDescent="0.3">
      <c r="A2465" t="s">
        <v>4729</v>
      </c>
      <c r="B2465" t="str">
        <f>"000690"</f>
        <v>000690</v>
      </c>
      <c r="C2465" t="s">
        <v>5260</v>
      </c>
      <c r="D2465" t="s">
        <v>41</v>
      </c>
      <c r="F2465">
        <v>11172620500</v>
      </c>
      <c r="G2465">
        <v>10898365810</v>
      </c>
      <c r="H2465">
        <v>9500183675</v>
      </c>
      <c r="I2465">
        <v>8858432291</v>
      </c>
      <c r="J2465">
        <v>8483919847</v>
      </c>
      <c r="K2465">
        <v>8236574017</v>
      </c>
      <c r="L2465">
        <v>5058231626</v>
      </c>
      <c r="M2465">
        <v>5013856526</v>
      </c>
      <c r="N2465">
        <v>4585547309</v>
      </c>
      <c r="O2465">
        <v>3831492971</v>
      </c>
      <c r="P2465">
        <v>643</v>
      </c>
      <c r="Q2465" t="s">
        <v>5261</v>
      </c>
    </row>
    <row r="2466" spans="1:17" x14ac:dyDescent="0.3">
      <c r="A2466" t="s">
        <v>4729</v>
      </c>
      <c r="B2466" t="str">
        <f>"000691"</f>
        <v>000691</v>
      </c>
      <c r="C2466" t="s">
        <v>5262</v>
      </c>
      <c r="D2466" t="s">
        <v>104</v>
      </c>
      <c r="F2466">
        <v>136475576</v>
      </c>
      <c r="G2466">
        <v>94835958</v>
      </c>
      <c r="H2466">
        <v>75234543</v>
      </c>
      <c r="I2466">
        <v>85414854</v>
      </c>
      <c r="J2466">
        <v>74412290</v>
      </c>
      <c r="K2466">
        <v>36760785</v>
      </c>
      <c r="L2466">
        <v>34788730</v>
      </c>
      <c r="M2466">
        <v>24058436</v>
      </c>
      <c r="N2466">
        <v>38760288</v>
      </c>
      <c r="O2466">
        <v>43747354</v>
      </c>
      <c r="P2466">
        <v>91</v>
      </c>
      <c r="Q2466" t="s">
        <v>5263</v>
      </c>
    </row>
    <row r="2467" spans="1:17" x14ac:dyDescent="0.3">
      <c r="A2467" t="s">
        <v>4729</v>
      </c>
      <c r="B2467" t="str">
        <f>"000692"</f>
        <v>000692</v>
      </c>
      <c r="C2467" t="s">
        <v>5264</v>
      </c>
      <c r="D2467" t="s">
        <v>351</v>
      </c>
      <c r="F2467">
        <v>64946696</v>
      </c>
      <c r="G2467">
        <v>283996946</v>
      </c>
      <c r="H2467">
        <v>1255144588</v>
      </c>
      <c r="I2467">
        <v>1408830113</v>
      </c>
      <c r="J2467">
        <v>1323977121</v>
      </c>
      <c r="K2467">
        <v>1409643258</v>
      </c>
      <c r="L2467">
        <v>1376336863</v>
      </c>
      <c r="M2467">
        <v>1284351662</v>
      </c>
      <c r="N2467">
        <v>1267493626</v>
      </c>
      <c r="O2467">
        <v>1246003491</v>
      </c>
      <c r="P2467">
        <v>77</v>
      </c>
      <c r="Q2467" t="s">
        <v>5265</v>
      </c>
    </row>
    <row r="2468" spans="1:17" x14ac:dyDescent="0.3">
      <c r="A2468" t="s">
        <v>4729</v>
      </c>
      <c r="B2468" t="str">
        <f>"000693"</f>
        <v>000693</v>
      </c>
      <c r="C2468" t="s">
        <v>5266</v>
      </c>
      <c r="J2468">
        <v>-1444755398</v>
      </c>
      <c r="K2468">
        <v>852556645</v>
      </c>
      <c r="L2468">
        <v>1256868120.7</v>
      </c>
      <c r="M2468">
        <v>1397982916.8900001</v>
      </c>
      <c r="N2468">
        <v>1172964059.45</v>
      </c>
      <c r="O2468">
        <v>-179575838.22999999</v>
      </c>
      <c r="P2468">
        <v>17</v>
      </c>
      <c r="Q2468" t="s">
        <v>5267</v>
      </c>
    </row>
    <row r="2469" spans="1:17" x14ac:dyDescent="0.3">
      <c r="A2469" t="s">
        <v>4729</v>
      </c>
      <c r="B2469" t="str">
        <f>"000695"</f>
        <v>000695</v>
      </c>
      <c r="C2469" t="s">
        <v>5268</v>
      </c>
      <c r="D2469" t="s">
        <v>1694</v>
      </c>
      <c r="F2469">
        <v>303781175</v>
      </c>
      <c r="G2469">
        <v>360737588</v>
      </c>
      <c r="H2469">
        <v>377253744</v>
      </c>
      <c r="I2469">
        <v>364071188</v>
      </c>
      <c r="J2469">
        <v>337669327</v>
      </c>
      <c r="K2469">
        <v>327920953</v>
      </c>
      <c r="L2469">
        <v>323837061</v>
      </c>
      <c r="M2469">
        <v>319591798</v>
      </c>
      <c r="N2469">
        <v>315276261</v>
      </c>
      <c r="O2469">
        <v>309848256</v>
      </c>
      <c r="P2469">
        <v>82</v>
      </c>
      <c r="Q2469" t="s">
        <v>5269</v>
      </c>
    </row>
    <row r="2470" spans="1:17" x14ac:dyDescent="0.3">
      <c r="A2470" t="s">
        <v>4729</v>
      </c>
      <c r="B2470" t="str">
        <f>"000697"</f>
        <v>000697</v>
      </c>
      <c r="C2470" t="s">
        <v>5270</v>
      </c>
      <c r="D2470" t="s">
        <v>98</v>
      </c>
      <c r="F2470">
        <v>428530452</v>
      </c>
      <c r="G2470">
        <v>1029035665</v>
      </c>
      <c r="H2470">
        <v>1526506605</v>
      </c>
      <c r="I2470">
        <v>3071037360</v>
      </c>
      <c r="J2470">
        <v>1499859626</v>
      </c>
      <c r="K2470">
        <v>1424429534</v>
      </c>
      <c r="L2470">
        <v>1470863033</v>
      </c>
      <c r="M2470">
        <v>1422275803</v>
      </c>
      <c r="N2470">
        <v>559183171</v>
      </c>
      <c r="O2470">
        <v>495324550</v>
      </c>
      <c r="P2470">
        <v>110</v>
      </c>
      <c r="Q2470" t="s">
        <v>5271</v>
      </c>
    </row>
    <row r="2471" spans="1:17" x14ac:dyDescent="0.3">
      <c r="A2471" t="s">
        <v>4729</v>
      </c>
      <c r="B2471" t="str">
        <f>"000698"</f>
        <v>000698</v>
      </c>
      <c r="C2471" t="s">
        <v>5272</v>
      </c>
      <c r="D2471" t="s">
        <v>74</v>
      </c>
      <c r="F2471">
        <v>4111217317</v>
      </c>
      <c r="G2471">
        <v>4076954014</v>
      </c>
      <c r="H2471">
        <v>3715306180</v>
      </c>
      <c r="I2471">
        <v>4513833770</v>
      </c>
      <c r="J2471">
        <v>4395921071</v>
      </c>
      <c r="K2471">
        <v>4224340702</v>
      </c>
      <c r="L2471">
        <v>3883848438</v>
      </c>
      <c r="M2471">
        <v>3116733855</v>
      </c>
      <c r="N2471">
        <v>3097953113</v>
      </c>
      <c r="O2471">
        <v>3060983073</v>
      </c>
      <c r="P2471">
        <v>166</v>
      </c>
      <c r="Q2471" t="s">
        <v>5273</v>
      </c>
    </row>
    <row r="2472" spans="1:17" x14ac:dyDescent="0.3">
      <c r="A2472" t="s">
        <v>4729</v>
      </c>
      <c r="B2472" t="str">
        <f>"000699"</f>
        <v>000699</v>
      </c>
      <c r="C2472" t="s">
        <v>5274</v>
      </c>
      <c r="L2472">
        <v>-2650981666.3200002</v>
      </c>
      <c r="P2472">
        <v>4</v>
      </c>
      <c r="Q2472" t="s">
        <v>5275</v>
      </c>
    </row>
    <row r="2473" spans="1:17" x14ac:dyDescent="0.3">
      <c r="A2473" t="s">
        <v>4729</v>
      </c>
      <c r="B2473" t="str">
        <f>"000700"</f>
        <v>000700</v>
      </c>
      <c r="C2473" t="s">
        <v>5276</v>
      </c>
      <c r="D2473" t="s">
        <v>191</v>
      </c>
      <c r="F2473">
        <v>2276364962</v>
      </c>
      <c r="G2473">
        <v>2737453147</v>
      </c>
      <c r="H2473">
        <v>2370791574</v>
      </c>
      <c r="I2473">
        <v>2184737660</v>
      </c>
      <c r="J2473">
        <v>2553515369</v>
      </c>
      <c r="K2473">
        <v>3103325489</v>
      </c>
      <c r="L2473">
        <v>2412367508</v>
      </c>
      <c r="M2473">
        <v>1390356561</v>
      </c>
      <c r="N2473">
        <v>1383956337</v>
      </c>
      <c r="O2473">
        <v>1195251641</v>
      </c>
      <c r="P2473">
        <v>259</v>
      </c>
      <c r="Q2473" t="s">
        <v>5277</v>
      </c>
    </row>
    <row r="2474" spans="1:17" x14ac:dyDescent="0.3">
      <c r="A2474" t="s">
        <v>4729</v>
      </c>
      <c r="B2474" t="str">
        <f>"000701"</f>
        <v>000701</v>
      </c>
      <c r="C2474" t="s">
        <v>5278</v>
      </c>
      <c r="D2474" t="s">
        <v>651</v>
      </c>
      <c r="F2474">
        <v>544916064</v>
      </c>
      <c r="G2474">
        <v>49927606</v>
      </c>
      <c r="H2474">
        <v>209627658</v>
      </c>
      <c r="I2474">
        <v>2814119832</v>
      </c>
      <c r="J2474">
        <v>3153338915</v>
      </c>
      <c r="K2474">
        <v>3226819845</v>
      </c>
      <c r="L2474">
        <v>1898403914</v>
      </c>
      <c r="M2474">
        <v>1811441600</v>
      </c>
      <c r="N2474">
        <v>1027708209</v>
      </c>
      <c r="O2474">
        <v>813485599</v>
      </c>
      <c r="P2474">
        <v>120</v>
      </c>
      <c r="Q2474" t="s">
        <v>5279</v>
      </c>
    </row>
    <row r="2475" spans="1:17" x14ac:dyDescent="0.3">
      <c r="A2475" t="s">
        <v>4729</v>
      </c>
      <c r="B2475" t="str">
        <f>"000702"</f>
        <v>000702</v>
      </c>
      <c r="C2475" t="s">
        <v>5280</v>
      </c>
      <c r="D2475" t="s">
        <v>2886</v>
      </c>
      <c r="F2475">
        <v>350592066</v>
      </c>
      <c r="G2475">
        <v>580181021</v>
      </c>
      <c r="H2475">
        <v>539427628</v>
      </c>
      <c r="I2475">
        <v>520075535</v>
      </c>
      <c r="J2475">
        <v>471183871</v>
      </c>
      <c r="K2475">
        <v>451876872</v>
      </c>
      <c r="L2475">
        <v>457251205</v>
      </c>
      <c r="M2475">
        <v>487795130</v>
      </c>
      <c r="N2475">
        <v>436522699</v>
      </c>
      <c r="O2475">
        <v>454408673</v>
      </c>
      <c r="P2475">
        <v>127</v>
      </c>
      <c r="Q2475" t="s">
        <v>5281</v>
      </c>
    </row>
    <row r="2476" spans="1:17" x14ac:dyDescent="0.3">
      <c r="A2476" t="s">
        <v>4729</v>
      </c>
      <c r="B2476" t="str">
        <f>"000703"</f>
        <v>000703</v>
      </c>
      <c r="C2476" t="s">
        <v>5282</v>
      </c>
      <c r="D2476" t="s">
        <v>74</v>
      </c>
      <c r="F2476">
        <v>25418353443</v>
      </c>
      <c r="G2476">
        <v>23528087454</v>
      </c>
      <c r="H2476">
        <v>23253008414</v>
      </c>
      <c r="I2476">
        <v>17801881185</v>
      </c>
      <c r="J2476">
        <v>11965890180</v>
      </c>
      <c r="K2476">
        <v>10924093576</v>
      </c>
      <c r="L2476">
        <v>6252367471</v>
      </c>
      <c r="M2476">
        <v>5028824912</v>
      </c>
      <c r="N2476">
        <v>5476875469</v>
      </c>
      <c r="O2476">
        <v>5162862943</v>
      </c>
      <c r="P2476">
        <v>581</v>
      </c>
      <c r="Q2476" t="s">
        <v>5283</v>
      </c>
    </row>
    <row r="2477" spans="1:17" x14ac:dyDescent="0.3">
      <c r="A2477" t="s">
        <v>4729</v>
      </c>
      <c r="B2477" t="str">
        <f>"000705"</f>
        <v>000705</v>
      </c>
      <c r="C2477" t="s">
        <v>5284</v>
      </c>
      <c r="D2477" t="s">
        <v>125</v>
      </c>
      <c r="F2477">
        <v>1853653537</v>
      </c>
      <c r="G2477">
        <v>1741455077</v>
      </c>
      <c r="H2477">
        <v>1689964066</v>
      </c>
      <c r="I2477">
        <v>1422866650</v>
      </c>
      <c r="J2477">
        <v>1368925405</v>
      </c>
      <c r="K2477">
        <v>1293309710</v>
      </c>
      <c r="L2477">
        <v>1265350094</v>
      </c>
      <c r="M2477">
        <v>1211602527</v>
      </c>
      <c r="N2477">
        <v>1168582011</v>
      </c>
      <c r="O2477">
        <v>1103227091</v>
      </c>
      <c r="P2477">
        <v>107</v>
      </c>
      <c r="Q2477" t="s">
        <v>5285</v>
      </c>
    </row>
    <row r="2478" spans="1:17" x14ac:dyDescent="0.3">
      <c r="A2478" t="s">
        <v>4729</v>
      </c>
      <c r="B2478" t="str">
        <f>"000707"</f>
        <v>000707</v>
      </c>
      <c r="C2478" t="s">
        <v>5286</v>
      </c>
      <c r="D2478" t="s">
        <v>2529</v>
      </c>
      <c r="F2478">
        <v>589274646</v>
      </c>
      <c r="G2478">
        <v>-290233787</v>
      </c>
      <c r="H2478">
        <v>190361934</v>
      </c>
      <c r="I2478">
        <v>186355851</v>
      </c>
      <c r="J2478">
        <v>376445323</v>
      </c>
      <c r="K2478">
        <v>889737012</v>
      </c>
      <c r="L2478">
        <v>1435801144</v>
      </c>
      <c r="M2478">
        <v>1428626694</v>
      </c>
      <c r="N2478">
        <v>1422625660</v>
      </c>
      <c r="O2478">
        <v>2094116582</v>
      </c>
      <c r="P2478">
        <v>83</v>
      </c>
      <c r="Q2478" t="s">
        <v>5287</v>
      </c>
    </row>
    <row r="2479" spans="1:17" x14ac:dyDescent="0.3">
      <c r="A2479" t="s">
        <v>4729</v>
      </c>
      <c r="B2479" t="str">
        <f>"000708"</f>
        <v>000708</v>
      </c>
      <c r="C2479" t="s">
        <v>5288</v>
      </c>
      <c r="D2479" t="s">
        <v>281</v>
      </c>
      <c r="F2479">
        <v>32804142728</v>
      </c>
      <c r="G2479">
        <v>28350118725</v>
      </c>
      <c r="H2479">
        <v>25245131441</v>
      </c>
      <c r="I2479">
        <v>4403657367</v>
      </c>
      <c r="J2479">
        <v>4028301417</v>
      </c>
      <c r="K2479">
        <v>3723282399</v>
      </c>
      <c r="L2479">
        <v>3498013015</v>
      </c>
      <c r="M2479">
        <v>3317501788</v>
      </c>
      <c r="N2479">
        <v>3139326282</v>
      </c>
      <c r="O2479">
        <v>2937664792</v>
      </c>
      <c r="P2479">
        <v>677</v>
      </c>
      <c r="Q2479" t="s">
        <v>5289</v>
      </c>
    </row>
    <row r="2480" spans="1:17" x14ac:dyDescent="0.3">
      <c r="A2480" t="s">
        <v>4729</v>
      </c>
      <c r="B2480" t="str">
        <f>"000709"</f>
        <v>000709</v>
      </c>
      <c r="C2480" t="s">
        <v>5290</v>
      </c>
      <c r="D2480" t="s">
        <v>38</v>
      </c>
      <c r="F2480">
        <v>51036297850</v>
      </c>
      <c r="G2480">
        <v>49615095217</v>
      </c>
      <c r="H2480">
        <v>48352598751</v>
      </c>
      <c r="I2480">
        <v>48131155720</v>
      </c>
      <c r="J2480">
        <v>45826911512</v>
      </c>
      <c r="K2480">
        <v>44820365617</v>
      </c>
      <c r="L2480">
        <v>43613593105</v>
      </c>
      <c r="M2480">
        <v>43036758761</v>
      </c>
      <c r="N2480">
        <v>42560059997</v>
      </c>
      <c r="O2480">
        <v>42541604431</v>
      </c>
      <c r="P2480">
        <v>524</v>
      </c>
      <c r="Q2480" t="s">
        <v>5291</v>
      </c>
    </row>
    <row r="2481" spans="1:17" x14ac:dyDescent="0.3">
      <c r="A2481" t="s">
        <v>4729</v>
      </c>
      <c r="B2481" t="str">
        <f>"000710"</f>
        <v>000710</v>
      </c>
      <c r="C2481" t="s">
        <v>5292</v>
      </c>
      <c r="D2481" t="s">
        <v>1305</v>
      </c>
      <c r="F2481">
        <v>2490192734</v>
      </c>
      <c r="G2481">
        <v>2388438683</v>
      </c>
      <c r="H2481">
        <v>2328392944</v>
      </c>
      <c r="I2481">
        <v>1903439521</v>
      </c>
      <c r="J2481">
        <v>1536563886</v>
      </c>
      <c r="K2481">
        <v>114075604</v>
      </c>
      <c r="L2481">
        <v>117688545</v>
      </c>
      <c r="M2481">
        <v>130028468</v>
      </c>
      <c r="N2481">
        <v>115439083</v>
      </c>
      <c r="O2481">
        <v>118049087</v>
      </c>
      <c r="P2481">
        <v>460</v>
      </c>
      <c r="Q2481" t="s">
        <v>5293</v>
      </c>
    </row>
    <row r="2482" spans="1:17" x14ac:dyDescent="0.3">
      <c r="A2482" t="s">
        <v>4729</v>
      </c>
      <c r="B2482" t="str">
        <f>"000711"</f>
        <v>000711</v>
      </c>
      <c r="C2482" t="s">
        <v>5294</v>
      </c>
      <c r="D2482" t="s">
        <v>499</v>
      </c>
      <c r="F2482">
        <v>924282010</v>
      </c>
      <c r="G2482">
        <v>2274392434</v>
      </c>
      <c r="H2482">
        <v>4635903675</v>
      </c>
      <c r="I2482">
        <v>4343418611</v>
      </c>
      <c r="J2482">
        <v>4241687305</v>
      </c>
      <c r="K2482">
        <v>2970044319</v>
      </c>
      <c r="L2482">
        <v>290836164</v>
      </c>
      <c r="M2482">
        <v>253876689</v>
      </c>
      <c r="N2482">
        <v>325410960</v>
      </c>
      <c r="O2482">
        <v>365522296</v>
      </c>
      <c r="P2482">
        <v>109</v>
      </c>
      <c r="Q2482" t="s">
        <v>5295</v>
      </c>
    </row>
    <row r="2483" spans="1:17" x14ac:dyDescent="0.3">
      <c r="A2483" t="s">
        <v>4729</v>
      </c>
      <c r="B2483" t="str">
        <f>"000712"</f>
        <v>000712</v>
      </c>
      <c r="C2483" t="s">
        <v>5296</v>
      </c>
      <c r="D2483" t="s">
        <v>80</v>
      </c>
      <c r="F2483">
        <v>3290801582</v>
      </c>
      <c r="G2483">
        <v>3399089922</v>
      </c>
      <c r="H2483">
        <v>3342302361</v>
      </c>
      <c r="I2483">
        <v>3447725668</v>
      </c>
      <c r="J2483">
        <v>3715978658</v>
      </c>
      <c r="K2483">
        <v>3658261453</v>
      </c>
      <c r="L2483">
        <v>3381446968.3299999</v>
      </c>
      <c r="M2483">
        <v>2558687211.6799998</v>
      </c>
      <c r="N2483">
        <v>2216661358.2800002</v>
      </c>
      <c r="O2483">
        <v>2220701424.0900002</v>
      </c>
      <c r="P2483">
        <v>557</v>
      </c>
      <c r="Q2483" t="s">
        <v>5297</v>
      </c>
    </row>
    <row r="2484" spans="1:17" x14ac:dyDescent="0.3">
      <c r="A2484" t="s">
        <v>4729</v>
      </c>
      <c r="B2484" t="str">
        <f>"000713"</f>
        <v>000713</v>
      </c>
      <c r="C2484" t="s">
        <v>5298</v>
      </c>
      <c r="D2484" t="s">
        <v>706</v>
      </c>
      <c r="F2484">
        <v>1877941694</v>
      </c>
      <c r="G2484">
        <v>1713493464</v>
      </c>
      <c r="H2484">
        <v>1695816746</v>
      </c>
      <c r="I2484">
        <v>1576035755</v>
      </c>
      <c r="J2484">
        <v>1336988108</v>
      </c>
      <c r="K2484">
        <v>1388023317</v>
      </c>
      <c r="L2484">
        <v>1362068686</v>
      </c>
      <c r="M2484">
        <v>1344803426</v>
      </c>
      <c r="N2484">
        <v>1289771489</v>
      </c>
      <c r="O2484">
        <v>1204095859</v>
      </c>
      <c r="P2484">
        <v>237</v>
      </c>
      <c r="Q2484" t="s">
        <v>5299</v>
      </c>
    </row>
    <row r="2485" spans="1:17" x14ac:dyDescent="0.3">
      <c r="A2485" t="s">
        <v>4729</v>
      </c>
      <c r="B2485" t="str">
        <f>"000715"</f>
        <v>000715</v>
      </c>
      <c r="C2485" t="s">
        <v>5300</v>
      </c>
      <c r="D2485" t="s">
        <v>633</v>
      </c>
      <c r="F2485">
        <v>1657701789</v>
      </c>
      <c r="G2485">
        <v>1542582884</v>
      </c>
      <c r="H2485">
        <v>1478825227</v>
      </c>
      <c r="I2485">
        <v>1346825970</v>
      </c>
      <c r="J2485">
        <v>1273101255</v>
      </c>
      <c r="K2485">
        <v>1215194663</v>
      </c>
      <c r="L2485">
        <v>1146053363</v>
      </c>
      <c r="M2485">
        <v>1098216247</v>
      </c>
      <c r="N2485">
        <v>1272409317</v>
      </c>
      <c r="O2485">
        <v>1185294849</v>
      </c>
      <c r="P2485">
        <v>103</v>
      </c>
      <c r="Q2485" t="s">
        <v>5301</v>
      </c>
    </row>
    <row r="2486" spans="1:17" x14ac:dyDescent="0.3">
      <c r="A2486" t="s">
        <v>4729</v>
      </c>
      <c r="B2486" t="str">
        <f>"000716"</f>
        <v>000716</v>
      </c>
      <c r="C2486" t="s">
        <v>5302</v>
      </c>
      <c r="D2486" t="s">
        <v>2488</v>
      </c>
      <c r="F2486">
        <v>2615524196</v>
      </c>
      <c r="G2486">
        <v>2726473744</v>
      </c>
      <c r="H2486">
        <v>2756864967</v>
      </c>
      <c r="I2486">
        <v>2728955114</v>
      </c>
      <c r="J2486">
        <v>2588335660</v>
      </c>
      <c r="K2486">
        <v>1737186851</v>
      </c>
      <c r="L2486">
        <v>1736053613</v>
      </c>
      <c r="M2486">
        <v>1808702875</v>
      </c>
      <c r="N2486">
        <v>833576235</v>
      </c>
      <c r="O2486">
        <v>344527806</v>
      </c>
      <c r="P2486">
        <v>163</v>
      </c>
      <c r="Q2486" t="s">
        <v>5303</v>
      </c>
    </row>
    <row r="2487" spans="1:17" x14ac:dyDescent="0.3">
      <c r="A2487" t="s">
        <v>4729</v>
      </c>
      <c r="B2487" t="str">
        <f>"000717"</f>
        <v>000717</v>
      </c>
      <c r="C2487" t="s">
        <v>5304</v>
      </c>
      <c r="D2487" t="s">
        <v>531</v>
      </c>
      <c r="F2487">
        <v>10954263226</v>
      </c>
      <c r="G2487">
        <v>9510495461</v>
      </c>
      <c r="H2487">
        <v>7998838207</v>
      </c>
      <c r="I2487">
        <v>6177524919</v>
      </c>
      <c r="J2487">
        <v>2972561886</v>
      </c>
      <c r="K2487">
        <v>458491583</v>
      </c>
      <c r="L2487">
        <v>354898744</v>
      </c>
      <c r="M2487">
        <v>2936886428</v>
      </c>
      <c r="N2487">
        <v>4346963104</v>
      </c>
      <c r="O2487">
        <v>2730427385</v>
      </c>
      <c r="P2487">
        <v>681</v>
      </c>
      <c r="Q2487" t="s">
        <v>5305</v>
      </c>
    </row>
    <row r="2488" spans="1:17" x14ac:dyDescent="0.3">
      <c r="A2488" t="s">
        <v>4729</v>
      </c>
      <c r="B2488" t="str">
        <f>"000718"</f>
        <v>000718</v>
      </c>
      <c r="C2488" t="s">
        <v>5306</v>
      </c>
      <c r="D2488" t="s">
        <v>104</v>
      </c>
      <c r="F2488">
        <v>8828080276</v>
      </c>
      <c r="G2488">
        <v>8423834321</v>
      </c>
      <c r="H2488">
        <v>8209624897</v>
      </c>
      <c r="I2488">
        <v>8604238842</v>
      </c>
      <c r="J2488">
        <v>8102823405</v>
      </c>
      <c r="K2488">
        <v>7542251586</v>
      </c>
      <c r="L2488">
        <v>9106870362</v>
      </c>
      <c r="M2488">
        <v>4874568760</v>
      </c>
      <c r="N2488">
        <v>4316377268</v>
      </c>
      <c r="O2488">
        <v>5005721636</v>
      </c>
      <c r="P2488">
        <v>659</v>
      </c>
      <c r="Q2488" t="s">
        <v>5307</v>
      </c>
    </row>
    <row r="2489" spans="1:17" x14ac:dyDescent="0.3">
      <c r="A2489" t="s">
        <v>4729</v>
      </c>
      <c r="B2489" t="str">
        <f>"000719"</f>
        <v>000719</v>
      </c>
      <c r="C2489" t="s">
        <v>5308</v>
      </c>
      <c r="D2489" t="s">
        <v>525</v>
      </c>
      <c r="F2489">
        <v>9483318547</v>
      </c>
      <c r="G2489">
        <v>8932196949</v>
      </c>
      <c r="H2489">
        <v>8275859911</v>
      </c>
      <c r="I2489">
        <v>7704901707</v>
      </c>
      <c r="J2489">
        <v>7184545661</v>
      </c>
      <c r="K2489">
        <v>6658350818</v>
      </c>
      <c r="L2489">
        <v>6101102108</v>
      </c>
      <c r="M2489">
        <v>5568557242</v>
      </c>
      <c r="N2489">
        <v>2015459788</v>
      </c>
      <c r="O2489">
        <v>1725424048</v>
      </c>
      <c r="P2489">
        <v>695</v>
      </c>
      <c r="Q2489" t="s">
        <v>5309</v>
      </c>
    </row>
    <row r="2490" spans="1:17" x14ac:dyDescent="0.3">
      <c r="A2490" t="s">
        <v>4729</v>
      </c>
      <c r="B2490" t="str">
        <f>"000720"</f>
        <v>000720</v>
      </c>
      <c r="C2490" t="s">
        <v>5310</v>
      </c>
      <c r="D2490" t="s">
        <v>194</v>
      </c>
      <c r="F2490">
        <v>2687806573</v>
      </c>
      <c r="G2490">
        <v>2782151049</v>
      </c>
      <c r="H2490">
        <v>2512786790</v>
      </c>
      <c r="I2490">
        <v>2179680863</v>
      </c>
      <c r="J2490">
        <v>1114192302</v>
      </c>
      <c r="K2490">
        <v>877431936</v>
      </c>
      <c r="L2490">
        <v>942545339</v>
      </c>
      <c r="M2490">
        <v>860749279</v>
      </c>
      <c r="N2490">
        <v>780020250</v>
      </c>
      <c r="O2490">
        <v>746304782</v>
      </c>
      <c r="P2490">
        <v>122</v>
      </c>
      <c r="Q2490" t="s">
        <v>5311</v>
      </c>
    </row>
    <row r="2491" spans="1:17" x14ac:dyDescent="0.3">
      <c r="A2491" t="s">
        <v>4729</v>
      </c>
      <c r="B2491" t="str">
        <f>"000721"</f>
        <v>000721</v>
      </c>
      <c r="C2491" t="s">
        <v>5312</v>
      </c>
      <c r="D2491" t="s">
        <v>3598</v>
      </c>
      <c r="F2491">
        <v>458689601</v>
      </c>
      <c r="G2491">
        <v>627375567</v>
      </c>
      <c r="H2491">
        <v>615474859</v>
      </c>
      <c r="I2491">
        <v>664601116</v>
      </c>
      <c r="J2491">
        <v>662020816</v>
      </c>
      <c r="K2491">
        <v>673273698</v>
      </c>
      <c r="L2491">
        <v>660922461</v>
      </c>
      <c r="M2491">
        <v>692351475</v>
      </c>
      <c r="N2491">
        <v>702500775</v>
      </c>
      <c r="O2491">
        <v>457785063</v>
      </c>
      <c r="P2491">
        <v>130</v>
      </c>
      <c r="Q2491" t="s">
        <v>5313</v>
      </c>
    </row>
    <row r="2492" spans="1:17" x14ac:dyDescent="0.3">
      <c r="A2492" t="s">
        <v>4729</v>
      </c>
      <c r="B2492" t="str">
        <f>"000722"</f>
        <v>000722</v>
      </c>
      <c r="C2492" t="s">
        <v>5314</v>
      </c>
      <c r="D2492" t="s">
        <v>66</v>
      </c>
      <c r="F2492">
        <v>3115510774</v>
      </c>
      <c r="G2492">
        <v>3042195220</v>
      </c>
      <c r="H2492">
        <v>2967523278</v>
      </c>
      <c r="I2492">
        <v>2852375813</v>
      </c>
      <c r="J2492">
        <v>2784094670</v>
      </c>
      <c r="K2492">
        <v>2718294473</v>
      </c>
      <c r="L2492">
        <v>2577803066</v>
      </c>
      <c r="M2492">
        <v>2449160192</v>
      </c>
      <c r="N2492">
        <v>2255285457</v>
      </c>
      <c r="O2492">
        <v>2097179597</v>
      </c>
      <c r="P2492">
        <v>104</v>
      </c>
      <c r="Q2492" t="s">
        <v>5315</v>
      </c>
    </row>
    <row r="2493" spans="1:17" x14ac:dyDescent="0.3">
      <c r="A2493" t="s">
        <v>4729</v>
      </c>
      <c r="B2493" t="str">
        <f>"000723"</f>
        <v>000723</v>
      </c>
      <c r="C2493" t="s">
        <v>5316</v>
      </c>
      <c r="D2493" t="s">
        <v>885</v>
      </c>
      <c r="F2493">
        <v>12423579233</v>
      </c>
      <c r="G2493">
        <v>10008210590</v>
      </c>
      <c r="H2493">
        <v>8168269077</v>
      </c>
      <c r="I2493">
        <v>7113769066</v>
      </c>
      <c r="J2493">
        <v>7724885240</v>
      </c>
      <c r="K2493">
        <v>6912677560</v>
      </c>
      <c r="L2493">
        <v>6253121981</v>
      </c>
      <c r="M2493">
        <v>460519561</v>
      </c>
      <c r="N2493">
        <v>453218237</v>
      </c>
      <c r="O2493">
        <v>442483389</v>
      </c>
      <c r="P2493">
        <v>673</v>
      </c>
      <c r="Q2493" t="s">
        <v>5317</v>
      </c>
    </row>
    <row r="2494" spans="1:17" x14ac:dyDescent="0.3">
      <c r="A2494" t="s">
        <v>4729</v>
      </c>
      <c r="B2494" t="str">
        <f>"000725"</f>
        <v>000725</v>
      </c>
      <c r="C2494" t="s">
        <v>5318</v>
      </c>
      <c r="D2494" t="s">
        <v>1117</v>
      </c>
      <c r="F2494">
        <v>128778550472</v>
      </c>
      <c r="G2494">
        <v>89129769408</v>
      </c>
      <c r="H2494">
        <v>87044972202</v>
      </c>
      <c r="I2494">
        <v>85856748703</v>
      </c>
      <c r="J2494">
        <v>84809816377</v>
      </c>
      <c r="K2494">
        <v>78699988493</v>
      </c>
      <c r="L2494">
        <v>77485275564</v>
      </c>
      <c r="M2494">
        <v>76155071579</v>
      </c>
      <c r="N2494">
        <v>28251815361</v>
      </c>
      <c r="O2494">
        <v>25886959650</v>
      </c>
      <c r="P2494">
        <v>4544</v>
      </c>
      <c r="Q2494" t="s">
        <v>5319</v>
      </c>
    </row>
    <row r="2495" spans="1:17" x14ac:dyDescent="0.3">
      <c r="A2495" t="s">
        <v>4729</v>
      </c>
      <c r="B2495" t="str">
        <f>"000726"</f>
        <v>000726</v>
      </c>
      <c r="C2495" t="s">
        <v>5320</v>
      </c>
      <c r="D2495" t="s">
        <v>1009</v>
      </c>
      <c r="F2495">
        <v>7911922743</v>
      </c>
      <c r="G2495">
        <v>7616191139</v>
      </c>
      <c r="H2495">
        <v>7697135325</v>
      </c>
      <c r="I2495">
        <v>7146548468</v>
      </c>
      <c r="J2495">
        <v>7230942770</v>
      </c>
      <c r="K2495">
        <v>6937985729</v>
      </c>
      <c r="L2495">
        <v>6837113076</v>
      </c>
      <c r="M2495">
        <v>6588772246</v>
      </c>
      <c r="N2495">
        <v>5988054134</v>
      </c>
      <c r="O2495">
        <v>5268701258</v>
      </c>
      <c r="P2495">
        <v>980</v>
      </c>
      <c r="Q2495" t="s">
        <v>5321</v>
      </c>
    </row>
    <row r="2496" spans="1:17" x14ac:dyDescent="0.3">
      <c r="A2496" t="s">
        <v>4729</v>
      </c>
      <c r="B2496" t="str">
        <f>"000727"</f>
        <v>000727</v>
      </c>
      <c r="C2496" t="s">
        <v>5322</v>
      </c>
      <c r="D2496" t="s">
        <v>1117</v>
      </c>
      <c r="F2496">
        <v>2023267728</v>
      </c>
      <c r="G2496">
        <v>1510764977</v>
      </c>
      <c r="H2496">
        <v>4147107256</v>
      </c>
      <c r="I2496">
        <v>9795046534</v>
      </c>
      <c r="J2496">
        <v>10779940778</v>
      </c>
      <c r="K2496">
        <v>10770616518</v>
      </c>
      <c r="L2496">
        <v>10749837106</v>
      </c>
      <c r="M2496">
        <v>359596848</v>
      </c>
      <c r="N2496">
        <v>349172569</v>
      </c>
      <c r="O2496">
        <v>461021060</v>
      </c>
      <c r="P2496">
        <v>197</v>
      </c>
      <c r="Q2496" t="s">
        <v>5323</v>
      </c>
    </row>
    <row r="2497" spans="1:17" x14ac:dyDescent="0.3">
      <c r="A2497" t="s">
        <v>4729</v>
      </c>
      <c r="B2497" t="str">
        <f>"000728"</f>
        <v>000728</v>
      </c>
      <c r="C2497" t="s">
        <v>5324</v>
      </c>
      <c r="D2497" t="s">
        <v>80</v>
      </c>
      <c r="F2497">
        <v>32297788865</v>
      </c>
      <c r="G2497">
        <v>30859475169</v>
      </c>
      <c r="H2497">
        <v>24834624719</v>
      </c>
      <c r="I2497">
        <v>24636332892</v>
      </c>
      <c r="J2497">
        <v>25372932422</v>
      </c>
      <c r="K2497">
        <v>20742066088</v>
      </c>
      <c r="L2497">
        <v>19933654221</v>
      </c>
      <c r="M2497">
        <v>17459782522</v>
      </c>
      <c r="N2497">
        <v>15515830836</v>
      </c>
      <c r="O2497">
        <v>14944901580</v>
      </c>
      <c r="P2497">
        <v>1900</v>
      </c>
      <c r="Q2497" t="s">
        <v>5325</v>
      </c>
    </row>
    <row r="2498" spans="1:17" x14ac:dyDescent="0.3">
      <c r="A2498" t="s">
        <v>4729</v>
      </c>
      <c r="B2498" t="str">
        <f>"000729"</f>
        <v>000729</v>
      </c>
      <c r="C2498" t="s">
        <v>5326</v>
      </c>
      <c r="D2498" t="s">
        <v>319</v>
      </c>
      <c r="F2498">
        <v>13408865806</v>
      </c>
      <c r="G2498">
        <v>13243571806</v>
      </c>
      <c r="H2498">
        <v>13126493514</v>
      </c>
      <c r="I2498">
        <v>12975462664</v>
      </c>
      <c r="J2498">
        <v>12849893122</v>
      </c>
      <c r="K2498">
        <v>12790012303</v>
      </c>
      <c r="L2498">
        <v>12676923664</v>
      </c>
      <c r="M2498">
        <v>12251585813</v>
      </c>
      <c r="N2498">
        <v>11740934097</v>
      </c>
      <c r="O2498">
        <v>9752487396</v>
      </c>
      <c r="P2498">
        <v>607</v>
      </c>
      <c r="Q2498" t="s">
        <v>5327</v>
      </c>
    </row>
    <row r="2499" spans="1:17" x14ac:dyDescent="0.3">
      <c r="A2499" t="s">
        <v>4729</v>
      </c>
      <c r="B2499" t="str">
        <f>"000730"</f>
        <v>000730</v>
      </c>
      <c r="C2499" t="s">
        <v>5328</v>
      </c>
      <c r="K2499">
        <v>231255776.53999999</v>
      </c>
      <c r="L2499">
        <v>115465212.90000001</v>
      </c>
      <c r="M2499">
        <v>-719686611.12</v>
      </c>
      <c r="N2499">
        <v>-717727757.83000004</v>
      </c>
      <c r="O2499">
        <v>-718085465.61000001</v>
      </c>
      <c r="P2499">
        <v>4</v>
      </c>
      <c r="Q2499" t="s">
        <v>5329</v>
      </c>
    </row>
    <row r="2500" spans="1:17" x14ac:dyDescent="0.3">
      <c r="A2500" t="s">
        <v>4729</v>
      </c>
      <c r="B2500" t="str">
        <f>"000731"</f>
        <v>000731</v>
      </c>
      <c r="C2500" t="s">
        <v>5330</v>
      </c>
      <c r="D2500" t="s">
        <v>909</v>
      </c>
      <c r="F2500">
        <v>3417751137</v>
      </c>
      <c r="G2500">
        <v>2875341964</v>
      </c>
      <c r="H2500">
        <v>2801320354</v>
      </c>
      <c r="I2500">
        <v>2799287599</v>
      </c>
      <c r="J2500">
        <v>2622931978</v>
      </c>
      <c r="K2500">
        <v>2466713252</v>
      </c>
      <c r="L2500">
        <v>2715357499</v>
      </c>
      <c r="M2500">
        <v>2662326262</v>
      </c>
      <c r="N2500">
        <v>2938358289</v>
      </c>
      <c r="O2500">
        <v>2313994637</v>
      </c>
      <c r="P2500">
        <v>127</v>
      </c>
      <c r="Q2500" t="s">
        <v>5331</v>
      </c>
    </row>
    <row r="2501" spans="1:17" x14ac:dyDescent="0.3">
      <c r="A2501" t="s">
        <v>4729</v>
      </c>
      <c r="B2501" t="str">
        <f>"000732"</f>
        <v>000732</v>
      </c>
      <c r="C2501" t="s">
        <v>5332</v>
      </c>
      <c r="D2501" t="s">
        <v>104</v>
      </c>
      <c r="F2501">
        <v>10059467925</v>
      </c>
      <c r="G2501">
        <v>14648126717</v>
      </c>
      <c r="H2501">
        <v>19700203697</v>
      </c>
      <c r="I2501">
        <v>18458724984</v>
      </c>
      <c r="J2501">
        <v>16107612188</v>
      </c>
      <c r="K2501">
        <v>14231594448</v>
      </c>
      <c r="L2501">
        <v>13445549302</v>
      </c>
      <c r="M2501">
        <v>3812183551</v>
      </c>
      <c r="N2501">
        <v>3248779678</v>
      </c>
      <c r="O2501">
        <v>2247465947</v>
      </c>
      <c r="P2501">
        <v>438</v>
      </c>
      <c r="Q2501" t="s">
        <v>5333</v>
      </c>
    </row>
    <row r="2502" spans="1:17" x14ac:dyDescent="0.3">
      <c r="A2502" t="s">
        <v>4729</v>
      </c>
      <c r="B2502" t="str">
        <f>"000733"</f>
        <v>000733</v>
      </c>
      <c r="C2502" t="s">
        <v>5334</v>
      </c>
      <c r="D2502" t="s">
        <v>1136</v>
      </c>
      <c r="F2502">
        <v>7441051074</v>
      </c>
      <c r="G2502">
        <v>5971323544</v>
      </c>
      <c r="H2502">
        <v>5378283308</v>
      </c>
      <c r="I2502">
        <v>4824536096</v>
      </c>
      <c r="J2502">
        <v>4150247171</v>
      </c>
      <c r="K2502">
        <v>3986476328</v>
      </c>
      <c r="L2502">
        <v>3518753829</v>
      </c>
      <c r="M2502">
        <v>3336577151</v>
      </c>
      <c r="N2502">
        <v>2228638094</v>
      </c>
      <c r="O2502">
        <v>2144454531</v>
      </c>
      <c r="P2502">
        <v>490</v>
      </c>
      <c r="Q2502" t="s">
        <v>5335</v>
      </c>
    </row>
    <row r="2503" spans="1:17" x14ac:dyDescent="0.3">
      <c r="A2503" t="s">
        <v>4729</v>
      </c>
      <c r="B2503" t="str">
        <f>"000735"</f>
        <v>000735</v>
      </c>
      <c r="C2503" t="s">
        <v>5336</v>
      </c>
      <c r="D2503" t="s">
        <v>1900</v>
      </c>
      <c r="F2503">
        <v>3762596679</v>
      </c>
      <c r="G2503">
        <v>4188917327</v>
      </c>
      <c r="H2503">
        <v>4086148178</v>
      </c>
      <c r="I2503">
        <v>3971720633</v>
      </c>
      <c r="J2503">
        <v>3560782609</v>
      </c>
      <c r="K2503">
        <v>3432229184</v>
      </c>
      <c r="L2503">
        <v>1721779048</v>
      </c>
      <c r="M2503">
        <v>1706629990</v>
      </c>
      <c r="N2503">
        <v>1691301284</v>
      </c>
      <c r="O2503">
        <v>1698449464</v>
      </c>
      <c r="P2503">
        <v>290</v>
      </c>
      <c r="Q2503" t="s">
        <v>5337</v>
      </c>
    </row>
    <row r="2504" spans="1:17" x14ac:dyDescent="0.3">
      <c r="A2504" t="s">
        <v>4729</v>
      </c>
      <c r="B2504" t="str">
        <f>"000736"</f>
        <v>000736</v>
      </c>
      <c r="C2504" t="s">
        <v>5338</v>
      </c>
      <c r="D2504" t="s">
        <v>104</v>
      </c>
      <c r="F2504">
        <v>3258671254</v>
      </c>
      <c r="G2504">
        <v>3061440109</v>
      </c>
      <c r="H2504">
        <v>2734610344</v>
      </c>
      <c r="I2504">
        <v>2284986906</v>
      </c>
      <c r="J2504">
        <v>2095494182</v>
      </c>
      <c r="K2504">
        <v>1457768742</v>
      </c>
      <c r="L2504">
        <v>1709020270</v>
      </c>
      <c r="M2504">
        <v>1686540131</v>
      </c>
      <c r="N2504">
        <v>1615909767</v>
      </c>
      <c r="O2504">
        <v>1555642352</v>
      </c>
      <c r="P2504">
        <v>189</v>
      </c>
      <c r="Q2504" t="s">
        <v>5339</v>
      </c>
    </row>
    <row r="2505" spans="1:17" x14ac:dyDescent="0.3">
      <c r="A2505" t="s">
        <v>4729</v>
      </c>
      <c r="B2505" t="str">
        <f>"000737"</f>
        <v>000737</v>
      </c>
      <c r="C2505" t="s">
        <v>5340</v>
      </c>
      <c r="D2505" t="s">
        <v>736</v>
      </c>
      <c r="F2505">
        <v>3795428456</v>
      </c>
      <c r="G2505">
        <v>501746775</v>
      </c>
      <c r="H2505">
        <v>387801997</v>
      </c>
      <c r="I2505">
        <v>380996381</v>
      </c>
      <c r="J2505">
        <v>-250720633</v>
      </c>
      <c r="K2505">
        <v>169861028</v>
      </c>
      <c r="L2505">
        <v>157167241</v>
      </c>
      <c r="M2505">
        <v>368608085</v>
      </c>
      <c r="N2505">
        <v>340770819</v>
      </c>
      <c r="O2505">
        <v>477807586</v>
      </c>
      <c r="P2505">
        <v>83</v>
      </c>
      <c r="Q2505" t="s">
        <v>5341</v>
      </c>
    </row>
    <row r="2506" spans="1:17" x14ac:dyDescent="0.3">
      <c r="A2506" t="s">
        <v>4729</v>
      </c>
      <c r="B2506" t="str">
        <f>"000738"</f>
        <v>000738</v>
      </c>
      <c r="C2506" t="s">
        <v>5342</v>
      </c>
      <c r="D2506" t="s">
        <v>98</v>
      </c>
      <c r="F2506">
        <v>10540299006</v>
      </c>
      <c r="G2506">
        <v>6002585922</v>
      </c>
      <c r="H2506">
        <v>5631972542</v>
      </c>
      <c r="I2506">
        <v>5357043681</v>
      </c>
      <c r="J2506">
        <v>5131353294</v>
      </c>
      <c r="K2506">
        <v>4935019389</v>
      </c>
      <c r="L2506">
        <v>4744882882</v>
      </c>
      <c r="M2506">
        <v>4565925258</v>
      </c>
      <c r="N2506">
        <v>4402531323</v>
      </c>
      <c r="O2506">
        <v>2673932357</v>
      </c>
      <c r="P2506">
        <v>324</v>
      </c>
      <c r="Q2506" t="s">
        <v>5343</v>
      </c>
    </row>
    <row r="2507" spans="1:17" x14ac:dyDescent="0.3">
      <c r="A2507" t="s">
        <v>4729</v>
      </c>
      <c r="B2507" t="str">
        <f>"000739"</f>
        <v>000739</v>
      </c>
      <c r="C2507" t="s">
        <v>5344</v>
      </c>
      <c r="D2507" t="s">
        <v>496</v>
      </c>
      <c r="F2507">
        <v>5060005493</v>
      </c>
      <c r="G2507">
        <v>4390675233</v>
      </c>
      <c r="H2507">
        <v>3767986787</v>
      </c>
      <c r="I2507">
        <v>3344285538</v>
      </c>
      <c r="J2507">
        <v>3049994609</v>
      </c>
      <c r="K2507">
        <v>2616494103</v>
      </c>
      <c r="L2507">
        <v>2416691030</v>
      </c>
      <c r="M2507">
        <v>2305944619</v>
      </c>
      <c r="N2507">
        <v>1792339615</v>
      </c>
      <c r="O2507">
        <v>1351142066</v>
      </c>
      <c r="P2507">
        <v>758</v>
      </c>
      <c r="Q2507" t="s">
        <v>5345</v>
      </c>
    </row>
    <row r="2508" spans="1:17" x14ac:dyDescent="0.3">
      <c r="A2508" t="s">
        <v>4729</v>
      </c>
      <c r="B2508" t="str">
        <f>"000748"</f>
        <v>000748</v>
      </c>
      <c r="C2508" t="s">
        <v>5346</v>
      </c>
      <c r="K2508">
        <v>4226619346.6500001</v>
      </c>
      <c r="L2508">
        <v>4465565424.5100002</v>
      </c>
      <c r="M2508">
        <v>2335833323.6900001</v>
      </c>
      <c r="N2508">
        <v>1301155553.6800001</v>
      </c>
      <c r="O2508">
        <v>1224876040.53</v>
      </c>
      <c r="P2508">
        <v>8</v>
      </c>
      <c r="Q2508" t="s">
        <v>5347</v>
      </c>
    </row>
    <row r="2509" spans="1:17" x14ac:dyDescent="0.3">
      <c r="A2509" t="s">
        <v>4729</v>
      </c>
      <c r="B2509" t="str">
        <f>"000750"</f>
        <v>000750</v>
      </c>
      <c r="C2509" t="s">
        <v>5348</v>
      </c>
      <c r="D2509" t="s">
        <v>80</v>
      </c>
      <c r="F2509">
        <v>18565212842</v>
      </c>
      <c r="G2509">
        <v>18479679629</v>
      </c>
      <c r="H2509">
        <v>14009506628</v>
      </c>
      <c r="I2509">
        <v>13572964646</v>
      </c>
      <c r="J2509">
        <v>13755058353</v>
      </c>
      <c r="K2509">
        <v>13757509748</v>
      </c>
      <c r="L2509">
        <v>13257841146</v>
      </c>
      <c r="M2509">
        <v>6753203755</v>
      </c>
      <c r="N2509">
        <v>6182986588</v>
      </c>
      <c r="O2509">
        <v>2739527309</v>
      </c>
      <c r="P2509">
        <v>1038</v>
      </c>
      <c r="Q2509" t="s">
        <v>5349</v>
      </c>
    </row>
    <row r="2510" spans="1:17" x14ac:dyDescent="0.3">
      <c r="A2510" t="s">
        <v>4729</v>
      </c>
      <c r="B2510" t="str">
        <f>"000751"</f>
        <v>000751</v>
      </c>
      <c r="C2510" t="s">
        <v>5350</v>
      </c>
      <c r="D2510" t="s">
        <v>744</v>
      </c>
      <c r="F2510">
        <v>2930351878</v>
      </c>
      <c r="G2510">
        <v>2865567201</v>
      </c>
      <c r="H2510">
        <v>2631745382</v>
      </c>
      <c r="I2510">
        <v>2428887341</v>
      </c>
      <c r="J2510">
        <v>2375814422</v>
      </c>
      <c r="K2510">
        <v>2159567418</v>
      </c>
      <c r="L2510">
        <v>2025171170</v>
      </c>
      <c r="M2510">
        <v>1934407119</v>
      </c>
      <c r="N2510">
        <v>1848514203</v>
      </c>
      <c r="O2510">
        <v>-3359150665</v>
      </c>
      <c r="P2510">
        <v>128</v>
      </c>
      <c r="Q2510" t="s">
        <v>5351</v>
      </c>
    </row>
    <row r="2511" spans="1:17" x14ac:dyDescent="0.3">
      <c r="A2511" t="s">
        <v>4729</v>
      </c>
      <c r="B2511" t="str">
        <f>"000752"</f>
        <v>000752</v>
      </c>
      <c r="C2511" t="s">
        <v>5352</v>
      </c>
      <c r="D2511" t="s">
        <v>319</v>
      </c>
      <c r="F2511">
        <v>35184074</v>
      </c>
      <c r="G2511">
        <v>49557064</v>
      </c>
      <c r="H2511">
        <v>35504068</v>
      </c>
      <c r="I2511">
        <v>374122688</v>
      </c>
      <c r="J2511">
        <v>788729404</v>
      </c>
      <c r="K2511">
        <v>784480848</v>
      </c>
      <c r="L2511">
        <v>789693179</v>
      </c>
      <c r="M2511">
        <v>775875242</v>
      </c>
      <c r="N2511">
        <v>763262769</v>
      </c>
      <c r="O2511">
        <v>636222226</v>
      </c>
      <c r="P2511">
        <v>103</v>
      </c>
      <c r="Q2511" t="s">
        <v>5353</v>
      </c>
    </row>
    <row r="2512" spans="1:17" x14ac:dyDescent="0.3">
      <c r="A2512" t="s">
        <v>4729</v>
      </c>
      <c r="B2512" t="str">
        <f>"000753"</f>
        <v>000753</v>
      </c>
      <c r="C2512" t="s">
        <v>5354</v>
      </c>
      <c r="D2512" t="s">
        <v>110</v>
      </c>
      <c r="F2512">
        <v>2600463982</v>
      </c>
      <c r="G2512">
        <v>2462582278</v>
      </c>
      <c r="H2512">
        <v>2375815532</v>
      </c>
      <c r="I2512">
        <v>2256293650</v>
      </c>
      <c r="J2512">
        <v>2163923556</v>
      </c>
      <c r="K2512">
        <v>2108827886</v>
      </c>
      <c r="L2512">
        <v>1315402120</v>
      </c>
      <c r="M2512">
        <v>1462168495</v>
      </c>
      <c r="N2512">
        <v>822596858</v>
      </c>
      <c r="O2512">
        <v>716694269</v>
      </c>
      <c r="P2512">
        <v>85</v>
      </c>
      <c r="Q2512" t="s">
        <v>5355</v>
      </c>
    </row>
    <row r="2513" spans="1:17" x14ac:dyDescent="0.3">
      <c r="A2513" t="s">
        <v>4729</v>
      </c>
      <c r="B2513" t="str">
        <f>"000755"</f>
        <v>000755</v>
      </c>
      <c r="C2513" t="s">
        <v>5356</v>
      </c>
      <c r="D2513" t="s">
        <v>44</v>
      </c>
      <c r="F2513">
        <v>4102611859</v>
      </c>
      <c r="G2513">
        <v>1164886052</v>
      </c>
      <c r="H2513">
        <v>1215302636</v>
      </c>
      <c r="I2513">
        <v>1046462570</v>
      </c>
      <c r="J2513">
        <v>682722198</v>
      </c>
      <c r="K2513">
        <v>539064960</v>
      </c>
      <c r="L2513">
        <v>1214059695</v>
      </c>
      <c r="M2513">
        <v>1719973615</v>
      </c>
      <c r="N2513">
        <v>1561463530</v>
      </c>
      <c r="O2513">
        <v>1944492577</v>
      </c>
      <c r="P2513">
        <v>96</v>
      </c>
      <c r="Q2513" t="s">
        <v>5357</v>
      </c>
    </row>
    <row r="2514" spans="1:17" x14ac:dyDescent="0.3">
      <c r="A2514" t="s">
        <v>4729</v>
      </c>
      <c r="B2514" t="str">
        <f>"000756"</f>
        <v>000756</v>
      </c>
      <c r="C2514" t="s">
        <v>5358</v>
      </c>
      <c r="D2514" t="s">
        <v>496</v>
      </c>
      <c r="F2514">
        <v>3467941567</v>
      </c>
      <c r="G2514">
        <v>3223793819</v>
      </c>
      <c r="H2514">
        <v>2969028071</v>
      </c>
      <c r="I2514">
        <v>2687248318</v>
      </c>
      <c r="J2514">
        <v>2480023777</v>
      </c>
      <c r="K2514">
        <v>1988419824</v>
      </c>
      <c r="L2514">
        <v>1884256561</v>
      </c>
      <c r="M2514">
        <v>1820690172</v>
      </c>
      <c r="N2514">
        <v>1759529935</v>
      </c>
      <c r="O2514">
        <v>1737287914</v>
      </c>
      <c r="P2514">
        <v>218</v>
      </c>
      <c r="Q2514" t="s">
        <v>5359</v>
      </c>
    </row>
    <row r="2515" spans="1:17" x14ac:dyDescent="0.3">
      <c r="A2515" t="s">
        <v>4729</v>
      </c>
      <c r="B2515" t="str">
        <f>"000757"</f>
        <v>000757</v>
      </c>
      <c r="C2515" t="s">
        <v>5360</v>
      </c>
      <c r="D2515" t="s">
        <v>2368</v>
      </c>
      <c r="F2515">
        <v>1787600438</v>
      </c>
      <c r="G2515">
        <v>1700578008</v>
      </c>
      <c r="H2515">
        <v>1646979624</v>
      </c>
      <c r="I2515">
        <v>699131698</v>
      </c>
      <c r="J2515">
        <v>619963876</v>
      </c>
      <c r="K2515">
        <v>572868701</v>
      </c>
      <c r="L2515">
        <v>546548870</v>
      </c>
      <c r="M2515">
        <v>528840634</v>
      </c>
      <c r="N2515">
        <v>119966312</v>
      </c>
      <c r="O2515">
        <v>57442490</v>
      </c>
      <c r="P2515">
        <v>88</v>
      </c>
      <c r="Q2515" t="s">
        <v>5361</v>
      </c>
    </row>
    <row r="2516" spans="1:17" x14ac:dyDescent="0.3">
      <c r="A2516" t="s">
        <v>4729</v>
      </c>
      <c r="B2516" t="str">
        <f>"000758"</f>
        <v>000758</v>
      </c>
      <c r="C2516" t="s">
        <v>5362</v>
      </c>
      <c r="D2516" t="s">
        <v>744</v>
      </c>
      <c r="F2516">
        <v>4544668867</v>
      </c>
      <c r="G2516">
        <v>4572236125</v>
      </c>
      <c r="H2516">
        <v>4856580520</v>
      </c>
      <c r="I2516">
        <v>5229899136</v>
      </c>
      <c r="J2516">
        <v>5119368695</v>
      </c>
      <c r="K2516">
        <v>5087620104</v>
      </c>
      <c r="L2516">
        <v>4749841182</v>
      </c>
      <c r="M2516">
        <v>4559368886</v>
      </c>
      <c r="N2516">
        <v>4253288881</v>
      </c>
      <c r="O2516">
        <v>2513974210</v>
      </c>
      <c r="P2516">
        <v>177</v>
      </c>
      <c r="Q2516" t="s">
        <v>5363</v>
      </c>
    </row>
    <row r="2517" spans="1:17" x14ac:dyDescent="0.3">
      <c r="A2517" t="s">
        <v>4729</v>
      </c>
      <c r="B2517" t="str">
        <f>"000759"</f>
        <v>000759</v>
      </c>
      <c r="C2517" t="s">
        <v>5364</v>
      </c>
      <c r="D2517" t="s">
        <v>798</v>
      </c>
      <c r="F2517">
        <v>3073799250</v>
      </c>
      <c r="G2517">
        <v>3216226808</v>
      </c>
      <c r="H2517">
        <v>3354591082</v>
      </c>
      <c r="I2517">
        <v>3388214438</v>
      </c>
      <c r="J2517">
        <v>2998173330</v>
      </c>
      <c r="K2517">
        <v>2975433121</v>
      </c>
      <c r="L2517">
        <v>2968967113</v>
      </c>
      <c r="M2517">
        <v>3023185079</v>
      </c>
      <c r="N2517">
        <v>2918440848</v>
      </c>
      <c r="O2517">
        <v>2883388675</v>
      </c>
      <c r="P2517">
        <v>153</v>
      </c>
      <c r="Q2517" t="s">
        <v>5365</v>
      </c>
    </row>
    <row r="2518" spans="1:17" x14ac:dyDescent="0.3">
      <c r="A2518" t="s">
        <v>4729</v>
      </c>
      <c r="B2518" t="str">
        <f>"000760"</f>
        <v>000760</v>
      </c>
      <c r="C2518" t="s">
        <v>5366</v>
      </c>
      <c r="G2518">
        <v>-17001671</v>
      </c>
      <c r="H2518">
        <v>290229347</v>
      </c>
      <c r="I2518">
        <v>486441619</v>
      </c>
      <c r="J2518">
        <v>1764570503</v>
      </c>
      <c r="K2518">
        <v>1961655683</v>
      </c>
      <c r="L2518">
        <v>1471101164</v>
      </c>
      <c r="M2518">
        <v>1547994456</v>
      </c>
      <c r="N2518">
        <v>1621539268</v>
      </c>
      <c r="O2518">
        <v>186473959</v>
      </c>
      <c r="P2518">
        <v>59</v>
      </c>
      <c r="Q2518" t="s">
        <v>5367</v>
      </c>
    </row>
    <row r="2519" spans="1:17" x14ac:dyDescent="0.3">
      <c r="A2519" t="s">
        <v>4729</v>
      </c>
      <c r="B2519" t="str">
        <f>"000761"</f>
        <v>000761</v>
      </c>
      <c r="C2519" t="s">
        <v>5368</v>
      </c>
      <c r="D2519" t="s">
        <v>38</v>
      </c>
      <c r="F2519">
        <v>21553086350</v>
      </c>
      <c r="G2519">
        <v>19872005727</v>
      </c>
      <c r="H2519">
        <v>19487665261</v>
      </c>
      <c r="I2519">
        <v>19126258117</v>
      </c>
      <c r="J2519">
        <v>14315588729</v>
      </c>
      <c r="K2519">
        <v>12715354551</v>
      </c>
      <c r="L2519">
        <v>11934100372</v>
      </c>
      <c r="M2519">
        <v>15384562323</v>
      </c>
      <c r="N2519">
        <v>15308337698</v>
      </c>
      <c r="O2519">
        <v>15280805515</v>
      </c>
      <c r="P2519">
        <v>237</v>
      </c>
      <c r="Q2519" t="s">
        <v>5369</v>
      </c>
    </row>
    <row r="2520" spans="1:17" x14ac:dyDescent="0.3">
      <c r="A2520" t="s">
        <v>4729</v>
      </c>
      <c r="B2520" t="str">
        <f>"000762"</f>
        <v>000762</v>
      </c>
      <c r="C2520" t="s">
        <v>5370</v>
      </c>
      <c r="D2520" t="s">
        <v>5371</v>
      </c>
      <c r="F2520">
        <v>2158128376</v>
      </c>
      <c r="G2520">
        <v>2017227340</v>
      </c>
      <c r="H2520">
        <v>2060186967</v>
      </c>
      <c r="I2520">
        <v>1975743591</v>
      </c>
      <c r="J2520">
        <v>2156843944</v>
      </c>
      <c r="K2520">
        <v>2122474272</v>
      </c>
      <c r="L2520">
        <v>1649633766</v>
      </c>
      <c r="M2520">
        <v>1619801764</v>
      </c>
      <c r="N2520">
        <v>1726506728</v>
      </c>
      <c r="O2520">
        <v>1705212184</v>
      </c>
      <c r="P2520">
        <v>257</v>
      </c>
      <c r="Q2520" t="s">
        <v>5372</v>
      </c>
    </row>
    <row r="2521" spans="1:17" x14ac:dyDescent="0.3">
      <c r="A2521" t="s">
        <v>4729</v>
      </c>
      <c r="B2521" t="str">
        <f>"000765"</f>
        <v>000765</v>
      </c>
      <c r="C2521" t="s">
        <v>5373</v>
      </c>
      <c r="K2521">
        <v>812860643.51999998</v>
      </c>
      <c r="L2521">
        <v>378131532.36000001</v>
      </c>
      <c r="M2521">
        <v>-686444376.21000004</v>
      </c>
      <c r="N2521">
        <v>-475703260.47000003</v>
      </c>
      <c r="O2521">
        <v>-460774727.70999998</v>
      </c>
      <c r="P2521">
        <v>4</v>
      </c>
      <c r="Q2521" t="s">
        <v>5374</v>
      </c>
    </row>
    <row r="2522" spans="1:17" x14ac:dyDescent="0.3">
      <c r="A2522" t="s">
        <v>4729</v>
      </c>
      <c r="B2522" t="str">
        <f>"000766"</f>
        <v>000766</v>
      </c>
      <c r="C2522" t="s">
        <v>5375</v>
      </c>
      <c r="D2522" t="s">
        <v>143</v>
      </c>
      <c r="F2522">
        <v>2306708065</v>
      </c>
      <c r="G2522">
        <v>2271434812</v>
      </c>
      <c r="H2522">
        <v>2630930917</v>
      </c>
      <c r="I2522">
        <v>4711657322</v>
      </c>
      <c r="J2522">
        <v>4380799206</v>
      </c>
      <c r="K2522">
        <v>4122919951</v>
      </c>
      <c r="L2522">
        <v>2246374710</v>
      </c>
      <c r="M2522">
        <v>659496066</v>
      </c>
      <c r="N2522">
        <v>615080937</v>
      </c>
      <c r="O2522">
        <v>619604800</v>
      </c>
      <c r="P2522">
        <v>146</v>
      </c>
      <c r="Q2522" t="s">
        <v>5376</v>
      </c>
    </row>
    <row r="2523" spans="1:17" x14ac:dyDescent="0.3">
      <c r="A2523" t="s">
        <v>4729</v>
      </c>
      <c r="B2523" t="str">
        <f>"000767"</f>
        <v>000767</v>
      </c>
      <c r="C2523" t="s">
        <v>5377</v>
      </c>
      <c r="D2523" t="s">
        <v>41</v>
      </c>
      <c r="F2523">
        <v>7679112220</v>
      </c>
      <c r="G2523">
        <v>7840058783</v>
      </c>
      <c r="H2523">
        <v>7614028345</v>
      </c>
      <c r="I2523">
        <v>7545896381</v>
      </c>
      <c r="J2523">
        <v>7226508317</v>
      </c>
      <c r="K2523">
        <v>8818414367</v>
      </c>
      <c r="L2523">
        <v>5783906719</v>
      </c>
      <c r="M2523">
        <v>5186699780</v>
      </c>
      <c r="N2523">
        <v>4644868244</v>
      </c>
      <c r="O2523">
        <v>789754010</v>
      </c>
      <c r="P2523">
        <v>173</v>
      </c>
      <c r="Q2523" t="s">
        <v>5378</v>
      </c>
    </row>
    <row r="2524" spans="1:17" x14ac:dyDescent="0.3">
      <c r="A2524" t="s">
        <v>4729</v>
      </c>
      <c r="B2524" t="str">
        <f>"000768"</f>
        <v>000768</v>
      </c>
      <c r="C2524" t="s">
        <v>5379</v>
      </c>
      <c r="D2524" t="s">
        <v>98</v>
      </c>
      <c r="F2524">
        <v>15741672472</v>
      </c>
      <c r="G2524">
        <v>15305852310</v>
      </c>
      <c r="H2524">
        <v>16549040352</v>
      </c>
      <c r="I2524">
        <v>16048011808</v>
      </c>
      <c r="J2524">
        <v>15715226306</v>
      </c>
      <c r="K2524">
        <v>15363572883</v>
      </c>
      <c r="L2524">
        <v>15254110717</v>
      </c>
      <c r="M2524">
        <v>11920792407</v>
      </c>
      <c r="N2524">
        <v>11576822267</v>
      </c>
      <c r="O2524">
        <v>11470977370</v>
      </c>
      <c r="P2524">
        <v>662</v>
      </c>
      <c r="Q2524" t="s">
        <v>5380</v>
      </c>
    </row>
    <row r="2525" spans="1:17" x14ac:dyDescent="0.3">
      <c r="A2525" t="s">
        <v>4729</v>
      </c>
      <c r="B2525" t="str">
        <f>"000769"</f>
        <v>000769</v>
      </c>
      <c r="C2525" t="s">
        <v>5381</v>
      </c>
      <c r="K2525">
        <v>-130975964.66</v>
      </c>
      <c r="L2525">
        <v>-142923200.05000001</v>
      </c>
      <c r="P2525">
        <v>3</v>
      </c>
      <c r="Q2525" t="s">
        <v>5382</v>
      </c>
    </row>
    <row r="2526" spans="1:17" x14ac:dyDescent="0.3">
      <c r="A2526" t="s">
        <v>4729</v>
      </c>
      <c r="B2526" t="str">
        <f>"000776"</f>
        <v>000776</v>
      </c>
      <c r="C2526" t="s">
        <v>5383</v>
      </c>
      <c r="D2526" t="s">
        <v>80</v>
      </c>
      <c r="F2526">
        <v>105624509661</v>
      </c>
      <c r="G2526">
        <v>98162197089</v>
      </c>
      <c r="H2526">
        <v>91233984272</v>
      </c>
      <c r="I2526">
        <v>85018016908</v>
      </c>
      <c r="J2526">
        <v>84854202526</v>
      </c>
      <c r="K2526">
        <v>78530209493</v>
      </c>
      <c r="L2526">
        <v>77519273601</v>
      </c>
      <c r="M2526">
        <v>39610879942</v>
      </c>
      <c r="N2526">
        <v>34650118480</v>
      </c>
      <c r="O2526">
        <v>33048680138</v>
      </c>
      <c r="P2526">
        <v>3522</v>
      </c>
      <c r="Q2526" t="s">
        <v>5384</v>
      </c>
    </row>
    <row r="2527" spans="1:17" x14ac:dyDescent="0.3">
      <c r="A2527" t="s">
        <v>4729</v>
      </c>
      <c r="B2527" t="str">
        <f>"000777"</f>
        <v>000777</v>
      </c>
      <c r="C2527" t="s">
        <v>5385</v>
      </c>
      <c r="D2527" t="s">
        <v>274</v>
      </c>
      <c r="F2527">
        <v>1664529812</v>
      </c>
      <c r="G2527">
        <v>1544303935</v>
      </c>
      <c r="H2527">
        <v>1472613959</v>
      </c>
      <c r="I2527">
        <v>1357228037</v>
      </c>
      <c r="J2527">
        <v>1277777649</v>
      </c>
      <c r="K2527">
        <v>1275074931</v>
      </c>
      <c r="L2527">
        <v>1140489475</v>
      </c>
      <c r="M2527">
        <v>1072902699</v>
      </c>
      <c r="N2527">
        <v>1022266441</v>
      </c>
      <c r="O2527">
        <v>983545145</v>
      </c>
      <c r="P2527">
        <v>131</v>
      </c>
      <c r="Q2527" t="s">
        <v>5386</v>
      </c>
    </row>
    <row r="2528" spans="1:17" x14ac:dyDescent="0.3">
      <c r="A2528" t="s">
        <v>4729</v>
      </c>
      <c r="B2528" t="str">
        <f>"000778"</f>
        <v>000778</v>
      </c>
      <c r="C2528" t="s">
        <v>5387</v>
      </c>
      <c r="D2528" t="s">
        <v>2238</v>
      </c>
      <c r="F2528">
        <v>23527972465</v>
      </c>
      <c r="G2528">
        <v>22122309854</v>
      </c>
      <c r="H2528">
        <v>21173989082</v>
      </c>
      <c r="I2528">
        <v>20526803481</v>
      </c>
      <c r="J2528">
        <v>19631978792</v>
      </c>
      <c r="K2528">
        <v>17392463671</v>
      </c>
      <c r="L2528">
        <v>16982264185</v>
      </c>
      <c r="M2528">
        <v>16612725537</v>
      </c>
      <c r="N2528">
        <v>15882049735</v>
      </c>
      <c r="O2528">
        <v>11974766115</v>
      </c>
      <c r="P2528">
        <v>674</v>
      </c>
      <c r="Q2528" t="s">
        <v>5388</v>
      </c>
    </row>
    <row r="2529" spans="1:17" x14ac:dyDescent="0.3">
      <c r="A2529" t="s">
        <v>4729</v>
      </c>
      <c r="B2529" t="str">
        <f>"000779"</f>
        <v>000779</v>
      </c>
      <c r="C2529" t="s">
        <v>5389</v>
      </c>
      <c r="D2529" t="s">
        <v>1272</v>
      </c>
      <c r="F2529">
        <v>2441127438</v>
      </c>
      <c r="G2529">
        <v>2146073974</v>
      </c>
      <c r="H2529">
        <v>1812508924</v>
      </c>
      <c r="I2529">
        <v>1651156199</v>
      </c>
      <c r="J2529">
        <v>298084548</v>
      </c>
      <c r="K2529">
        <v>218833922</v>
      </c>
      <c r="L2529">
        <v>205692470</v>
      </c>
      <c r="M2529">
        <v>284755247</v>
      </c>
      <c r="N2529">
        <v>274686998</v>
      </c>
      <c r="O2529">
        <v>307935504</v>
      </c>
      <c r="P2529">
        <v>165</v>
      </c>
      <c r="Q2529" t="s">
        <v>5390</v>
      </c>
    </row>
    <row r="2530" spans="1:17" x14ac:dyDescent="0.3">
      <c r="A2530" t="s">
        <v>4729</v>
      </c>
      <c r="B2530" t="str">
        <f>"000780"</f>
        <v>000780</v>
      </c>
      <c r="C2530" t="s">
        <v>5391</v>
      </c>
      <c r="D2530" t="s">
        <v>292</v>
      </c>
      <c r="G2530">
        <v>3047619602</v>
      </c>
      <c r="H2530">
        <v>3844150130</v>
      </c>
      <c r="I2530">
        <v>4158912975</v>
      </c>
      <c r="J2530">
        <v>4606960183</v>
      </c>
      <c r="K2530">
        <v>4085122479</v>
      </c>
      <c r="L2530">
        <v>4313000772</v>
      </c>
      <c r="M2530">
        <v>4671776195</v>
      </c>
      <c r="N2530">
        <v>4646894124</v>
      </c>
      <c r="O2530">
        <v>4662641330</v>
      </c>
      <c r="P2530">
        <v>99</v>
      </c>
      <c r="Q2530" t="s">
        <v>5392</v>
      </c>
    </row>
    <row r="2531" spans="1:17" x14ac:dyDescent="0.3">
      <c r="A2531" t="s">
        <v>4729</v>
      </c>
      <c r="B2531" t="str">
        <f>"000782"</f>
        <v>000782</v>
      </c>
      <c r="C2531" t="s">
        <v>5393</v>
      </c>
      <c r="D2531" t="s">
        <v>1638</v>
      </c>
      <c r="F2531">
        <v>1485512830</v>
      </c>
      <c r="G2531">
        <v>1440200110</v>
      </c>
      <c r="H2531">
        <v>1424457133</v>
      </c>
      <c r="I2531">
        <v>1437629885</v>
      </c>
      <c r="J2531">
        <v>1196877211</v>
      </c>
      <c r="K2531">
        <v>1172158573</v>
      </c>
      <c r="L2531">
        <v>1263528450</v>
      </c>
      <c r="M2531">
        <v>1239060970</v>
      </c>
      <c r="N2531">
        <v>1036219329</v>
      </c>
      <c r="O2531">
        <v>1038356591</v>
      </c>
      <c r="P2531">
        <v>64</v>
      </c>
      <c r="Q2531" t="s">
        <v>5394</v>
      </c>
    </row>
    <row r="2532" spans="1:17" x14ac:dyDescent="0.3">
      <c r="A2532" t="s">
        <v>4729</v>
      </c>
      <c r="B2532" t="str">
        <f>"000783"</f>
        <v>000783</v>
      </c>
      <c r="C2532" t="s">
        <v>5395</v>
      </c>
      <c r="D2532" t="s">
        <v>80</v>
      </c>
      <c r="F2532">
        <v>29933750929</v>
      </c>
      <c r="G2532">
        <v>28153817823</v>
      </c>
      <c r="H2532">
        <v>27034892876</v>
      </c>
      <c r="I2532">
        <v>25617379975</v>
      </c>
      <c r="J2532">
        <v>26510885074</v>
      </c>
      <c r="K2532">
        <v>25514244692</v>
      </c>
      <c r="L2532">
        <v>16817033118</v>
      </c>
      <c r="M2532">
        <v>13940368995</v>
      </c>
      <c r="N2532">
        <v>12679991976</v>
      </c>
      <c r="O2532">
        <v>12116122934</v>
      </c>
      <c r="P2532">
        <v>1208</v>
      </c>
      <c r="Q2532" t="s">
        <v>5396</v>
      </c>
    </row>
    <row r="2533" spans="1:17" x14ac:dyDescent="0.3">
      <c r="A2533" t="s">
        <v>4729</v>
      </c>
      <c r="B2533" t="str">
        <f>"000785"</f>
        <v>000785</v>
      </c>
      <c r="C2533" t="s">
        <v>5397</v>
      </c>
      <c r="D2533" t="s">
        <v>271</v>
      </c>
      <c r="F2533">
        <v>19197975095</v>
      </c>
      <c r="G2533">
        <v>19668470069</v>
      </c>
      <c r="H2533">
        <v>15127879843</v>
      </c>
      <c r="I2533">
        <v>1148567253</v>
      </c>
      <c r="J2533">
        <v>1132449212</v>
      </c>
      <c r="K2533">
        <v>774913917</v>
      </c>
      <c r="L2533">
        <v>772872800</v>
      </c>
      <c r="M2533">
        <v>845980289</v>
      </c>
      <c r="N2533">
        <v>819874617</v>
      </c>
      <c r="O2533">
        <v>785989433</v>
      </c>
      <c r="P2533">
        <v>333</v>
      </c>
      <c r="Q2533" t="s">
        <v>5398</v>
      </c>
    </row>
    <row r="2534" spans="1:17" x14ac:dyDescent="0.3">
      <c r="A2534" t="s">
        <v>4729</v>
      </c>
      <c r="B2534" t="str">
        <f>"000786"</f>
        <v>000786</v>
      </c>
      <c r="C2534" t="s">
        <v>5399</v>
      </c>
      <c r="D2534" t="s">
        <v>722</v>
      </c>
      <c r="F2534">
        <v>18944787215</v>
      </c>
      <c r="G2534">
        <v>16667163374</v>
      </c>
      <c r="H2534">
        <v>13951628531</v>
      </c>
      <c r="I2534">
        <v>14282886770</v>
      </c>
      <c r="J2534">
        <v>12415447781</v>
      </c>
      <c r="K2534">
        <v>10375762453</v>
      </c>
      <c r="L2534">
        <v>7801049824</v>
      </c>
      <c r="M2534">
        <v>7208238642</v>
      </c>
      <c r="N2534">
        <v>4250240718</v>
      </c>
      <c r="O2534">
        <v>3527456067</v>
      </c>
      <c r="P2534">
        <v>2486</v>
      </c>
      <c r="Q2534" t="s">
        <v>5400</v>
      </c>
    </row>
    <row r="2535" spans="1:17" x14ac:dyDescent="0.3">
      <c r="A2535" t="s">
        <v>4729</v>
      </c>
      <c r="B2535" t="str">
        <f>"000787"</f>
        <v>000787</v>
      </c>
      <c r="C2535" t="s">
        <v>5401</v>
      </c>
      <c r="K2535">
        <v>2943208461.3000002</v>
      </c>
      <c r="L2535">
        <v>2688903509.5700002</v>
      </c>
      <c r="M2535">
        <v>1030832872.22</v>
      </c>
      <c r="N2535">
        <v>14963690.84</v>
      </c>
      <c r="O2535">
        <v>14716072.23</v>
      </c>
      <c r="P2535">
        <v>3</v>
      </c>
      <c r="Q2535" t="s">
        <v>5402</v>
      </c>
    </row>
    <row r="2536" spans="1:17" x14ac:dyDescent="0.3">
      <c r="A2536" t="s">
        <v>4729</v>
      </c>
      <c r="B2536" t="str">
        <f>"000788"</f>
        <v>000788</v>
      </c>
      <c r="C2536" t="s">
        <v>5403</v>
      </c>
      <c r="D2536" t="s">
        <v>143</v>
      </c>
      <c r="F2536">
        <v>1340151570</v>
      </c>
      <c r="G2536">
        <v>1297007731</v>
      </c>
      <c r="H2536">
        <v>1251866895</v>
      </c>
      <c r="I2536">
        <v>1213973542</v>
      </c>
      <c r="J2536">
        <v>1176305395</v>
      </c>
      <c r="K2536">
        <v>1142265698</v>
      </c>
      <c r="L2536">
        <v>1132936898</v>
      </c>
      <c r="M2536">
        <v>1110093790</v>
      </c>
      <c r="N2536">
        <v>1143781892</v>
      </c>
      <c r="O2536">
        <v>1063341891</v>
      </c>
      <c r="P2536">
        <v>137</v>
      </c>
      <c r="Q2536" t="s">
        <v>5404</v>
      </c>
    </row>
    <row r="2537" spans="1:17" x14ac:dyDescent="0.3">
      <c r="A2537" t="s">
        <v>4729</v>
      </c>
      <c r="B2537" t="str">
        <f>"000789"</f>
        <v>000789</v>
      </c>
      <c r="C2537" t="s">
        <v>5405</v>
      </c>
      <c r="D2537" t="s">
        <v>731</v>
      </c>
      <c r="F2537">
        <v>7276091867</v>
      </c>
      <c r="G2537">
        <v>6242217619</v>
      </c>
      <c r="H2537">
        <v>5064874638</v>
      </c>
      <c r="I2537">
        <v>4030163926</v>
      </c>
      <c r="J2537">
        <v>3107060079</v>
      </c>
      <c r="K2537">
        <v>2804127998</v>
      </c>
      <c r="L2537">
        <v>2636214452</v>
      </c>
      <c r="M2537">
        <v>2510279333</v>
      </c>
      <c r="N2537">
        <v>2100345141</v>
      </c>
      <c r="O2537">
        <v>1703160460</v>
      </c>
      <c r="P2537">
        <v>1139</v>
      </c>
      <c r="Q2537" t="s">
        <v>5406</v>
      </c>
    </row>
    <row r="2538" spans="1:17" x14ac:dyDescent="0.3">
      <c r="A2538" t="s">
        <v>4729</v>
      </c>
      <c r="B2538" t="str">
        <f>"000790"</f>
        <v>000790</v>
      </c>
      <c r="C2538" t="s">
        <v>5407</v>
      </c>
      <c r="D2538" t="s">
        <v>188</v>
      </c>
      <c r="F2538">
        <v>975577673</v>
      </c>
      <c r="G2538">
        <v>912050796</v>
      </c>
      <c r="H2538">
        <v>880710870</v>
      </c>
      <c r="I2538">
        <v>835551093</v>
      </c>
      <c r="J2538">
        <v>838863450</v>
      </c>
      <c r="K2538">
        <v>665847566</v>
      </c>
      <c r="L2538">
        <v>583350064</v>
      </c>
      <c r="M2538">
        <v>632303252</v>
      </c>
      <c r="N2538">
        <v>585446034</v>
      </c>
      <c r="O2538">
        <v>545879390</v>
      </c>
      <c r="P2538">
        <v>175</v>
      </c>
      <c r="Q2538" t="s">
        <v>5408</v>
      </c>
    </row>
    <row r="2539" spans="1:17" x14ac:dyDescent="0.3">
      <c r="A2539" t="s">
        <v>4729</v>
      </c>
      <c r="B2539" t="str">
        <f>"000791"</f>
        <v>000791</v>
      </c>
      <c r="C2539" t="s">
        <v>5409</v>
      </c>
      <c r="D2539" t="s">
        <v>66</v>
      </c>
      <c r="F2539">
        <v>6811639897</v>
      </c>
      <c r="G2539">
        <v>6715096017</v>
      </c>
      <c r="H2539">
        <v>6400735848</v>
      </c>
      <c r="I2539">
        <v>6020735134</v>
      </c>
      <c r="J2539">
        <v>5637874563</v>
      </c>
      <c r="K2539">
        <v>4997450483</v>
      </c>
      <c r="L2539">
        <v>3642568297</v>
      </c>
      <c r="M2539">
        <v>3649843707</v>
      </c>
      <c r="N2539">
        <v>3517252536</v>
      </c>
      <c r="O2539">
        <v>3255046526</v>
      </c>
      <c r="P2539">
        <v>219</v>
      </c>
      <c r="Q2539" t="s">
        <v>5410</v>
      </c>
    </row>
    <row r="2540" spans="1:17" x14ac:dyDescent="0.3">
      <c r="A2540" t="s">
        <v>4729</v>
      </c>
      <c r="B2540" t="str">
        <f>"000792"</f>
        <v>000792</v>
      </c>
      <c r="C2540" t="s">
        <v>5411</v>
      </c>
      <c r="D2540" t="s">
        <v>3458</v>
      </c>
      <c r="F2540">
        <v>9335134682</v>
      </c>
      <c r="G2540">
        <v>4119277849</v>
      </c>
      <c r="H2540">
        <v>-30519995485</v>
      </c>
      <c r="I2540">
        <v>15233603857</v>
      </c>
      <c r="J2540">
        <v>18753376880</v>
      </c>
      <c r="K2540">
        <v>23041450075</v>
      </c>
      <c r="L2540">
        <v>22910904838</v>
      </c>
      <c r="M2540">
        <v>17685414962</v>
      </c>
      <c r="N2540">
        <v>16410459104</v>
      </c>
      <c r="O2540">
        <v>15930278923</v>
      </c>
      <c r="P2540">
        <v>422</v>
      </c>
      <c r="Q2540" t="s">
        <v>5412</v>
      </c>
    </row>
    <row r="2541" spans="1:17" x14ac:dyDescent="0.3">
      <c r="A2541" t="s">
        <v>4729</v>
      </c>
      <c r="B2541" t="str">
        <f>"000793"</f>
        <v>000793</v>
      </c>
      <c r="C2541" t="s">
        <v>5413</v>
      </c>
      <c r="D2541" t="s">
        <v>525</v>
      </c>
      <c r="F2541">
        <v>2743182088</v>
      </c>
      <c r="G2541">
        <v>2835882802</v>
      </c>
      <c r="H2541">
        <v>5273824707</v>
      </c>
      <c r="I2541">
        <v>4703421780</v>
      </c>
      <c r="J2541">
        <v>9729794034</v>
      </c>
      <c r="K2541">
        <v>9460467986</v>
      </c>
      <c r="L2541">
        <v>8823473006</v>
      </c>
      <c r="M2541">
        <v>6905374666</v>
      </c>
      <c r="N2541">
        <v>4426380255</v>
      </c>
      <c r="O2541">
        <v>3009123561</v>
      </c>
      <c r="P2541">
        <v>141</v>
      </c>
      <c r="Q2541" t="s">
        <v>5414</v>
      </c>
    </row>
    <row r="2542" spans="1:17" x14ac:dyDescent="0.3">
      <c r="A2542" t="s">
        <v>4729</v>
      </c>
      <c r="B2542" t="str">
        <f>"000795"</f>
        <v>000795</v>
      </c>
      <c r="C2542" t="s">
        <v>5415</v>
      </c>
      <c r="D2542" t="s">
        <v>808</v>
      </c>
      <c r="F2542">
        <v>2475528329</v>
      </c>
      <c r="G2542">
        <v>2340101776</v>
      </c>
      <c r="H2542">
        <v>2298661212</v>
      </c>
      <c r="I2542">
        <v>2186146744</v>
      </c>
      <c r="J2542">
        <v>2073986646</v>
      </c>
      <c r="K2542">
        <v>1969879191</v>
      </c>
      <c r="L2542">
        <v>1181512156</v>
      </c>
      <c r="M2542">
        <v>773790050</v>
      </c>
      <c r="N2542">
        <v>213798411</v>
      </c>
      <c r="O2542">
        <v>372411121</v>
      </c>
      <c r="P2542">
        <v>145</v>
      </c>
      <c r="Q2542" t="s">
        <v>5416</v>
      </c>
    </row>
    <row r="2543" spans="1:17" x14ac:dyDescent="0.3">
      <c r="A2543" t="s">
        <v>4729</v>
      </c>
      <c r="B2543" t="str">
        <f>"000796"</f>
        <v>000796</v>
      </c>
      <c r="C2543" t="s">
        <v>5417</v>
      </c>
      <c r="D2543" t="s">
        <v>1120</v>
      </c>
      <c r="F2543">
        <v>135182894</v>
      </c>
      <c r="G2543">
        <v>942655014</v>
      </c>
      <c r="H2543">
        <v>2391558987</v>
      </c>
      <c r="I2543">
        <v>2216746726</v>
      </c>
      <c r="J2543">
        <v>2014555736</v>
      </c>
      <c r="K2543">
        <v>1873385497</v>
      </c>
      <c r="L2543">
        <v>1645778703</v>
      </c>
      <c r="M2543">
        <v>542497201</v>
      </c>
      <c r="N2543">
        <v>509761521</v>
      </c>
      <c r="O2543">
        <v>466076751</v>
      </c>
      <c r="P2543">
        <v>224</v>
      </c>
      <c r="Q2543" t="s">
        <v>5418</v>
      </c>
    </row>
    <row r="2544" spans="1:17" x14ac:dyDescent="0.3">
      <c r="A2544" t="s">
        <v>4729</v>
      </c>
      <c r="B2544" t="str">
        <f>"000797"</f>
        <v>000797</v>
      </c>
      <c r="C2544" t="s">
        <v>5419</v>
      </c>
      <c r="D2544" t="s">
        <v>104</v>
      </c>
      <c r="F2544">
        <v>5152291817</v>
      </c>
      <c r="G2544">
        <v>5351961054</v>
      </c>
      <c r="H2544">
        <v>5297743587</v>
      </c>
      <c r="I2544">
        <v>5022226808</v>
      </c>
      <c r="J2544">
        <v>4816583774</v>
      </c>
      <c r="K2544">
        <v>2243437936</v>
      </c>
      <c r="L2544">
        <v>1229186591</v>
      </c>
      <c r="M2544">
        <v>1456239505</v>
      </c>
      <c r="N2544">
        <v>1349183497</v>
      </c>
      <c r="O2544">
        <v>1248923635</v>
      </c>
      <c r="P2544">
        <v>121</v>
      </c>
      <c r="Q2544" t="s">
        <v>5420</v>
      </c>
    </row>
    <row r="2545" spans="1:17" x14ac:dyDescent="0.3">
      <c r="A2545" t="s">
        <v>4729</v>
      </c>
      <c r="B2545" t="str">
        <f>"000798"</f>
        <v>000798</v>
      </c>
      <c r="C2545" t="s">
        <v>5421</v>
      </c>
      <c r="D2545" t="s">
        <v>228</v>
      </c>
      <c r="F2545">
        <v>521101551</v>
      </c>
      <c r="G2545">
        <v>608479568</v>
      </c>
      <c r="H2545">
        <v>764319965</v>
      </c>
      <c r="I2545">
        <v>741146488</v>
      </c>
      <c r="J2545">
        <v>688639191</v>
      </c>
      <c r="K2545">
        <v>630245908</v>
      </c>
      <c r="L2545">
        <v>558555222</v>
      </c>
      <c r="M2545">
        <v>842233389</v>
      </c>
      <c r="N2545">
        <v>836895357</v>
      </c>
      <c r="O2545">
        <v>761507015</v>
      </c>
      <c r="P2545">
        <v>83</v>
      </c>
      <c r="Q2545" t="s">
        <v>5422</v>
      </c>
    </row>
    <row r="2546" spans="1:17" x14ac:dyDescent="0.3">
      <c r="A2546" t="s">
        <v>4729</v>
      </c>
      <c r="B2546" t="str">
        <f>"000799"</f>
        <v>000799</v>
      </c>
      <c r="C2546" t="s">
        <v>5423</v>
      </c>
      <c r="D2546" t="s">
        <v>458</v>
      </c>
      <c r="F2546">
        <v>3524196257</v>
      </c>
      <c r="G2546">
        <v>2857127425</v>
      </c>
      <c r="H2546">
        <v>2430454325</v>
      </c>
      <c r="I2546">
        <v>2179632435</v>
      </c>
      <c r="J2546">
        <v>2005677474</v>
      </c>
      <c r="K2546">
        <v>1865308542</v>
      </c>
      <c r="L2546">
        <v>1756724173</v>
      </c>
      <c r="M2546">
        <v>1668154587</v>
      </c>
      <c r="N2546">
        <v>1765629887</v>
      </c>
      <c r="O2546">
        <v>1867299243</v>
      </c>
      <c r="P2546">
        <v>1661</v>
      </c>
      <c r="Q2546" t="s">
        <v>5424</v>
      </c>
    </row>
    <row r="2547" spans="1:17" x14ac:dyDescent="0.3">
      <c r="A2547" t="s">
        <v>4729</v>
      </c>
      <c r="B2547" t="str">
        <f>"000800"</f>
        <v>000800</v>
      </c>
      <c r="C2547" t="s">
        <v>5425</v>
      </c>
      <c r="D2547" t="s">
        <v>27</v>
      </c>
      <c r="F2547">
        <v>26242240723</v>
      </c>
      <c r="G2547">
        <v>24560505430</v>
      </c>
      <c r="H2547">
        <v>8047663603</v>
      </c>
      <c r="I2547">
        <v>8075097172</v>
      </c>
      <c r="J2547">
        <v>7976304940</v>
      </c>
      <c r="K2547">
        <v>7688746598</v>
      </c>
      <c r="L2547">
        <v>8711957665</v>
      </c>
      <c r="M2547">
        <v>8745118009</v>
      </c>
      <c r="N2547">
        <v>8607482795</v>
      </c>
      <c r="O2547">
        <v>7606920940</v>
      </c>
      <c r="P2547">
        <v>446</v>
      </c>
      <c r="Q2547" t="s">
        <v>5426</v>
      </c>
    </row>
    <row r="2548" spans="1:17" x14ac:dyDescent="0.3">
      <c r="A2548" t="s">
        <v>4729</v>
      </c>
      <c r="B2548" t="str">
        <f>"000801"</f>
        <v>000801</v>
      </c>
      <c r="C2548" t="s">
        <v>5427</v>
      </c>
      <c r="D2548" t="s">
        <v>4467</v>
      </c>
      <c r="F2548">
        <v>2707736265</v>
      </c>
      <c r="G2548">
        <v>2588036079</v>
      </c>
      <c r="H2548">
        <v>2414132932</v>
      </c>
      <c r="I2548">
        <v>2406170089</v>
      </c>
      <c r="J2548">
        <v>2333679259</v>
      </c>
      <c r="K2548">
        <v>2348065950</v>
      </c>
      <c r="L2548">
        <v>2221648110</v>
      </c>
      <c r="M2548">
        <v>1509491211</v>
      </c>
      <c r="N2548">
        <v>1408526700</v>
      </c>
      <c r="O2548">
        <v>1337131548</v>
      </c>
      <c r="P2548">
        <v>218</v>
      </c>
      <c r="Q2548" t="s">
        <v>5428</v>
      </c>
    </row>
    <row r="2549" spans="1:17" x14ac:dyDescent="0.3">
      <c r="A2549" t="s">
        <v>4729</v>
      </c>
      <c r="B2549" t="str">
        <f>"000802"</f>
        <v>000802</v>
      </c>
      <c r="C2549" t="s">
        <v>5429</v>
      </c>
      <c r="D2549" t="s">
        <v>113</v>
      </c>
      <c r="F2549">
        <v>1597000064</v>
      </c>
      <c r="G2549">
        <v>1712944410</v>
      </c>
      <c r="H2549">
        <v>2499863272</v>
      </c>
      <c r="I2549">
        <v>4887865567</v>
      </c>
      <c r="J2549">
        <v>4787313269</v>
      </c>
      <c r="K2549">
        <v>4413484128</v>
      </c>
      <c r="L2549">
        <v>1010856491</v>
      </c>
      <c r="M2549">
        <v>924908731</v>
      </c>
      <c r="N2549">
        <v>849819963</v>
      </c>
      <c r="O2549">
        <v>822896914</v>
      </c>
      <c r="P2549">
        <v>205</v>
      </c>
      <c r="Q2549" t="s">
        <v>5430</v>
      </c>
    </row>
    <row r="2550" spans="1:17" x14ac:dyDescent="0.3">
      <c r="A2550" t="s">
        <v>4729</v>
      </c>
      <c r="B2550" t="str">
        <f>"000803"</f>
        <v>000803</v>
      </c>
      <c r="C2550" t="s">
        <v>5431</v>
      </c>
      <c r="D2550" t="s">
        <v>239</v>
      </c>
      <c r="F2550">
        <v>1286914740</v>
      </c>
      <c r="G2550">
        <v>598412616</v>
      </c>
      <c r="H2550">
        <v>-110767673</v>
      </c>
      <c r="I2550">
        <v>86395698</v>
      </c>
      <c r="J2550">
        <v>78256040</v>
      </c>
      <c r="K2550">
        <v>61414602</v>
      </c>
      <c r="L2550">
        <v>117763204</v>
      </c>
      <c r="M2550">
        <v>151041081</v>
      </c>
      <c r="N2550">
        <v>147281750</v>
      </c>
      <c r="O2550">
        <v>130499744</v>
      </c>
      <c r="P2550">
        <v>79</v>
      </c>
      <c r="Q2550" t="s">
        <v>5432</v>
      </c>
    </row>
    <row r="2551" spans="1:17" x14ac:dyDescent="0.3">
      <c r="A2551" t="s">
        <v>4729</v>
      </c>
      <c r="B2551" t="str">
        <f>"000805"</f>
        <v>000805</v>
      </c>
      <c r="C2551" t="s">
        <v>5433</v>
      </c>
      <c r="K2551">
        <v>335206768.29000002</v>
      </c>
      <c r="L2551">
        <v>6567828.2999999998</v>
      </c>
      <c r="M2551">
        <v>3817143.72</v>
      </c>
      <c r="N2551">
        <v>17666163.280000001</v>
      </c>
      <c r="O2551">
        <v>15053588.01</v>
      </c>
      <c r="P2551">
        <v>3</v>
      </c>
      <c r="Q2551" t="s">
        <v>5434</v>
      </c>
    </row>
    <row r="2552" spans="1:17" x14ac:dyDescent="0.3">
      <c r="A2552" t="s">
        <v>4729</v>
      </c>
      <c r="B2552" t="str">
        <f>"000806"</f>
        <v>000806</v>
      </c>
      <c r="C2552" t="s">
        <v>5435</v>
      </c>
      <c r="D2552" t="s">
        <v>210</v>
      </c>
      <c r="F2552">
        <v>-885574959</v>
      </c>
      <c r="G2552">
        <v>66906314</v>
      </c>
      <c r="H2552">
        <v>241835564</v>
      </c>
      <c r="I2552">
        <v>1390404177</v>
      </c>
      <c r="J2552">
        <v>2105895423</v>
      </c>
      <c r="K2552">
        <v>2033771737</v>
      </c>
      <c r="L2552">
        <v>2012807612</v>
      </c>
      <c r="M2552">
        <v>819031691</v>
      </c>
      <c r="N2552">
        <v>835474308</v>
      </c>
      <c r="O2552">
        <v>839672159</v>
      </c>
      <c r="P2552">
        <v>123</v>
      </c>
      <c r="Q2552" t="s">
        <v>5436</v>
      </c>
    </row>
    <row r="2553" spans="1:17" x14ac:dyDescent="0.3">
      <c r="A2553" t="s">
        <v>4729</v>
      </c>
      <c r="B2553" t="str">
        <f>"000807"</f>
        <v>000807</v>
      </c>
      <c r="C2553" t="s">
        <v>5437</v>
      </c>
      <c r="D2553" t="s">
        <v>504</v>
      </c>
      <c r="F2553">
        <v>18191320780</v>
      </c>
      <c r="G2553">
        <v>11805692888</v>
      </c>
      <c r="H2553">
        <v>10919669033</v>
      </c>
      <c r="I2553">
        <v>8264475801</v>
      </c>
      <c r="J2553">
        <v>9868340854</v>
      </c>
      <c r="K2553">
        <v>9237798686</v>
      </c>
      <c r="L2553">
        <v>5617001464</v>
      </c>
      <c r="M2553">
        <v>3428589856</v>
      </c>
      <c r="N2553">
        <v>3898892790</v>
      </c>
      <c r="O2553">
        <v>3923606541</v>
      </c>
      <c r="P2553">
        <v>551</v>
      </c>
      <c r="Q2553" t="s">
        <v>5438</v>
      </c>
    </row>
    <row r="2554" spans="1:17" x14ac:dyDescent="0.3">
      <c r="A2554" t="s">
        <v>4729</v>
      </c>
      <c r="B2554" t="str">
        <f>"000809"</f>
        <v>000809</v>
      </c>
      <c r="C2554" t="s">
        <v>5439</v>
      </c>
      <c r="D2554" t="s">
        <v>104</v>
      </c>
      <c r="F2554">
        <v>2914577364</v>
      </c>
      <c r="G2554">
        <v>3056173825</v>
      </c>
      <c r="H2554">
        <v>3116394280</v>
      </c>
      <c r="I2554">
        <v>3201602088</v>
      </c>
      <c r="J2554">
        <v>3104944370</v>
      </c>
      <c r="K2554">
        <v>3003837530</v>
      </c>
      <c r="L2554">
        <v>3244308002</v>
      </c>
      <c r="M2554">
        <v>3478633793</v>
      </c>
      <c r="N2554">
        <v>3449861998</v>
      </c>
      <c r="O2554">
        <v>2740445445</v>
      </c>
      <c r="P2554">
        <v>72</v>
      </c>
      <c r="Q2554" t="s">
        <v>5440</v>
      </c>
    </row>
    <row r="2555" spans="1:17" x14ac:dyDescent="0.3">
      <c r="A2555" t="s">
        <v>4729</v>
      </c>
      <c r="B2555" t="str">
        <f>"000810"</f>
        <v>000810</v>
      </c>
      <c r="C2555" t="s">
        <v>5441</v>
      </c>
      <c r="D2555" t="s">
        <v>4467</v>
      </c>
      <c r="F2555">
        <v>4394595227</v>
      </c>
      <c r="G2555">
        <v>4070242474</v>
      </c>
      <c r="H2555">
        <v>3622909319</v>
      </c>
      <c r="I2555">
        <v>3047702515</v>
      </c>
      <c r="J2555">
        <v>2691541199</v>
      </c>
      <c r="K2555">
        <v>2657280235</v>
      </c>
      <c r="L2555">
        <v>2301750447</v>
      </c>
      <c r="M2555">
        <v>1988460647</v>
      </c>
      <c r="N2555">
        <v>494239573</v>
      </c>
      <c r="O2555">
        <v>494408690</v>
      </c>
      <c r="P2555">
        <v>384</v>
      </c>
      <c r="Q2555" t="s">
        <v>5442</v>
      </c>
    </row>
    <row r="2556" spans="1:17" x14ac:dyDescent="0.3">
      <c r="A2556" t="s">
        <v>4729</v>
      </c>
      <c r="B2556" t="str">
        <f>"000811"</f>
        <v>000811</v>
      </c>
      <c r="C2556" t="s">
        <v>5443</v>
      </c>
      <c r="D2556" t="s">
        <v>988</v>
      </c>
      <c r="F2556">
        <v>4755649824</v>
      </c>
      <c r="G2556">
        <v>4296790157</v>
      </c>
      <c r="H2556">
        <v>3809971918</v>
      </c>
      <c r="I2556">
        <v>2825706479</v>
      </c>
      <c r="J2556">
        <v>2730124505</v>
      </c>
      <c r="K2556">
        <v>2274720260</v>
      </c>
      <c r="L2556">
        <v>1980428724</v>
      </c>
      <c r="M2556">
        <v>1612382590</v>
      </c>
      <c r="N2556">
        <v>1503782049</v>
      </c>
      <c r="O2556">
        <v>1237629045</v>
      </c>
      <c r="P2556">
        <v>224</v>
      </c>
      <c r="Q2556" t="s">
        <v>5444</v>
      </c>
    </row>
    <row r="2557" spans="1:17" x14ac:dyDescent="0.3">
      <c r="A2557" t="s">
        <v>4729</v>
      </c>
      <c r="B2557" t="str">
        <f>"000812"</f>
        <v>000812</v>
      </c>
      <c r="C2557" t="s">
        <v>5445</v>
      </c>
      <c r="D2557" t="s">
        <v>2165</v>
      </c>
      <c r="F2557">
        <v>1667036066</v>
      </c>
      <c r="G2557">
        <v>1618607350</v>
      </c>
      <c r="H2557">
        <v>1386106670</v>
      </c>
      <c r="I2557">
        <v>1360543800</v>
      </c>
      <c r="J2557">
        <v>1353815865</v>
      </c>
      <c r="K2557">
        <v>893436318</v>
      </c>
      <c r="L2557">
        <v>874164173</v>
      </c>
      <c r="M2557">
        <v>861743537</v>
      </c>
      <c r="N2557">
        <v>816956347</v>
      </c>
      <c r="O2557">
        <v>735524178</v>
      </c>
      <c r="P2557">
        <v>111</v>
      </c>
      <c r="Q2557" t="s">
        <v>5446</v>
      </c>
    </row>
    <row r="2558" spans="1:17" x14ac:dyDescent="0.3">
      <c r="A2558" t="s">
        <v>4729</v>
      </c>
      <c r="B2558" t="str">
        <f>"000813"</f>
        <v>000813</v>
      </c>
      <c r="C2558" t="s">
        <v>5447</v>
      </c>
      <c r="D2558" t="s">
        <v>143</v>
      </c>
      <c r="F2558">
        <v>5372112148</v>
      </c>
      <c r="G2558">
        <v>5897405033</v>
      </c>
      <c r="H2558">
        <v>5612860625</v>
      </c>
      <c r="I2558">
        <v>5281485855</v>
      </c>
      <c r="J2558">
        <v>4545411997</v>
      </c>
      <c r="K2558">
        <v>3753305344</v>
      </c>
      <c r="L2558">
        <v>1063921537</v>
      </c>
      <c r="M2558">
        <v>1056951110</v>
      </c>
      <c r="N2558">
        <v>1137257440</v>
      </c>
      <c r="O2558">
        <v>401704094</v>
      </c>
      <c r="P2558">
        <v>281</v>
      </c>
      <c r="Q2558" t="s">
        <v>5448</v>
      </c>
    </row>
    <row r="2559" spans="1:17" x14ac:dyDescent="0.3">
      <c r="A2559" t="s">
        <v>4729</v>
      </c>
      <c r="B2559" t="str">
        <f>"000815"</f>
        <v>000815</v>
      </c>
      <c r="C2559" t="s">
        <v>5449</v>
      </c>
      <c r="D2559" t="s">
        <v>694</v>
      </c>
      <c r="F2559">
        <v>2116030816</v>
      </c>
      <c r="G2559">
        <v>2133310971</v>
      </c>
      <c r="H2559">
        <v>2085905367</v>
      </c>
      <c r="I2559">
        <v>2034969196</v>
      </c>
      <c r="J2559">
        <v>1990724876</v>
      </c>
      <c r="K2559">
        <v>1965643924</v>
      </c>
      <c r="L2559">
        <v>34861747</v>
      </c>
      <c r="M2559">
        <v>-169147571</v>
      </c>
      <c r="N2559">
        <v>445930771</v>
      </c>
      <c r="O2559">
        <v>665581066</v>
      </c>
      <c r="P2559">
        <v>125</v>
      </c>
      <c r="Q2559" t="s">
        <v>5450</v>
      </c>
    </row>
    <row r="2560" spans="1:17" x14ac:dyDescent="0.3">
      <c r="A2560" t="s">
        <v>4729</v>
      </c>
      <c r="B2560" t="str">
        <f>"000816"</f>
        <v>000816</v>
      </c>
      <c r="C2560" t="s">
        <v>5451</v>
      </c>
      <c r="D2560" t="s">
        <v>348</v>
      </c>
      <c r="F2560">
        <v>2164780127</v>
      </c>
      <c r="G2560">
        <v>2091619688</v>
      </c>
      <c r="H2560">
        <v>2164524860</v>
      </c>
      <c r="I2560">
        <v>3114711128</v>
      </c>
      <c r="J2560">
        <v>3088291348</v>
      </c>
      <c r="K2560">
        <v>3347101565</v>
      </c>
      <c r="L2560">
        <v>3374744847</v>
      </c>
      <c r="M2560">
        <v>3309263265</v>
      </c>
      <c r="N2560">
        <v>1700689681</v>
      </c>
      <c r="O2560">
        <v>1630681604</v>
      </c>
      <c r="P2560">
        <v>153</v>
      </c>
      <c r="Q2560" t="s">
        <v>5452</v>
      </c>
    </row>
    <row r="2561" spans="1:17" x14ac:dyDescent="0.3">
      <c r="A2561" t="s">
        <v>4729</v>
      </c>
      <c r="B2561" t="str">
        <f>"000818"</f>
        <v>000818</v>
      </c>
      <c r="C2561" t="s">
        <v>5453</v>
      </c>
      <c r="D2561" t="s">
        <v>175</v>
      </c>
      <c r="F2561">
        <v>3446853029</v>
      </c>
      <c r="G2561">
        <v>2877342632</v>
      </c>
      <c r="H2561">
        <v>2682450301</v>
      </c>
      <c r="I2561">
        <v>2422315842</v>
      </c>
      <c r="J2561">
        <v>2496870755</v>
      </c>
      <c r="K2561">
        <v>2270853206</v>
      </c>
      <c r="L2561">
        <v>2105736365</v>
      </c>
      <c r="M2561">
        <v>1981322881</v>
      </c>
      <c r="N2561">
        <v>1896679195</v>
      </c>
      <c r="O2561">
        <v>1979570213</v>
      </c>
      <c r="P2561">
        <v>258</v>
      </c>
      <c r="Q2561" t="s">
        <v>5454</v>
      </c>
    </row>
    <row r="2562" spans="1:17" x14ac:dyDescent="0.3">
      <c r="A2562" t="s">
        <v>4729</v>
      </c>
      <c r="B2562" t="str">
        <f>"000819"</f>
        <v>000819</v>
      </c>
      <c r="C2562" t="s">
        <v>5455</v>
      </c>
      <c r="D2562" t="s">
        <v>1617</v>
      </c>
      <c r="F2562">
        <v>901150929</v>
      </c>
      <c r="G2562">
        <v>845270235</v>
      </c>
      <c r="H2562">
        <v>812783885</v>
      </c>
      <c r="I2562">
        <v>733487827</v>
      </c>
      <c r="J2562">
        <v>676099139</v>
      </c>
      <c r="K2562">
        <v>700238122</v>
      </c>
      <c r="L2562">
        <v>678504722</v>
      </c>
      <c r="M2562">
        <v>638427051</v>
      </c>
      <c r="N2562">
        <v>608507698</v>
      </c>
      <c r="O2562">
        <v>578016742</v>
      </c>
      <c r="P2562">
        <v>81</v>
      </c>
      <c r="Q2562" t="s">
        <v>5456</v>
      </c>
    </row>
    <row r="2563" spans="1:17" x14ac:dyDescent="0.3">
      <c r="A2563" t="s">
        <v>4729</v>
      </c>
      <c r="B2563" t="str">
        <f>"000820"</f>
        <v>000820</v>
      </c>
      <c r="C2563" t="s">
        <v>5457</v>
      </c>
      <c r="D2563" t="s">
        <v>499</v>
      </c>
      <c r="F2563">
        <v>84775378</v>
      </c>
      <c r="G2563">
        <v>-2380134659</v>
      </c>
      <c r="H2563">
        <v>-2017148106</v>
      </c>
      <c r="I2563">
        <v>32574035</v>
      </c>
      <c r="J2563">
        <v>734444376</v>
      </c>
      <c r="K2563">
        <v>616231296</v>
      </c>
      <c r="L2563">
        <v>263228082</v>
      </c>
      <c r="M2563">
        <v>229452538</v>
      </c>
      <c r="N2563">
        <v>219350212</v>
      </c>
      <c r="O2563">
        <v>153428396</v>
      </c>
      <c r="P2563">
        <v>156</v>
      </c>
      <c r="Q2563" t="s">
        <v>5458</v>
      </c>
    </row>
    <row r="2564" spans="1:17" x14ac:dyDescent="0.3">
      <c r="A2564" t="s">
        <v>4729</v>
      </c>
      <c r="B2564" t="str">
        <f>"000821"</f>
        <v>000821</v>
      </c>
      <c r="C2564" t="s">
        <v>5459</v>
      </c>
      <c r="D2564" t="s">
        <v>3415</v>
      </c>
      <c r="F2564">
        <v>2947107473</v>
      </c>
      <c r="G2564">
        <v>2334284013</v>
      </c>
      <c r="H2564">
        <v>2259430449</v>
      </c>
      <c r="I2564">
        <v>2821661357</v>
      </c>
      <c r="J2564">
        <v>1880775694</v>
      </c>
      <c r="K2564">
        <v>1737784744</v>
      </c>
      <c r="L2564">
        <v>1656852830</v>
      </c>
      <c r="M2564">
        <v>1079796561</v>
      </c>
      <c r="N2564">
        <v>1072216543</v>
      </c>
      <c r="O2564">
        <v>1065356529</v>
      </c>
      <c r="P2564">
        <v>166</v>
      </c>
      <c r="Q2564" t="s">
        <v>5460</v>
      </c>
    </row>
    <row r="2565" spans="1:17" x14ac:dyDescent="0.3">
      <c r="A2565" t="s">
        <v>4729</v>
      </c>
      <c r="B2565" t="str">
        <f>"000822"</f>
        <v>000822</v>
      </c>
      <c r="C2565" t="s">
        <v>5461</v>
      </c>
      <c r="D2565" t="s">
        <v>2529</v>
      </c>
      <c r="F2565">
        <v>3547691772</v>
      </c>
      <c r="G2565">
        <v>3042705492</v>
      </c>
      <c r="H2565">
        <v>3361317832</v>
      </c>
      <c r="I2565">
        <v>3374293361</v>
      </c>
      <c r="J2565">
        <v>2832285746</v>
      </c>
      <c r="K2565">
        <v>2145205403</v>
      </c>
      <c r="L2565">
        <v>2267917304</v>
      </c>
      <c r="M2565">
        <v>2145316246</v>
      </c>
      <c r="N2565">
        <v>2004120069</v>
      </c>
      <c r="O2565">
        <v>3132346365</v>
      </c>
      <c r="P2565">
        <v>211</v>
      </c>
      <c r="Q2565" t="s">
        <v>5462</v>
      </c>
    </row>
    <row r="2566" spans="1:17" x14ac:dyDescent="0.3">
      <c r="A2566" t="s">
        <v>4729</v>
      </c>
      <c r="B2566" t="str">
        <f>"000823"</f>
        <v>000823</v>
      </c>
      <c r="C2566" t="s">
        <v>5463</v>
      </c>
      <c r="D2566" t="s">
        <v>425</v>
      </c>
      <c r="F2566">
        <v>4036161092</v>
      </c>
      <c r="G2566">
        <v>3754045490</v>
      </c>
      <c r="H2566">
        <v>3535524526</v>
      </c>
      <c r="I2566">
        <v>3313594850</v>
      </c>
      <c r="J2566">
        <v>3118014904</v>
      </c>
      <c r="K2566">
        <v>2994949016</v>
      </c>
      <c r="L2566">
        <v>2846398670</v>
      </c>
      <c r="M2566">
        <v>2828322785</v>
      </c>
      <c r="N2566">
        <v>1948498062</v>
      </c>
      <c r="O2566">
        <v>1898352402</v>
      </c>
      <c r="P2566">
        <v>354</v>
      </c>
      <c r="Q2566" t="s">
        <v>5464</v>
      </c>
    </row>
    <row r="2567" spans="1:17" x14ac:dyDescent="0.3">
      <c r="A2567" t="s">
        <v>4729</v>
      </c>
      <c r="B2567" t="str">
        <f>"000825"</f>
        <v>000825</v>
      </c>
      <c r="C2567" t="s">
        <v>5465</v>
      </c>
      <c r="D2567" t="s">
        <v>281</v>
      </c>
      <c r="F2567">
        <v>35071412341</v>
      </c>
      <c r="G2567">
        <v>32912744741</v>
      </c>
      <c r="H2567">
        <v>31944472941</v>
      </c>
      <c r="I2567">
        <v>30463077048</v>
      </c>
      <c r="J2567">
        <v>26902166523</v>
      </c>
      <c r="K2567">
        <v>22443663383</v>
      </c>
      <c r="L2567">
        <v>21282280296</v>
      </c>
      <c r="M2567">
        <v>24979728107</v>
      </c>
      <c r="N2567">
        <v>24630054016</v>
      </c>
      <c r="O2567">
        <v>24256162904</v>
      </c>
      <c r="P2567">
        <v>581</v>
      </c>
      <c r="Q2567" t="s">
        <v>5466</v>
      </c>
    </row>
    <row r="2568" spans="1:17" x14ac:dyDescent="0.3">
      <c r="A2568" t="s">
        <v>4729</v>
      </c>
      <c r="B2568" t="str">
        <f>"000826"</f>
        <v>000826</v>
      </c>
      <c r="C2568" t="s">
        <v>5467</v>
      </c>
      <c r="D2568" t="s">
        <v>3575</v>
      </c>
      <c r="F2568">
        <v>7096367029</v>
      </c>
      <c r="G2568">
        <v>11921805163</v>
      </c>
      <c r="H2568">
        <v>13550905788</v>
      </c>
      <c r="I2568">
        <v>12961321490</v>
      </c>
      <c r="J2568">
        <v>12823421232</v>
      </c>
      <c r="K2568">
        <v>7230600715</v>
      </c>
      <c r="L2568">
        <v>6129203136</v>
      </c>
      <c r="M2568">
        <v>5182923545</v>
      </c>
      <c r="N2568">
        <v>4387687433</v>
      </c>
      <c r="O2568">
        <v>3838047697</v>
      </c>
      <c r="P2568">
        <v>559</v>
      </c>
      <c r="Q2568" t="s">
        <v>5468</v>
      </c>
    </row>
    <row r="2569" spans="1:17" x14ac:dyDescent="0.3">
      <c r="A2569" t="s">
        <v>4729</v>
      </c>
      <c r="B2569" t="str">
        <f>"000828"</f>
        <v>000828</v>
      </c>
      <c r="C2569" t="s">
        <v>5469</v>
      </c>
      <c r="D2569" t="s">
        <v>44</v>
      </c>
      <c r="F2569">
        <v>8482993051</v>
      </c>
      <c r="G2569">
        <v>7783703173</v>
      </c>
      <c r="H2569">
        <v>7238939535</v>
      </c>
      <c r="I2569">
        <v>6532231466</v>
      </c>
      <c r="J2569">
        <v>5656573512</v>
      </c>
      <c r="K2569">
        <v>5100614609</v>
      </c>
      <c r="L2569">
        <v>4583267148</v>
      </c>
      <c r="M2569">
        <v>4020991408</v>
      </c>
      <c r="N2569">
        <v>3615547882</v>
      </c>
      <c r="O2569">
        <v>3381554744</v>
      </c>
      <c r="P2569">
        <v>961</v>
      </c>
      <c r="Q2569" t="s">
        <v>5470</v>
      </c>
    </row>
    <row r="2570" spans="1:17" x14ac:dyDescent="0.3">
      <c r="A2570" t="s">
        <v>4729</v>
      </c>
      <c r="B2570" t="str">
        <f>"000829"</f>
        <v>000829</v>
      </c>
      <c r="C2570" t="s">
        <v>5471</v>
      </c>
      <c r="D2570" t="s">
        <v>295</v>
      </c>
      <c r="F2570">
        <v>2618481165</v>
      </c>
      <c r="G2570">
        <v>2468309255</v>
      </c>
      <c r="H2570">
        <v>2494339353</v>
      </c>
      <c r="I2570">
        <v>2488355858</v>
      </c>
      <c r="J2570">
        <v>2918204717</v>
      </c>
      <c r="K2570">
        <v>2204914018</v>
      </c>
      <c r="L2570">
        <v>1975927004</v>
      </c>
      <c r="M2570">
        <v>2203420603</v>
      </c>
      <c r="N2570">
        <v>2184697470</v>
      </c>
      <c r="O2570">
        <v>2163942619</v>
      </c>
      <c r="P2570">
        <v>187</v>
      </c>
      <c r="Q2570" t="s">
        <v>5472</v>
      </c>
    </row>
    <row r="2571" spans="1:17" x14ac:dyDescent="0.3">
      <c r="A2571" t="s">
        <v>4729</v>
      </c>
      <c r="B2571" t="str">
        <f>"000830"</f>
        <v>000830</v>
      </c>
      <c r="C2571" t="s">
        <v>5473</v>
      </c>
      <c r="D2571" t="s">
        <v>914</v>
      </c>
      <c r="F2571">
        <v>17944010641</v>
      </c>
      <c r="G2571">
        <v>14260831631</v>
      </c>
      <c r="H2571">
        <v>11191509542</v>
      </c>
      <c r="I2571">
        <v>10247513798</v>
      </c>
      <c r="J2571">
        <v>7757947932</v>
      </c>
      <c r="K2571">
        <v>5945179295</v>
      </c>
      <c r="L2571">
        <v>5816879620</v>
      </c>
      <c r="M2571">
        <v>5975314502</v>
      </c>
      <c r="N2571">
        <v>5611459567</v>
      </c>
      <c r="O2571">
        <v>5303613053</v>
      </c>
      <c r="P2571">
        <v>891</v>
      </c>
      <c r="Q2571" t="s">
        <v>5474</v>
      </c>
    </row>
    <row r="2572" spans="1:17" x14ac:dyDescent="0.3">
      <c r="A2572" t="s">
        <v>4729</v>
      </c>
      <c r="B2572" t="str">
        <f>"000831"</f>
        <v>000831</v>
      </c>
      <c r="C2572" t="s">
        <v>5475</v>
      </c>
      <c r="D2572" t="s">
        <v>266</v>
      </c>
      <c r="F2572">
        <v>2600438973</v>
      </c>
      <c r="G2572">
        <v>2461346563</v>
      </c>
      <c r="H2572">
        <v>2222791639</v>
      </c>
      <c r="I2572">
        <v>2123798486</v>
      </c>
      <c r="J2572">
        <v>2023728638</v>
      </c>
      <c r="K2572">
        <v>1991505769</v>
      </c>
      <c r="L2572">
        <v>2092912604</v>
      </c>
      <c r="M2572">
        <v>2485821773</v>
      </c>
      <c r="N2572">
        <v>2646645819</v>
      </c>
      <c r="O2572">
        <v>2198676117</v>
      </c>
      <c r="P2572">
        <v>458</v>
      </c>
      <c r="Q2572" t="s">
        <v>5476</v>
      </c>
    </row>
    <row r="2573" spans="1:17" x14ac:dyDescent="0.3">
      <c r="A2573" t="s">
        <v>4729</v>
      </c>
      <c r="B2573" t="str">
        <f>"000832"</f>
        <v>000832</v>
      </c>
      <c r="C2573" t="s">
        <v>5477</v>
      </c>
      <c r="K2573">
        <v>-442929068.63999999</v>
      </c>
      <c r="L2573">
        <v>-426970405.13</v>
      </c>
      <c r="M2573">
        <v>-315947937.01999998</v>
      </c>
      <c r="N2573">
        <v>-281836590.01999998</v>
      </c>
      <c r="O2573">
        <v>-229564249.15000001</v>
      </c>
      <c r="P2573">
        <v>6</v>
      </c>
      <c r="Q2573" t="s">
        <v>5478</v>
      </c>
    </row>
    <row r="2574" spans="1:17" x14ac:dyDescent="0.3">
      <c r="A2574" t="s">
        <v>4729</v>
      </c>
      <c r="B2574" t="str">
        <f>"000833"</f>
        <v>000833</v>
      </c>
      <c r="C2574" t="s">
        <v>5479</v>
      </c>
      <c r="D2574" t="s">
        <v>110</v>
      </c>
      <c r="F2574">
        <v>3103405220</v>
      </c>
      <c r="G2574">
        <v>2863801556</v>
      </c>
      <c r="H2574">
        <v>2805377523</v>
      </c>
      <c r="I2574">
        <v>2730553641</v>
      </c>
      <c r="J2574">
        <v>2716956210</v>
      </c>
      <c r="K2574">
        <v>2632196413</v>
      </c>
      <c r="L2574">
        <v>2637234157</v>
      </c>
      <c r="M2574">
        <v>848716699</v>
      </c>
      <c r="N2574">
        <v>820570818</v>
      </c>
      <c r="O2574">
        <v>926696718</v>
      </c>
      <c r="P2574">
        <v>88</v>
      </c>
      <c r="Q2574" t="s">
        <v>5480</v>
      </c>
    </row>
    <row r="2575" spans="1:17" x14ac:dyDescent="0.3">
      <c r="A2575" t="s">
        <v>4729</v>
      </c>
      <c r="B2575" t="str">
        <f>"000835"</f>
        <v>000835</v>
      </c>
      <c r="C2575" t="s">
        <v>5481</v>
      </c>
      <c r="D2575" t="s">
        <v>517</v>
      </c>
      <c r="F2575">
        <v>-1033821951</v>
      </c>
      <c r="G2575">
        <v>-580226599</v>
      </c>
      <c r="H2575">
        <v>-358640710</v>
      </c>
      <c r="I2575">
        <v>33878288</v>
      </c>
      <c r="J2575">
        <v>482545832</v>
      </c>
      <c r="K2575">
        <v>354847774</v>
      </c>
      <c r="L2575">
        <v>344870070</v>
      </c>
      <c r="M2575">
        <v>412766550</v>
      </c>
      <c r="N2575">
        <v>421662141</v>
      </c>
      <c r="O2575">
        <v>424630438</v>
      </c>
      <c r="P2575">
        <v>69</v>
      </c>
      <c r="Q2575" t="s">
        <v>5482</v>
      </c>
    </row>
    <row r="2576" spans="1:17" x14ac:dyDescent="0.3">
      <c r="A2576" t="s">
        <v>4729</v>
      </c>
      <c r="B2576" t="str">
        <f>"000836"</f>
        <v>000836</v>
      </c>
      <c r="C2576" t="s">
        <v>5483</v>
      </c>
      <c r="D2576" t="s">
        <v>250</v>
      </c>
      <c r="F2576">
        <v>1320284336</v>
      </c>
      <c r="G2576">
        <v>1257130803</v>
      </c>
      <c r="H2576">
        <v>1249431653</v>
      </c>
      <c r="I2576">
        <v>1319692894</v>
      </c>
      <c r="J2576">
        <v>1764286803</v>
      </c>
      <c r="K2576">
        <v>1680159260</v>
      </c>
      <c r="L2576">
        <v>1632712171</v>
      </c>
      <c r="M2576">
        <v>615503232</v>
      </c>
      <c r="N2576">
        <v>759127523</v>
      </c>
      <c r="O2576">
        <v>754136954</v>
      </c>
      <c r="P2576">
        <v>135</v>
      </c>
      <c r="Q2576" t="s">
        <v>5484</v>
      </c>
    </row>
    <row r="2577" spans="1:17" x14ac:dyDescent="0.3">
      <c r="A2577" t="s">
        <v>4729</v>
      </c>
      <c r="B2577" t="str">
        <f>"000837"</f>
        <v>000837</v>
      </c>
      <c r="C2577" t="s">
        <v>5485</v>
      </c>
      <c r="D2577" t="s">
        <v>2321</v>
      </c>
      <c r="F2577">
        <v>3224497080</v>
      </c>
      <c r="G2577">
        <v>2153162411</v>
      </c>
      <c r="H2577">
        <v>2214831035</v>
      </c>
      <c r="I2577">
        <v>2554114326</v>
      </c>
      <c r="J2577">
        <v>2825894605</v>
      </c>
      <c r="K2577">
        <v>2810158471</v>
      </c>
      <c r="L2577">
        <v>2792626862</v>
      </c>
      <c r="M2577">
        <v>3005050306</v>
      </c>
      <c r="N2577">
        <v>1081185296</v>
      </c>
      <c r="O2577">
        <v>1102889236</v>
      </c>
      <c r="P2577">
        <v>129</v>
      </c>
      <c r="Q2577" t="s">
        <v>5486</v>
      </c>
    </row>
    <row r="2578" spans="1:17" x14ac:dyDescent="0.3">
      <c r="A2578" t="s">
        <v>4729</v>
      </c>
      <c r="B2578" t="str">
        <f>"000838"</f>
        <v>000838</v>
      </c>
      <c r="C2578" t="s">
        <v>5487</v>
      </c>
      <c r="D2578" t="s">
        <v>104</v>
      </c>
      <c r="F2578">
        <v>1205103274</v>
      </c>
      <c r="G2578">
        <v>1967846235</v>
      </c>
      <c r="H2578">
        <v>1979293724</v>
      </c>
      <c r="I2578">
        <v>1885640404</v>
      </c>
      <c r="J2578">
        <v>1782627202</v>
      </c>
      <c r="K2578">
        <v>1631263961</v>
      </c>
      <c r="L2578">
        <v>1536934581</v>
      </c>
      <c r="M2578">
        <v>439697248</v>
      </c>
      <c r="N2578">
        <v>383246467</v>
      </c>
      <c r="O2578">
        <v>332570129</v>
      </c>
      <c r="P2578">
        <v>98</v>
      </c>
      <c r="Q2578" t="s">
        <v>5488</v>
      </c>
    </row>
    <row r="2579" spans="1:17" x14ac:dyDescent="0.3">
      <c r="A2579" t="s">
        <v>4729</v>
      </c>
      <c r="B2579" t="str">
        <f>"000839"</f>
        <v>000839</v>
      </c>
      <c r="C2579" t="s">
        <v>5489</v>
      </c>
      <c r="D2579" t="s">
        <v>110</v>
      </c>
      <c r="F2579">
        <v>3756726660</v>
      </c>
      <c r="G2579">
        <v>5871447042</v>
      </c>
      <c r="H2579">
        <v>8881603083</v>
      </c>
      <c r="I2579">
        <v>9222855221</v>
      </c>
      <c r="J2579">
        <v>6743264702</v>
      </c>
      <c r="K2579">
        <v>6529772237</v>
      </c>
      <c r="L2579">
        <v>6679139287</v>
      </c>
      <c r="M2579">
        <v>6456635562</v>
      </c>
      <c r="N2579">
        <v>5785755415</v>
      </c>
      <c r="O2579">
        <v>5789613654</v>
      </c>
      <c r="P2579">
        <v>219</v>
      </c>
      <c r="Q2579" t="s">
        <v>5490</v>
      </c>
    </row>
    <row r="2580" spans="1:17" x14ac:dyDescent="0.3">
      <c r="A2580" t="s">
        <v>4729</v>
      </c>
      <c r="B2580" t="str">
        <f>"000848"</f>
        <v>000848</v>
      </c>
      <c r="C2580" t="s">
        <v>5491</v>
      </c>
      <c r="D2580" t="s">
        <v>440</v>
      </c>
      <c r="F2580">
        <v>2356717293</v>
      </c>
      <c r="G2580">
        <v>2201387767</v>
      </c>
      <c r="H2580">
        <v>1995586297</v>
      </c>
      <c r="I2580">
        <v>1922142893</v>
      </c>
      <c r="J2580">
        <v>1998366944</v>
      </c>
      <c r="K2580">
        <v>1976194173</v>
      </c>
      <c r="L2580">
        <v>1676375229</v>
      </c>
      <c r="M2580">
        <v>1313505947</v>
      </c>
      <c r="N2580">
        <v>1010827575</v>
      </c>
      <c r="O2580">
        <v>797325982</v>
      </c>
      <c r="P2580">
        <v>41203</v>
      </c>
      <c r="Q2580" t="s">
        <v>5492</v>
      </c>
    </row>
    <row r="2581" spans="1:17" x14ac:dyDescent="0.3">
      <c r="A2581" t="s">
        <v>4729</v>
      </c>
      <c r="B2581" t="str">
        <f>"000850"</f>
        <v>000850</v>
      </c>
      <c r="C2581" t="s">
        <v>5493</v>
      </c>
      <c r="D2581" t="s">
        <v>1009</v>
      </c>
      <c r="F2581">
        <v>4713657648</v>
      </c>
      <c r="G2581">
        <v>4303617709</v>
      </c>
      <c r="H2581">
        <v>4248799883</v>
      </c>
      <c r="I2581">
        <v>4129437807</v>
      </c>
      <c r="J2581">
        <v>4495245943</v>
      </c>
      <c r="K2581">
        <v>4604772441</v>
      </c>
      <c r="L2581">
        <v>5264063178</v>
      </c>
      <c r="M2581">
        <v>3744852692</v>
      </c>
      <c r="N2581">
        <v>2974051905</v>
      </c>
      <c r="O2581">
        <v>3213563177</v>
      </c>
      <c r="P2581">
        <v>121</v>
      </c>
      <c r="Q2581" t="s">
        <v>5494</v>
      </c>
    </row>
    <row r="2582" spans="1:17" x14ac:dyDescent="0.3">
      <c r="A2582" t="s">
        <v>4729</v>
      </c>
      <c r="B2582" t="str">
        <f>"000851"</f>
        <v>000851</v>
      </c>
      <c r="C2582" t="s">
        <v>5495</v>
      </c>
      <c r="D2582" t="s">
        <v>1019</v>
      </c>
      <c r="F2582">
        <v>4486661479</v>
      </c>
      <c r="G2582">
        <v>3166590849</v>
      </c>
      <c r="H2582">
        <v>3323302145</v>
      </c>
      <c r="I2582">
        <v>3322472564</v>
      </c>
      <c r="J2582">
        <v>3253592117</v>
      </c>
      <c r="K2582">
        <v>3074045556</v>
      </c>
      <c r="L2582">
        <v>2618371545</v>
      </c>
      <c r="M2582">
        <v>2553889194</v>
      </c>
      <c r="N2582">
        <v>2143771842</v>
      </c>
      <c r="O2582">
        <v>2116820334</v>
      </c>
      <c r="P2582">
        <v>224</v>
      </c>
      <c r="Q2582" t="s">
        <v>5496</v>
      </c>
    </row>
    <row r="2583" spans="1:17" x14ac:dyDescent="0.3">
      <c r="A2583" t="s">
        <v>4729</v>
      </c>
      <c r="B2583" t="str">
        <f>"000852"</f>
        <v>000852</v>
      </c>
      <c r="C2583" t="s">
        <v>5497</v>
      </c>
      <c r="D2583" t="s">
        <v>395</v>
      </c>
      <c r="F2583">
        <v>1854032145</v>
      </c>
      <c r="G2583">
        <v>1809483063</v>
      </c>
      <c r="H2583">
        <v>1799138382</v>
      </c>
      <c r="I2583">
        <v>1774313781</v>
      </c>
      <c r="J2583">
        <v>1758840848</v>
      </c>
      <c r="K2583">
        <v>1710534901</v>
      </c>
      <c r="L2583">
        <v>2541570197</v>
      </c>
      <c r="M2583">
        <v>1187471866</v>
      </c>
      <c r="N2583">
        <v>1135634520</v>
      </c>
      <c r="O2583">
        <v>1111926657</v>
      </c>
      <c r="P2583">
        <v>155</v>
      </c>
      <c r="Q2583" t="s">
        <v>5498</v>
      </c>
    </row>
    <row r="2584" spans="1:17" x14ac:dyDescent="0.3">
      <c r="A2584" t="s">
        <v>4729</v>
      </c>
      <c r="B2584" t="str">
        <f>"000856"</f>
        <v>000856</v>
      </c>
      <c r="C2584" t="s">
        <v>5499</v>
      </c>
      <c r="D2584" t="s">
        <v>741</v>
      </c>
      <c r="F2584">
        <v>375413803</v>
      </c>
      <c r="G2584">
        <v>345204012</v>
      </c>
      <c r="H2584">
        <v>340723267</v>
      </c>
      <c r="I2584">
        <v>317111304</v>
      </c>
      <c r="J2584">
        <v>308051254</v>
      </c>
      <c r="K2584">
        <v>292524699</v>
      </c>
      <c r="L2584">
        <v>238829720</v>
      </c>
      <c r="M2584">
        <v>435972273</v>
      </c>
      <c r="N2584">
        <v>492179051</v>
      </c>
      <c r="O2584">
        <v>479390543</v>
      </c>
      <c r="P2584">
        <v>101</v>
      </c>
      <c r="Q2584" t="s">
        <v>5500</v>
      </c>
    </row>
    <row r="2585" spans="1:17" x14ac:dyDescent="0.3">
      <c r="A2585" t="s">
        <v>4729</v>
      </c>
      <c r="B2585" t="str">
        <f>"000858"</f>
        <v>000858</v>
      </c>
      <c r="C2585" t="s">
        <v>5501</v>
      </c>
      <c r="D2585" t="s">
        <v>458</v>
      </c>
      <c r="F2585">
        <v>99068498346</v>
      </c>
      <c r="G2585">
        <v>85705972646</v>
      </c>
      <c r="H2585">
        <v>74290700662</v>
      </c>
      <c r="I2585">
        <v>63487270081</v>
      </c>
      <c r="J2585">
        <v>53334081189</v>
      </c>
      <c r="K2585">
        <v>47076729739</v>
      </c>
      <c r="L2585">
        <v>43328917566</v>
      </c>
      <c r="M2585">
        <v>39430378342</v>
      </c>
      <c r="N2585">
        <v>36092639767</v>
      </c>
      <c r="O2585">
        <v>31156598160</v>
      </c>
      <c r="P2585">
        <v>11635</v>
      </c>
      <c r="Q2585" t="s">
        <v>5502</v>
      </c>
    </row>
    <row r="2586" spans="1:17" x14ac:dyDescent="0.3">
      <c r="A2586" t="s">
        <v>4729</v>
      </c>
      <c r="B2586" t="str">
        <f>"000859"</f>
        <v>000859</v>
      </c>
      <c r="C2586" t="s">
        <v>5503</v>
      </c>
      <c r="D2586" t="s">
        <v>324</v>
      </c>
      <c r="F2586">
        <v>2695872309</v>
      </c>
      <c r="G2586">
        <v>1745332494</v>
      </c>
      <c r="H2586">
        <v>1641655260</v>
      </c>
      <c r="I2586">
        <v>1564530617</v>
      </c>
      <c r="J2586">
        <v>1469820170</v>
      </c>
      <c r="K2586">
        <v>1416986883</v>
      </c>
      <c r="L2586">
        <v>1398629157</v>
      </c>
      <c r="M2586">
        <v>1389098099</v>
      </c>
      <c r="N2586">
        <v>890391249</v>
      </c>
      <c r="O2586">
        <v>929580360</v>
      </c>
      <c r="P2586">
        <v>118</v>
      </c>
      <c r="Q2586" t="s">
        <v>5504</v>
      </c>
    </row>
    <row r="2587" spans="1:17" x14ac:dyDescent="0.3">
      <c r="A2587" t="s">
        <v>4729</v>
      </c>
      <c r="B2587" t="str">
        <f>"000860"</f>
        <v>000860</v>
      </c>
      <c r="C2587" t="s">
        <v>5505</v>
      </c>
      <c r="D2587" t="s">
        <v>458</v>
      </c>
      <c r="F2587">
        <v>7769606593</v>
      </c>
      <c r="G2587">
        <v>7741481209</v>
      </c>
      <c r="H2587">
        <v>7432737473</v>
      </c>
      <c r="I2587">
        <v>6709096593</v>
      </c>
      <c r="J2587">
        <v>6088429163</v>
      </c>
      <c r="K2587">
        <v>5745118635</v>
      </c>
      <c r="L2587">
        <v>5398458198</v>
      </c>
      <c r="M2587">
        <v>5079246221</v>
      </c>
      <c r="N2587">
        <v>3061426317</v>
      </c>
      <c r="O2587">
        <v>2885574200</v>
      </c>
      <c r="P2587">
        <v>1515</v>
      </c>
      <c r="Q2587" t="s">
        <v>5506</v>
      </c>
    </row>
    <row r="2588" spans="1:17" x14ac:dyDescent="0.3">
      <c r="A2588" t="s">
        <v>4729</v>
      </c>
      <c r="B2588" t="str">
        <f>"000861"</f>
        <v>000861</v>
      </c>
      <c r="C2588" t="s">
        <v>5507</v>
      </c>
      <c r="D2588" t="s">
        <v>271</v>
      </c>
      <c r="F2588">
        <v>2858318883</v>
      </c>
      <c r="G2588">
        <v>3796494828</v>
      </c>
      <c r="H2588">
        <v>3539497732</v>
      </c>
      <c r="I2588">
        <v>3228610322</v>
      </c>
      <c r="J2588">
        <v>3225764603</v>
      </c>
      <c r="K2588">
        <v>2861033055</v>
      </c>
      <c r="L2588">
        <v>2796007611</v>
      </c>
      <c r="M2588">
        <v>2929836214</v>
      </c>
      <c r="N2588">
        <v>1851574525</v>
      </c>
      <c r="O2588">
        <v>1672132860</v>
      </c>
      <c r="P2588">
        <v>184</v>
      </c>
      <c r="Q2588" t="s">
        <v>5508</v>
      </c>
    </row>
    <row r="2589" spans="1:17" x14ac:dyDescent="0.3">
      <c r="A2589" t="s">
        <v>4729</v>
      </c>
      <c r="B2589" t="str">
        <f>"000862"</f>
        <v>000862</v>
      </c>
      <c r="C2589" t="s">
        <v>5509</v>
      </c>
      <c r="D2589" t="s">
        <v>383</v>
      </c>
      <c r="F2589">
        <v>2752339011</v>
      </c>
      <c r="G2589">
        <v>2655899642</v>
      </c>
      <c r="H2589">
        <v>2620870915</v>
      </c>
      <c r="I2589">
        <v>2597730285</v>
      </c>
      <c r="J2589">
        <v>2586492476</v>
      </c>
      <c r="K2589">
        <v>2775106224</v>
      </c>
      <c r="L2589">
        <v>1572853143</v>
      </c>
      <c r="M2589">
        <v>1689884741</v>
      </c>
      <c r="N2589">
        <v>182264655</v>
      </c>
      <c r="O2589">
        <v>330330261</v>
      </c>
      <c r="P2589">
        <v>171</v>
      </c>
      <c r="Q2589" t="s">
        <v>5510</v>
      </c>
    </row>
    <row r="2590" spans="1:17" x14ac:dyDescent="0.3">
      <c r="A2590" t="s">
        <v>4729</v>
      </c>
      <c r="B2590" t="str">
        <f>"000863"</f>
        <v>000863</v>
      </c>
      <c r="C2590" t="s">
        <v>5511</v>
      </c>
      <c r="D2590" t="s">
        <v>104</v>
      </c>
      <c r="F2590">
        <v>4556985715</v>
      </c>
      <c r="G2590">
        <v>4915890026</v>
      </c>
      <c r="H2590">
        <v>5849531458</v>
      </c>
      <c r="I2590">
        <v>5652643450</v>
      </c>
      <c r="J2590">
        <v>6388011884</v>
      </c>
      <c r="K2590">
        <v>6354203772</v>
      </c>
      <c r="L2590">
        <v>2973877514</v>
      </c>
      <c r="M2590">
        <v>2984830225</v>
      </c>
      <c r="N2590">
        <v>1839366289</v>
      </c>
      <c r="O2590">
        <v>1359184745</v>
      </c>
      <c r="P2590">
        <v>171</v>
      </c>
      <c r="Q2590" t="s">
        <v>5512</v>
      </c>
    </row>
    <row r="2591" spans="1:17" x14ac:dyDescent="0.3">
      <c r="A2591" t="s">
        <v>4729</v>
      </c>
      <c r="B2591" t="str">
        <f>"000868"</f>
        <v>000868</v>
      </c>
      <c r="C2591" t="s">
        <v>5513</v>
      </c>
      <c r="D2591" t="s">
        <v>153</v>
      </c>
      <c r="F2591">
        <v>265277058</v>
      </c>
      <c r="G2591">
        <v>526890483</v>
      </c>
      <c r="H2591">
        <v>425700006</v>
      </c>
      <c r="I2591">
        <v>386787047</v>
      </c>
      <c r="J2591">
        <v>1091566760</v>
      </c>
      <c r="K2591">
        <v>1320244910</v>
      </c>
      <c r="L2591">
        <v>1279558449</v>
      </c>
      <c r="M2591">
        <v>1236634385</v>
      </c>
      <c r="N2591">
        <v>1213093878</v>
      </c>
      <c r="O2591">
        <v>1323012158</v>
      </c>
      <c r="P2591">
        <v>171</v>
      </c>
      <c r="Q2591" t="s">
        <v>5514</v>
      </c>
    </row>
    <row r="2592" spans="1:17" x14ac:dyDescent="0.3">
      <c r="A2592" t="s">
        <v>4729</v>
      </c>
      <c r="B2592" t="str">
        <f>"000869"</f>
        <v>000869</v>
      </c>
      <c r="C2592" t="s">
        <v>5515</v>
      </c>
      <c r="D2592" t="s">
        <v>134</v>
      </c>
      <c r="F2592">
        <v>10447884183</v>
      </c>
      <c r="G2592">
        <v>10267832644</v>
      </c>
      <c r="H2592">
        <v>10308910198</v>
      </c>
      <c r="I2592">
        <v>9606099365</v>
      </c>
      <c r="J2592">
        <v>8906342299</v>
      </c>
      <c r="K2592">
        <v>8209010989</v>
      </c>
      <c r="L2592">
        <v>7564099003</v>
      </c>
      <c r="M2592">
        <v>6840452145</v>
      </c>
      <c r="N2592">
        <v>6208279705</v>
      </c>
      <c r="O2592">
        <v>5913104178</v>
      </c>
      <c r="P2592">
        <v>833</v>
      </c>
      <c r="Q2592" t="s">
        <v>5516</v>
      </c>
    </row>
    <row r="2593" spans="1:17" x14ac:dyDescent="0.3">
      <c r="A2593" t="s">
        <v>4729</v>
      </c>
      <c r="B2593" t="str">
        <f>"000875"</f>
        <v>000875</v>
      </c>
      <c r="C2593" t="s">
        <v>5517</v>
      </c>
      <c r="D2593" t="s">
        <v>239</v>
      </c>
      <c r="F2593">
        <v>10456350032</v>
      </c>
      <c r="G2593">
        <v>7808792439</v>
      </c>
      <c r="H2593">
        <v>7412083760</v>
      </c>
      <c r="I2593">
        <v>7383868291</v>
      </c>
      <c r="J2593">
        <v>7323335482</v>
      </c>
      <c r="K2593">
        <v>7638958244</v>
      </c>
      <c r="L2593">
        <v>3854516522</v>
      </c>
      <c r="M2593">
        <v>3734605701</v>
      </c>
      <c r="N2593">
        <v>3775900179</v>
      </c>
      <c r="O2593">
        <v>1960125901</v>
      </c>
      <c r="P2593">
        <v>278</v>
      </c>
      <c r="Q2593" t="s">
        <v>5518</v>
      </c>
    </row>
    <row r="2594" spans="1:17" x14ac:dyDescent="0.3">
      <c r="A2594" t="s">
        <v>4729</v>
      </c>
      <c r="B2594" t="str">
        <f>"000876"</f>
        <v>000876</v>
      </c>
      <c r="C2594" t="s">
        <v>5519</v>
      </c>
      <c r="D2594" t="s">
        <v>1900</v>
      </c>
      <c r="F2594">
        <v>27737987214</v>
      </c>
      <c r="G2594">
        <v>37854429176</v>
      </c>
      <c r="H2594">
        <v>26061689949</v>
      </c>
      <c r="I2594">
        <v>21575123235</v>
      </c>
      <c r="J2594">
        <v>20832404176</v>
      </c>
      <c r="K2594">
        <v>20515428379</v>
      </c>
      <c r="L2594">
        <v>19266616627</v>
      </c>
      <c r="M2594">
        <v>17597768325</v>
      </c>
      <c r="N2594">
        <v>13020951812</v>
      </c>
      <c r="O2594">
        <v>11243053246</v>
      </c>
      <c r="P2594">
        <v>2609</v>
      </c>
      <c r="Q2594" t="s">
        <v>5520</v>
      </c>
    </row>
    <row r="2595" spans="1:17" x14ac:dyDescent="0.3">
      <c r="A2595" t="s">
        <v>4729</v>
      </c>
      <c r="B2595" t="str">
        <f>"000877"</f>
        <v>000877</v>
      </c>
      <c r="C2595" t="s">
        <v>5521</v>
      </c>
      <c r="D2595" t="s">
        <v>731</v>
      </c>
      <c r="F2595">
        <v>75947259421</v>
      </c>
      <c r="G2595">
        <v>10631422743</v>
      </c>
      <c r="H2595">
        <v>9646755334</v>
      </c>
      <c r="I2595">
        <v>8400200744</v>
      </c>
      <c r="J2595">
        <v>7351055675</v>
      </c>
      <c r="K2595">
        <v>5863488037</v>
      </c>
      <c r="L2595">
        <v>6436558437</v>
      </c>
      <c r="M2595">
        <v>6838452720</v>
      </c>
      <c r="N2595">
        <v>6673299763</v>
      </c>
      <c r="O2595">
        <v>6464736147</v>
      </c>
      <c r="P2595">
        <v>742</v>
      </c>
      <c r="Q2595" t="s">
        <v>5522</v>
      </c>
    </row>
    <row r="2596" spans="1:17" x14ac:dyDescent="0.3">
      <c r="A2596" t="s">
        <v>4729</v>
      </c>
      <c r="B2596" t="str">
        <f>"000878"</f>
        <v>000878</v>
      </c>
      <c r="C2596" t="s">
        <v>5523</v>
      </c>
      <c r="D2596" t="s">
        <v>263</v>
      </c>
      <c r="F2596">
        <v>9257803531</v>
      </c>
      <c r="G2596">
        <v>8199447865</v>
      </c>
      <c r="H2596">
        <v>8372135285</v>
      </c>
      <c r="I2596">
        <v>7692189693</v>
      </c>
      <c r="J2596">
        <v>5620624012</v>
      </c>
      <c r="K2596">
        <v>5597864115</v>
      </c>
      <c r="L2596">
        <v>5242040653</v>
      </c>
      <c r="M2596">
        <v>5515694626</v>
      </c>
      <c r="N2596">
        <v>5399025730</v>
      </c>
      <c r="O2596">
        <v>6916146346</v>
      </c>
      <c r="P2596">
        <v>418</v>
      </c>
      <c r="Q2596" t="s">
        <v>5524</v>
      </c>
    </row>
    <row r="2597" spans="1:17" x14ac:dyDescent="0.3">
      <c r="A2597" t="s">
        <v>4729</v>
      </c>
      <c r="B2597" t="str">
        <f>"000880"</f>
        <v>000880</v>
      </c>
      <c r="C2597" t="s">
        <v>5525</v>
      </c>
      <c r="D2597" t="s">
        <v>348</v>
      </c>
      <c r="F2597">
        <v>1690910036</v>
      </c>
      <c r="G2597">
        <v>1565990569</v>
      </c>
      <c r="H2597">
        <v>1458994297</v>
      </c>
      <c r="I2597">
        <v>1372477556</v>
      </c>
      <c r="J2597">
        <v>1332035379</v>
      </c>
      <c r="K2597">
        <v>1304865123</v>
      </c>
      <c r="L2597">
        <v>1283548324</v>
      </c>
      <c r="M2597">
        <v>1252884746</v>
      </c>
      <c r="N2597">
        <v>1206175809</v>
      </c>
      <c r="O2597">
        <v>1180011071</v>
      </c>
      <c r="P2597">
        <v>102</v>
      </c>
      <c r="Q2597" t="s">
        <v>5526</v>
      </c>
    </row>
    <row r="2598" spans="1:17" x14ac:dyDescent="0.3">
      <c r="A2598" t="s">
        <v>4729</v>
      </c>
      <c r="B2598" t="str">
        <f>"000881"</f>
        <v>000881</v>
      </c>
      <c r="C2598" t="s">
        <v>5527</v>
      </c>
      <c r="D2598" t="s">
        <v>386</v>
      </c>
      <c r="F2598">
        <v>6102062628</v>
      </c>
      <c r="G2598">
        <v>5969876958</v>
      </c>
      <c r="H2598">
        <v>5725298313</v>
      </c>
      <c r="I2598">
        <v>5642354905</v>
      </c>
      <c r="J2598">
        <v>5348185014</v>
      </c>
      <c r="K2598">
        <v>5117331381</v>
      </c>
      <c r="L2598">
        <v>826654342</v>
      </c>
      <c r="M2598">
        <v>1638856570</v>
      </c>
      <c r="N2598">
        <v>1604192680</v>
      </c>
      <c r="O2598">
        <v>1549066480</v>
      </c>
      <c r="P2598">
        <v>169</v>
      </c>
      <c r="Q2598" t="s">
        <v>5528</v>
      </c>
    </row>
    <row r="2599" spans="1:17" x14ac:dyDescent="0.3">
      <c r="A2599" t="s">
        <v>4729</v>
      </c>
      <c r="B2599" t="str">
        <f>"000882"</f>
        <v>000882</v>
      </c>
      <c r="C2599" t="s">
        <v>5529</v>
      </c>
      <c r="D2599" t="s">
        <v>633</v>
      </c>
      <c r="F2599">
        <v>7119701734</v>
      </c>
      <c r="G2599">
        <v>8034012345</v>
      </c>
      <c r="H2599">
        <v>8097673065</v>
      </c>
      <c r="I2599">
        <v>7853107754</v>
      </c>
      <c r="J2599">
        <v>7761852177</v>
      </c>
      <c r="K2599">
        <v>6222139525</v>
      </c>
      <c r="L2599">
        <v>6116187967</v>
      </c>
      <c r="M2599">
        <v>5951741589</v>
      </c>
      <c r="N2599">
        <v>5941445786</v>
      </c>
      <c r="O2599">
        <v>2903174213</v>
      </c>
      <c r="P2599">
        <v>114</v>
      </c>
      <c r="Q2599" t="s">
        <v>5530</v>
      </c>
    </row>
    <row r="2600" spans="1:17" x14ac:dyDescent="0.3">
      <c r="A2600" t="s">
        <v>4729</v>
      </c>
      <c r="B2600" t="str">
        <f>"000883"</f>
        <v>000883</v>
      </c>
      <c r="C2600" t="s">
        <v>5531</v>
      </c>
      <c r="D2600" t="s">
        <v>239</v>
      </c>
      <c r="F2600">
        <v>30419674622</v>
      </c>
      <c r="G2600">
        <v>28868323619</v>
      </c>
      <c r="H2600">
        <v>27292094251</v>
      </c>
      <c r="I2600">
        <v>26216149811</v>
      </c>
      <c r="J2600">
        <v>25516017294</v>
      </c>
      <c r="K2600">
        <v>23733306033</v>
      </c>
      <c r="L2600">
        <v>21734717393</v>
      </c>
      <c r="M2600">
        <v>14501928409</v>
      </c>
      <c r="N2600">
        <v>13486748798</v>
      </c>
      <c r="O2600">
        <v>12860140160</v>
      </c>
      <c r="P2600">
        <v>419</v>
      </c>
      <c r="Q2600" t="s">
        <v>5532</v>
      </c>
    </row>
    <row r="2601" spans="1:17" x14ac:dyDescent="0.3">
      <c r="A2601" t="s">
        <v>4729</v>
      </c>
      <c r="B2601" t="str">
        <f>"000885"</f>
        <v>000885</v>
      </c>
      <c r="C2601" t="s">
        <v>5533</v>
      </c>
      <c r="D2601" t="s">
        <v>44</v>
      </c>
      <c r="F2601">
        <v>5602251164</v>
      </c>
      <c r="G2601">
        <v>4699337858</v>
      </c>
      <c r="H2601">
        <v>2993071284</v>
      </c>
      <c r="I2601">
        <v>2485940300</v>
      </c>
      <c r="J2601">
        <v>1865976356</v>
      </c>
      <c r="K2601">
        <v>2228006444</v>
      </c>
      <c r="L2601">
        <v>2189541297</v>
      </c>
      <c r="M2601">
        <v>2169563598</v>
      </c>
      <c r="N2601">
        <v>1721881730</v>
      </c>
      <c r="O2601">
        <v>1651874075</v>
      </c>
      <c r="P2601">
        <v>236</v>
      </c>
      <c r="Q2601" t="s">
        <v>5534</v>
      </c>
    </row>
    <row r="2602" spans="1:17" x14ac:dyDescent="0.3">
      <c r="A2602" t="s">
        <v>4729</v>
      </c>
      <c r="B2602" t="str">
        <f>"000886"</f>
        <v>000886</v>
      </c>
      <c r="C2602" t="s">
        <v>5535</v>
      </c>
      <c r="D2602" t="s">
        <v>44</v>
      </c>
      <c r="F2602">
        <v>2824583416</v>
      </c>
      <c r="G2602">
        <v>2828033508</v>
      </c>
      <c r="H2602">
        <v>2787690646</v>
      </c>
      <c r="I2602">
        <v>2774893718</v>
      </c>
      <c r="J2602">
        <v>2658526600</v>
      </c>
      <c r="K2602">
        <v>2563327449</v>
      </c>
      <c r="L2602">
        <v>2491102535</v>
      </c>
      <c r="M2602">
        <v>2725411300</v>
      </c>
      <c r="N2602">
        <v>2734335084</v>
      </c>
      <c r="O2602">
        <v>2598568269</v>
      </c>
      <c r="P2602">
        <v>130</v>
      </c>
      <c r="Q2602" t="s">
        <v>5536</v>
      </c>
    </row>
    <row r="2603" spans="1:17" x14ac:dyDescent="0.3">
      <c r="A2603" t="s">
        <v>4729</v>
      </c>
      <c r="B2603" t="str">
        <f>"000887"</f>
        <v>000887</v>
      </c>
      <c r="C2603" t="s">
        <v>5537</v>
      </c>
      <c r="D2603" t="s">
        <v>985</v>
      </c>
      <c r="F2603">
        <v>9063929132</v>
      </c>
      <c r="G2603">
        <v>8772705504</v>
      </c>
      <c r="H2603">
        <v>8694183262</v>
      </c>
      <c r="I2603">
        <v>8281500394</v>
      </c>
      <c r="J2603">
        <v>7605138889</v>
      </c>
      <c r="K2603">
        <v>6458061630</v>
      </c>
      <c r="L2603">
        <v>3663951187</v>
      </c>
      <c r="M2603">
        <v>2931061076</v>
      </c>
      <c r="N2603">
        <v>2218692419</v>
      </c>
      <c r="O2603">
        <v>1904878038</v>
      </c>
      <c r="P2603">
        <v>7118</v>
      </c>
      <c r="Q2603" t="s">
        <v>5538</v>
      </c>
    </row>
    <row r="2604" spans="1:17" x14ac:dyDescent="0.3">
      <c r="A2604" t="s">
        <v>4729</v>
      </c>
      <c r="B2604" t="str">
        <f>"000888"</f>
        <v>000888</v>
      </c>
      <c r="C2604" t="s">
        <v>5539</v>
      </c>
      <c r="D2604" t="s">
        <v>119</v>
      </c>
      <c r="F2604">
        <v>2439886142</v>
      </c>
      <c r="G2604">
        <v>2421801579</v>
      </c>
      <c r="H2604">
        <v>2535395823</v>
      </c>
      <c r="I2604">
        <v>2361910719</v>
      </c>
      <c r="J2604">
        <v>2205364964</v>
      </c>
      <c r="K2604">
        <v>2050912242</v>
      </c>
      <c r="L2604">
        <v>1912405124</v>
      </c>
      <c r="M2604">
        <v>1763579095</v>
      </c>
      <c r="N2604">
        <v>1595150529</v>
      </c>
      <c r="O2604">
        <v>1055762586</v>
      </c>
      <c r="P2604">
        <v>218</v>
      </c>
      <c r="Q2604" t="s">
        <v>5540</v>
      </c>
    </row>
    <row r="2605" spans="1:17" x14ac:dyDescent="0.3">
      <c r="A2605" t="s">
        <v>4729</v>
      </c>
      <c r="B2605" t="str">
        <f>"000889"</f>
        <v>000889</v>
      </c>
      <c r="C2605" t="s">
        <v>5541</v>
      </c>
      <c r="D2605" t="s">
        <v>654</v>
      </c>
      <c r="F2605">
        <v>337921135</v>
      </c>
      <c r="G2605">
        <v>2342793958</v>
      </c>
      <c r="H2605">
        <v>2322627647</v>
      </c>
      <c r="I2605">
        <v>3602604503</v>
      </c>
      <c r="J2605">
        <v>2661028567</v>
      </c>
      <c r="K2605">
        <v>2454833114</v>
      </c>
      <c r="L2605">
        <v>2250424646</v>
      </c>
      <c r="M2605">
        <v>2106770650</v>
      </c>
      <c r="N2605">
        <v>1163263910</v>
      </c>
      <c r="O2605">
        <v>1081498104</v>
      </c>
      <c r="P2605">
        <v>157</v>
      </c>
      <c r="Q2605" t="s">
        <v>5542</v>
      </c>
    </row>
    <row r="2606" spans="1:17" x14ac:dyDescent="0.3">
      <c r="A2606" t="s">
        <v>4729</v>
      </c>
      <c r="B2606" t="str">
        <f>"000890"</f>
        <v>000890</v>
      </c>
      <c r="C2606" t="s">
        <v>5543</v>
      </c>
      <c r="D2606" t="s">
        <v>274</v>
      </c>
      <c r="F2606">
        <v>49304457</v>
      </c>
      <c r="G2606">
        <v>16624495</v>
      </c>
      <c r="H2606">
        <v>-148284828</v>
      </c>
      <c r="I2606">
        <v>654276004</v>
      </c>
      <c r="J2606">
        <v>945383962</v>
      </c>
      <c r="K2606">
        <v>802941500</v>
      </c>
      <c r="L2606">
        <v>1046884364</v>
      </c>
      <c r="M2606">
        <v>1041378826</v>
      </c>
      <c r="N2606">
        <v>1034945810</v>
      </c>
      <c r="O2606">
        <v>1041744376</v>
      </c>
      <c r="P2606">
        <v>133</v>
      </c>
      <c r="Q2606" t="s">
        <v>5544</v>
      </c>
    </row>
    <row r="2607" spans="1:17" x14ac:dyDescent="0.3">
      <c r="A2607" t="s">
        <v>4729</v>
      </c>
      <c r="B2607" t="str">
        <f>"000892"</f>
        <v>000892</v>
      </c>
      <c r="C2607" t="s">
        <v>5545</v>
      </c>
      <c r="D2607" t="s">
        <v>113</v>
      </c>
      <c r="F2607">
        <v>1499964127</v>
      </c>
      <c r="G2607">
        <v>1868972592</v>
      </c>
      <c r="H2607">
        <v>2653827875</v>
      </c>
      <c r="I2607">
        <v>3407898467</v>
      </c>
      <c r="J2607">
        <v>3081722511</v>
      </c>
      <c r="K2607">
        <v>2673825893</v>
      </c>
      <c r="L2607">
        <v>4275559</v>
      </c>
      <c r="M2607">
        <v>2974391</v>
      </c>
      <c r="N2607">
        <v>5365398</v>
      </c>
      <c r="O2607">
        <v>5983151</v>
      </c>
      <c r="P2607">
        <v>109</v>
      </c>
      <c r="Q2607" t="s">
        <v>5546</v>
      </c>
    </row>
    <row r="2608" spans="1:17" x14ac:dyDescent="0.3">
      <c r="A2608" t="s">
        <v>4729</v>
      </c>
      <c r="B2608" t="str">
        <f>"000893"</f>
        <v>000893</v>
      </c>
      <c r="C2608" t="s">
        <v>5547</v>
      </c>
      <c r="D2608" t="s">
        <v>3458</v>
      </c>
      <c r="F2608">
        <v>4609063246</v>
      </c>
      <c r="G2608">
        <v>3713971355</v>
      </c>
      <c r="H2608">
        <v>3653477154</v>
      </c>
      <c r="I2608">
        <v>3609513454</v>
      </c>
      <c r="J2608">
        <v>1908750150</v>
      </c>
      <c r="K2608">
        <v>4301893894</v>
      </c>
      <c r="L2608">
        <v>4279833958</v>
      </c>
      <c r="M2608">
        <v>506395089</v>
      </c>
      <c r="N2608">
        <v>1087188683</v>
      </c>
      <c r="O2608">
        <v>344357425</v>
      </c>
      <c r="P2608">
        <v>159</v>
      </c>
      <c r="Q2608" t="s">
        <v>5548</v>
      </c>
    </row>
    <row r="2609" spans="1:17" x14ac:dyDescent="0.3">
      <c r="A2609" t="s">
        <v>4729</v>
      </c>
      <c r="B2609" t="str">
        <f>"000895"</f>
        <v>000895</v>
      </c>
      <c r="C2609" t="s">
        <v>5549</v>
      </c>
      <c r="D2609" t="s">
        <v>170</v>
      </c>
      <c r="F2609">
        <v>22808736728</v>
      </c>
      <c r="G2609">
        <v>23763043723</v>
      </c>
      <c r="H2609">
        <v>16487699958</v>
      </c>
      <c r="I2609">
        <v>12974142671</v>
      </c>
      <c r="J2609">
        <v>14617084150</v>
      </c>
      <c r="K2609">
        <v>14202793016</v>
      </c>
      <c r="L2609">
        <v>16792338691</v>
      </c>
      <c r="M2609">
        <v>15503146158</v>
      </c>
      <c r="N2609">
        <v>14347250576</v>
      </c>
      <c r="O2609">
        <v>11736764760</v>
      </c>
      <c r="P2609">
        <v>37259</v>
      </c>
      <c r="Q2609" t="s">
        <v>5550</v>
      </c>
    </row>
    <row r="2610" spans="1:17" x14ac:dyDescent="0.3">
      <c r="A2610" t="s">
        <v>4729</v>
      </c>
      <c r="B2610" t="str">
        <f>"000897"</f>
        <v>000897</v>
      </c>
      <c r="C2610" t="s">
        <v>5551</v>
      </c>
      <c r="D2610" t="s">
        <v>104</v>
      </c>
      <c r="F2610">
        <v>1911469700</v>
      </c>
      <c r="G2610">
        <v>1423379773</v>
      </c>
      <c r="H2610">
        <v>1222126293</v>
      </c>
      <c r="I2610">
        <v>1050124248</v>
      </c>
      <c r="J2610">
        <v>1179604247</v>
      </c>
      <c r="K2610">
        <v>1298963391</v>
      </c>
      <c r="L2610">
        <v>1251893121</v>
      </c>
      <c r="M2610">
        <v>1430897245</v>
      </c>
      <c r="N2610">
        <v>1300015045</v>
      </c>
      <c r="O2610">
        <v>1837919451</v>
      </c>
      <c r="P2610">
        <v>170</v>
      </c>
      <c r="Q2610" t="s">
        <v>5552</v>
      </c>
    </row>
    <row r="2611" spans="1:17" x14ac:dyDescent="0.3">
      <c r="A2611" t="s">
        <v>4729</v>
      </c>
      <c r="B2611" t="str">
        <f>"000898"</f>
        <v>000898</v>
      </c>
      <c r="C2611" t="s">
        <v>5553</v>
      </c>
      <c r="D2611" t="s">
        <v>38</v>
      </c>
      <c r="F2611">
        <v>59666000000</v>
      </c>
      <c r="G2611">
        <v>53365000000</v>
      </c>
      <c r="H2611">
        <v>52079000000</v>
      </c>
      <c r="I2611">
        <v>51962000000</v>
      </c>
      <c r="J2611">
        <v>49973000000</v>
      </c>
      <c r="K2611">
        <v>44882000000</v>
      </c>
      <c r="L2611">
        <v>43274000000</v>
      </c>
      <c r="M2611">
        <v>47793000000</v>
      </c>
      <c r="N2611">
        <v>47026000000</v>
      </c>
      <c r="O2611">
        <v>46598000000</v>
      </c>
      <c r="P2611">
        <v>646</v>
      </c>
      <c r="Q2611" t="s">
        <v>5554</v>
      </c>
    </row>
    <row r="2612" spans="1:17" x14ac:dyDescent="0.3">
      <c r="A2612" t="s">
        <v>4729</v>
      </c>
      <c r="B2612" t="str">
        <f>"000899"</f>
        <v>000899</v>
      </c>
      <c r="C2612" t="s">
        <v>5555</v>
      </c>
      <c r="D2612" t="s">
        <v>41</v>
      </c>
      <c r="F2612">
        <v>4649743170</v>
      </c>
      <c r="G2612">
        <v>5001643243</v>
      </c>
      <c r="H2612">
        <v>4783235110</v>
      </c>
      <c r="I2612">
        <v>4657082061</v>
      </c>
      <c r="J2612">
        <v>4468578730</v>
      </c>
      <c r="K2612">
        <v>4768685745</v>
      </c>
      <c r="L2612">
        <v>2623632267</v>
      </c>
      <c r="M2612">
        <v>2104547022</v>
      </c>
      <c r="N2612">
        <v>1764098458</v>
      </c>
      <c r="O2612">
        <v>1316065824</v>
      </c>
      <c r="P2612">
        <v>174</v>
      </c>
      <c r="Q2612" t="s">
        <v>5556</v>
      </c>
    </row>
    <row r="2613" spans="1:17" x14ac:dyDescent="0.3">
      <c r="A2613" t="s">
        <v>4729</v>
      </c>
      <c r="B2613" t="str">
        <f>"000900"</f>
        <v>000900</v>
      </c>
      <c r="C2613" t="s">
        <v>5557</v>
      </c>
      <c r="D2613" t="s">
        <v>44</v>
      </c>
      <c r="F2613">
        <v>10321021942</v>
      </c>
      <c r="G2613">
        <v>10366993937</v>
      </c>
      <c r="H2613">
        <v>10100607765</v>
      </c>
      <c r="I2613">
        <v>9301203203</v>
      </c>
      <c r="J2613">
        <v>8533393751</v>
      </c>
      <c r="K2613">
        <v>7726457841</v>
      </c>
      <c r="L2613">
        <v>6965797865</v>
      </c>
      <c r="M2613">
        <v>6493393904</v>
      </c>
      <c r="N2613">
        <v>6079411348</v>
      </c>
      <c r="O2613">
        <v>5614550208</v>
      </c>
      <c r="P2613">
        <v>570</v>
      </c>
      <c r="Q2613" t="s">
        <v>5558</v>
      </c>
    </row>
    <row r="2614" spans="1:17" x14ac:dyDescent="0.3">
      <c r="A2614" t="s">
        <v>4729</v>
      </c>
      <c r="B2614" t="str">
        <f>"000901"</f>
        <v>000901</v>
      </c>
      <c r="C2614" t="s">
        <v>5559</v>
      </c>
      <c r="D2614" t="s">
        <v>1136</v>
      </c>
      <c r="F2614">
        <v>4216876562</v>
      </c>
      <c r="G2614">
        <v>4345016908</v>
      </c>
      <c r="H2614">
        <v>4126342467</v>
      </c>
      <c r="I2614">
        <v>3992125989</v>
      </c>
      <c r="J2614">
        <v>3807836695</v>
      </c>
      <c r="K2614">
        <v>3512995519</v>
      </c>
      <c r="L2614">
        <v>1383323446</v>
      </c>
      <c r="M2614">
        <v>1336995938</v>
      </c>
      <c r="N2614">
        <v>834632031</v>
      </c>
      <c r="O2614">
        <v>787119579</v>
      </c>
      <c r="P2614">
        <v>224</v>
      </c>
      <c r="Q2614" t="s">
        <v>5560</v>
      </c>
    </row>
    <row r="2615" spans="1:17" x14ac:dyDescent="0.3">
      <c r="A2615" t="s">
        <v>4729</v>
      </c>
      <c r="B2615" t="str">
        <f>"000902"</f>
        <v>000902</v>
      </c>
      <c r="C2615" t="s">
        <v>5561</v>
      </c>
      <c r="D2615" t="s">
        <v>5562</v>
      </c>
      <c r="F2615">
        <v>7871792008</v>
      </c>
      <c r="G2615">
        <v>6921863857</v>
      </c>
      <c r="H2615">
        <v>6510387859</v>
      </c>
      <c r="I2615">
        <v>6219139986</v>
      </c>
      <c r="J2615">
        <v>5682878218</v>
      </c>
      <c r="K2615">
        <v>5185655362</v>
      </c>
      <c r="L2615">
        <v>4687221403</v>
      </c>
      <c r="M2615">
        <v>2733289599</v>
      </c>
      <c r="N2615">
        <v>162148113</v>
      </c>
      <c r="O2615">
        <v>213621420</v>
      </c>
      <c r="P2615">
        <v>406</v>
      </c>
      <c r="Q2615" t="s">
        <v>5563</v>
      </c>
    </row>
    <row r="2616" spans="1:17" x14ac:dyDescent="0.3">
      <c r="A2616" t="s">
        <v>4729</v>
      </c>
      <c r="B2616" t="str">
        <f>"000903"</f>
        <v>000903</v>
      </c>
      <c r="C2616" t="s">
        <v>5564</v>
      </c>
      <c r="D2616" t="s">
        <v>348</v>
      </c>
      <c r="F2616">
        <v>5702935295</v>
      </c>
      <c r="G2616">
        <v>5708692775</v>
      </c>
      <c r="H2616">
        <v>5576955275</v>
      </c>
      <c r="I2616">
        <v>5558443911</v>
      </c>
      <c r="J2616">
        <v>5436439241</v>
      </c>
      <c r="K2616">
        <v>4468109583</v>
      </c>
      <c r="L2616">
        <v>3660466377</v>
      </c>
      <c r="M2616">
        <v>3530077167</v>
      </c>
      <c r="N2616">
        <v>2719497903</v>
      </c>
      <c r="O2616">
        <v>2606179845</v>
      </c>
      <c r="P2616">
        <v>155</v>
      </c>
      <c r="Q2616" t="s">
        <v>5565</v>
      </c>
    </row>
    <row r="2617" spans="1:17" x14ac:dyDescent="0.3">
      <c r="A2617" t="s">
        <v>4729</v>
      </c>
      <c r="B2617" t="str">
        <f>"000905"</f>
        <v>000905</v>
      </c>
      <c r="C2617" t="s">
        <v>5566</v>
      </c>
      <c r="D2617" t="s">
        <v>51</v>
      </c>
      <c r="F2617">
        <v>3724682742</v>
      </c>
      <c r="G2617">
        <v>3496582846</v>
      </c>
      <c r="H2617">
        <v>3404311387</v>
      </c>
      <c r="I2617">
        <v>2687510185</v>
      </c>
      <c r="J2617">
        <v>2673280500</v>
      </c>
      <c r="K2617">
        <v>2592068467</v>
      </c>
      <c r="L2617">
        <v>2774681155</v>
      </c>
      <c r="M2617">
        <v>2540498913</v>
      </c>
      <c r="N2617">
        <v>2289871286</v>
      </c>
      <c r="O2617">
        <v>1984832182</v>
      </c>
      <c r="P2617">
        <v>213</v>
      </c>
      <c r="Q2617" t="s">
        <v>5567</v>
      </c>
    </row>
    <row r="2618" spans="1:17" x14ac:dyDescent="0.3">
      <c r="A2618" t="s">
        <v>4729</v>
      </c>
      <c r="B2618" t="str">
        <f>"000906"</f>
        <v>000906</v>
      </c>
      <c r="C2618" t="s">
        <v>5568</v>
      </c>
      <c r="D2618" t="s">
        <v>128</v>
      </c>
      <c r="F2618">
        <v>3519255549</v>
      </c>
      <c r="G2618">
        <v>2842004168</v>
      </c>
      <c r="H2618">
        <v>2449718690</v>
      </c>
      <c r="I2618">
        <v>2047296569</v>
      </c>
      <c r="J2618">
        <v>1847619100</v>
      </c>
      <c r="K2618">
        <v>1694529491</v>
      </c>
      <c r="L2618">
        <v>1592645767</v>
      </c>
      <c r="M2618">
        <v>1096496440</v>
      </c>
      <c r="N2618">
        <v>1038201944</v>
      </c>
      <c r="O2618">
        <v>999585011</v>
      </c>
      <c r="P2618">
        <v>238</v>
      </c>
      <c r="Q2618" t="s">
        <v>5569</v>
      </c>
    </row>
    <row r="2619" spans="1:17" x14ac:dyDescent="0.3">
      <c r="A2619" t="s">
        <v>4729</v>
      </c>
      <c r="B2619" t="str">
        <f>"000908"</f>
        <v>000908</v>
      </c>
      <c r="C2619" t="s">
        <v>5570</v>
      </c>
      <c r="D2619" t="s">
        <v>143</v>
      </c>
      <c r="F2619">
        <v>306389795</v>
      </c>
      <c r="G2619">
        <v>442774826</v>
      </c>
      <c r="H2619">
        <v>1588007411</v>
      </c>
      <c r="I2619">
        <v>2483665326</v>
      </c>
      <c r="J2619">
        <v>2378469144</v>
      </c>
      <c r="K2619">
        <v>2392194434</v>
      </c>
      <c r="L2619">
        <v>2173659611</v>
      </c>
      <c r="M2619">
        <v>981188433</v>
      </c>
      <c r="N2619">
        <v>4942189</v>
      </c>
      <c r="O2619">
        <v>-60472848</v>
      </c>
      <c r="P2619">
        <v>186</v>
      </c>
      <c r="Q2619" t="s">
        <v>5571</v>
      </c>
    </row>
    <row r="2620" spans="1:17" x14ac:dyDescent="0.3">
      <c r="A2620" t="s">
        <v>4729</v>
      </c>
      <c r="B2620" t="str">
        <f>"000909"</f>
        <v>000909</v>
      </c>
      <c r="C2620" t="s">
        <v>5572</v>
      </c>
      <c r="D2620" t="s">
        <v>104</v>
      </c>
      <c r="F2620">
        <v>1846232247</v>
      </c>
      <c r="G2620">
        <v>1820558412</v>
      </c>
      <c r="H2620">
        <v>1071731410</v>
      </c>
      <c r="I2620">
        <v>1056012616</v>
      </c>
      <c r="J2620">
        <v>1048925240</v>
      </c>
      <c r="K2620">
        <v>1040274509</v>
      </c>
      <c r="L2620">
        <v>726035810</v>
      </c>
      <c r="M2620">
        <v>716203313</v>
      </c>
      <c r="N2620">
        <v>690228438</v>
      </c>
      <c r="O2620">
        <v>643225115</v>
      </c>
      <c r="P2620">
        <v>206</v>
      </c>
      <c r="Q2620" t="s">
        <v>5573</v>
      </c>
    </row>
    <row r="2621" spans="1:17" x14ac:dyDescent="0.3">
      <c r="A2621" t="s">
        <v>4729</v>
      </c>
      <c r="B2621" t="str">
        <f>"000910"</f>
        <v>000910</v>
      </c>
      <c r="C2621" t="s">
        <v>5574</v>
      </c>
      <c r="D2621" t="s">
        <v>178</v>
      </c>
      <c r="F2621">
        <v>6113948192</v>
      </c>
      <c r="G2621">
        <v>5611455090</v>
      </c>
      <c r="H2621">
        <v>5066555829</v>
      </c>
      <c r="I2621">
        <v>4327838421</v>
      </c>
      <c r="J2621">
        <v>3493243170</v>
      </c>
      <c r="K2621">
        <v>2903799913</v>
      </c>
      <c r="L2621">
        <v>2295305137</v>
      </c>
      <c r="M2621">
        <v>2611644086</v>
      </c>
      <c r="N2621">
        <v>2504748064</v>
      </c>
      <c r="O2621">
        <v>2363639570</v>
      </c>
      <c r="P2621">
        <v>813</v>
      </c>
      <c r="Q2621" t="s">
        <v>5575</v>
      </c>
    </row>
    <row r="2622" spans="1:17" x14ac:dyDescent="0.3">
      <c r="A2622" t="s">
        <v>4729</v>
      </c>
      <c r="B2622" t="str">
        <f>"000911"</f>
        <v>000911</v>
      </c>
      <c r="C2622" t="s">
        <v>5576</v>
      </c>
      <c r="D2622" t="s">
        <v>445</v>
      </c>
      <c r="F2622">
        <v>497788891</v>
      </c>
      <c r="G2622">
        <v>121253838</v>
      </c>
      <c r="H2622">
        <v>70991002</v>
      </c>
      <c r="I2622">
        <v>37996623</v>
      </c>
      <c r="J2622">
        <v>1401038395</v>
      </c>
      <c r="K2622">
        <v>1595237460</v>
      </c>
      <c r="L2622">
        <v>1592677515</v>
      </c>
      <c r="M2622">
        <v>1066688429</v>
      </c>
      <c r="N2622">
        <v>1346258573</v>
      </c>
      <c r="O2622">
        <v>1076231825</v>
      </c>
      <c r="P2622">
        <v>334</v>
      </c>
      <c r="Q2622" t="s">
        <v>5577</v>
      </c>
    </row>
    <row r="2623" spans="1:17" x14ac:dyDescent="0.3">
      <c r="A2623" t="s">
        <v>4729</v>
      </c>
      <c r="B2623" t="str">
        <f>"000912"</f>
        <v>000912</v>
      </c>
      <c r="C2623" t="s">
        <v>5578</v>
      </c>
      <c r="D2623" t="s">
        <v>909</v>
      </c>
      <c r="F2623">
        <v>5875020314</v>
      </c>
      <c r="G2623">
        <v>5418326615</v>
      </c>
      <c r="H2623">
        <v>5047806637</v>
      </c>
      <c r="I2623">
        <v>4738411072</v>
      </c>
      <c r="J2623">
        <v>-1366698899</v>
      </c>
      <c r="K2623">
        <v>115639692</v>
      </c>
      <c r="L2623">
        <v>744682116</v>
      </c>
      <c r="M2623">
        <v>755725528</v>
      </c>
      <c r="N2623">
        <v>1950101866</v>
      </c>
      <c r="O2623">
        <v>2262117994</v>
      </c>
      <c r="P2623">
        <v>110</v>
      </c>
      <c r="Q2623" t="s">
        <v>5579</v>
      </c>
    </row>
    <row r="2624" spans="1:17" x14ac:dyDescent="0.3">
      <c r="A2624" t="s">
        <v>4729</v>
      </c>
      <c r="B2624" t="str">
        <f>"000913"</f>
        <v>000913</v>
      </c>
      <c r="C2624" t="s">
        <v>5580</v>
      </c>
      <c r="D2624" t="s">
        <v>1656</v>
      </c>
      <c r="F2624">
        <v>2994304667</v>
      </c>
      <c r="G2624">
        <v>2745505222</v>
      </c>
      <c r="H2624">
        <v>2698256416</v>
      </c>
      <c r="I2624">
        <v>2482576329</v>
      </c>
      <c r="J2624">
        <v>2464004220</v>
      </c>
      <c r="K2624">
        <v>2341648817</v>
      </c>
      <c r="L2624">
        <v>2000337850</v>
      </c>
      <c r="M2624">
        <v>2073729804</v>
      </c>
      <c r="N2624">
        <v>2239717191</v>
      </c>
      <c r="O2624">
        <v>2291674457</v>
      </c>
      <c r="P2624">
        <v>176</v>
      </c>
      <c r="Q2624" t="s">
        <v>5581</v>
      </c>
    </row>
    <row r="2625" spans="1:17" x14ac:dyDescent="0.3">
      <c r="A2625" t="s">
        <v>4729</v>
      </c>
      <c r="B2625" t="str">
        <f>"000915"</f>
        <v>000915</v>
      </c>
      <c r="C2625" t="s">
        <v>5582</v>
      </c>
      <c r="D2625" t="s">
        <v>143</v>
      </c>
      <c r="F2625">
        <v>2244689408</v>
      </c>
      <c r="G2625">
        <v>1952595838</v>
      </c>
      <c r="H2625">
        <v>1731138508</v>
      </c>
      <c r="I2625">
        <v>1597914418</v>
      </c>
      <c r="J2625">
        <v>1499444840</v>
      </c>
      <c r="K2625">
        <v>1283989080</v>
      </c>
      <c r="L2625">
        <v>1102046298</v>
      </c>
      <c r="M2625">
        <v>967615702</v>
      </c>
      <c r="N2625">
        <v>768263396</v>
      </c>
      <c r="O2625">
        <v>633255485</v>
      </c>
      <c r="P2625">
        <v>648</v>
      </c>
      <c r="Q2625" t="s">
        <v>5583</v>
      </c>
    </row>
    <row r="2626" spans="1:17" x14ac:dyDescent="0.3">
      <c r="A2626" t="s">
        <v>4729</v>
      </c>
      <c r="B2626" t="str">
        <f>"000916"</f>
        <v>000916</v>
      </c>
      <c r="C2626" t="s">
        <v>5584</v>
      </c>
      <c r="K2626">
        <v>4649141018</v>
      </c>
      <c r="L2626">
        <v>4463609699</v>
      </c>
      <c r="M2626">
        <v>4336634031.1300001</v>
      </c>
      <c r="N2626">
        <v>4105784691.0500002</v>
      </c>
      <c r="O2626">
        <v>3912048489.77</v>
      </c>
      <c r="P2626">
        <v>27</v>
      </c>
      <c r="Q2626" t="s">
        <v>5585</v>
      </c>
    </row>
    <row r="2627" spans="1:17" x14ac:dyDescent="0.3">
      <c r="A2627" t="s">
        <v>4729</v>
      </c>
      <c r="B2627" t="str">
        <f>"000917"</f>
        <v>000917</v>
      </c>
      <c r="C2627" t="s">
        <v>5586</v>
      </c>
      <c r="D2627" t="s">
        <v>95</v>
      </c>
      <c r="F2627">
        <v>10308271558</v>
      </c>
      <c r="G2627">
        <v>10195922878</v>
      </c>
      <c r="H2627">
        <v>11054534288</v>
      </c>
      <c r="I2627">
        <v>10109295669</v>
      </c>
      <c r="J2627">
        <v>9987775409</v>
      </c>
      <c r="K2627">
        <v>10991913801</v>
      </c>
      <c r="L2627">
        <v>10722215531</v>
      </c>
      <c r="M2627">
        <v>9759534990</v>
      </c>
      <c r="N2627">
        <v>9508356657</v>
      </c>
      <c r="O2627">
        <v>4039755952</v>
      </c>
      <c r="P2627">
        <v>267</v>
      </c>
      <c r="Q2627" t="s">
        <v>5587</v>
      </c>
    </row>
    <row r="2628" spans="1:17" x14ac:dyDescent="0.3">
      <c r="A2628" t="s">
        <v>4729</v>
      </c>
      <c r="B2628" t="str">
        <f>"000918"</f>
        <v>000918</v>
      </c>
      <c r="C2628" t="s">
        <v>5588</v>
      </c>
      <c r="D2628" t="s">
        <v>104</v>
      </c>
      <c r="F2628">
        <v>1009343067</v>
      </c>
      <c r="G2628">
        <v>2301766907</v>
      </c>
      <c r="H2628">
        <v>3567341689</v>
      </c>
      <c r="I2628">
        <v>3456475085</v>
      </c>
      <c r="J2628">
        <v>5058976493</v>
      </c>
      <c r="K2628">
        <v>3077998237</v>
      </c>
      <c r="L2628">
        <v>1997143311</v>
      </c>
      <c r="M2628">
        <v>4327784852</v>
      </c>
      <c r="N2628">
        <v>4289693980</v>
      </c>
      <c r="O2628">
        <v>4230620949</v>
      </c>
      <c r="P2628">
        <v>123</v>
      </c>
      <c r="Q2628" t="s">
        <v>5589</v>
      </c>
    </row>
    <row r="2629" spans="1:17" x14ac:dyDescent="0.3">
      <c r="A2629" t="s">
        <v>4729</v>
      </c>
      <c r="B2629" t="str">
        <f>"000919"</f>
        <v>000919</v>
      </c>
      <c r="C2629" t="s">
        <v>5590</v>
      </c>
      <c r="D2629" t="s">
        <v>188</v>
      </c>
      <c r="F2629">
        <v>2927728886</v>
      </c>
      <c r="G2629">
        <v>2857463167</v>
      </c>
      <c r="H2629">
        <v>2878006671</v>
      </c>
      <c r="I2629">
        <v>2736819527</v>
      </c>
      <c r="J2629">
        <v>2586740106</v>
      </c>
      <c r="K2629">
        <v>2539216118</v>
      </c>
      <c r="L2629">
        <v>2444121475</v>
      </c>
      <c r="M2629">
        <v>2320642965</v>
      </c>
      <c r="N2629">
        <v>2202175580</v>
      </c>
      <c r="O2629">
        <v>2122330288</v>
      </c>
      <c r="P2629">
        <v>179</v>
      </c>
      <c r="Q2629" t="s">
        <v>5591</v>
      </c>
    </row>
    <row r="2630" spans="1:17" x14ac:dyDescent="0.3">
      <c r="A2630" t="s">
        <v>4729</v>
      </c>
      <c r="B2630" t="str">
        <f>"000920"</f>
        <v>000920</v>
      </c>
      <c r="C2630" t="s">
        <v>5592</v>
      </c>
      <c r="D2630" t="s">
        <v>33</v>
      </c>
      <c r="F2630">
        <v>1276392407</v>
      </c>
      <c r="G2630">
        <v>1217026315</v>
      </c>
      <c r="H2630">
        <v>1094853475</v>
      </c>
      <c r="I2630">
        <v>859680865</v>
      </c>
      <c r="J2630">
        <v>847589422</v>
      </c>
      <c r="K2630">
        <v>784092851</v>
      </c>
      <c r="L2630">
        <v>907877242</v>
      </c>
      <c r="M2630">
        <v>946251067</v>
      </c>
      <c r="N2630">
        <v>1080476928</v>
      </c>
      <c r="O2630">
        <v>1000027497</v>
      </c>
      <c r="P2630">
        <v>122</v>
      </c>
      <c r="Q2630" t="s">
        <v>5593</v>
      </c>
    </row>
    <row r="2631" spans="1:17" x14ac:dyDescent="0.3">
      <c r="A2631" t="s">
        <v>4729</v>
      </c>
      <c r="B2631" t="str">
        <f>"000921"</f>
        <v>000921</v>
      </c>
      <c r="C2631" t="s">
        <v>5594</v>
      </c>
      <c r="D2631" t="s">
        <v>1727</v>
      </c>
      <c r="F2631">
        <v>10342355185</v>
      </c>
      <c r="G2631">
        <v>9779115580</v>
      </c>
      <c r="H2631">
        <v>8721593733</v>
      </c>
      <c r="I2631">
        <v>7351824365</v>
      </c>
      <c r="J2631">
        <v>6445303674</v>
      </c>
      <c r="K2631">
        <v>4867466177</v>
      </c>
      <c r="L2631">
        <v>4044017698</v>
      </c>
      <c r="M2631">
        <v>3458363028</v>
      </c>
      <c r="N2631">
        <v>2748731081</v>
      </c>
      <c r="O2631">
        <v>1512042166</v>
      </c>
      <c r="P2631">
        <v>13182</v>
      </c>
      <c r="Q2631" t="s">
        <v>5595</v>
      </c>
    </row>
    <row r="2632" spans="1:17" x14ac:dyDescent="0.3">
      <c r="A2632" t="s">
        <v>4729</v>
      </c>
      <c r="B2632" t="str">
        <f>"000922"</f>
        <v>000922</v>
      </c>
      <c r="C2632" t="s">
        <v>5596</v>
      </c>
      <c r="D2632" t="s">
        <v>1171</v>
      </c>
      <c r="F2632">
        <v>2686787452</v>
      </c>
      <c r="G2632">
        <v>2556095407</v>
      </c>
      <c r="H2632">
        <v>2180071083</v>
      </c>
      <c r="I2632">
        <v>1832768940</v>
      </c>
      <c r="J2632">
        <v>1554079872</v>
      </c>
      <c r="K2632">
        <v>1433577735</v>
      </c>
      <c r="L2632">
        <v>1870246178</v>
      </c>
      <c r="M2632">
        <v>2118836314</v>
      </c>
      <c r="N2632">
        <v>1388324604</v>
      </c>
      <c r="O2632">
        <v>1385722345</v>
      </c>
      <c r="P2632">
        <v>261</v>
      </c>
      <c r="Q2632" t="s">
        <v>5597</v>
      </c>
    </row>
    <row r="2633" spans="1:17" x14ac:dyDescent="0.3">
      <c r="A2633" t="s">
        <v>4729</v>
      </c>
      <c r="B2633" t="str">
        <f>"000923"</f>
        <v>000923</v>
      </c>
      <c r="C2633" t="s">
        <v>5598</v>
      </c>
      <c r="D2633" t="s">
        <v>2376</v>
      </c>
      <c r="F2633">
        <v>8045480772</v>
      </c>
      <c r="G2633">
        <v>7424882165</v>
      </c>
      <c r="H2633">
        <v>7189412164</v>
      </c>
      <c r="I2633">
        <v>6354098889</v>
      </c>
      <c r="J2633">
        <v>6557727711</v>
      </c>
      <c r="K2633">
        <v>407944086</v>
      </c>
      <c r="L2633">
        <v>421212026</v>
      </c>
      <c r="M2633">
        <v>449425831</v>
      </c>
      <c r="N2633">
        <v>522526385</v>
      </c>
      <c r="O2633">
        <v>597146727</v>
      </c>
      <c r="P2633">
        <v>224</v>
      </c>
      <c r="Q2633" t="s">
        <v>5599</v>
      </c>
    </row>
    <row r="2634" spans="1:17" x14ac:dyDescent="0.3">
      <c r="A2634" t="s">
        <v>4729</v>
      </c>
      <c r="B2634" t="str">
        <f>"000925"</f>
        <v>000925</v>
      </c>
      <c r="C2634" t="s">
        <v>5600</v>
      </c>
      <c r="D2634" t="s">
        <v>1012</v>
      </c>
      <c r="F2634">
        <v>2673653631</v>
      </c>
      <c r="G2634">
        <v>2455140360</v>
      </c>
      <c r="H2634">
        <v>2433768842</v>
      </c>
      <c r="I2634">
        <v>2341790984</v>
      </c>
      <c r="J2634">
        <v>2304299683</v>
      </c>
      <c r="K2634">
        <v>1119117690</v>
      </c>
      <c r="L2634">
        <v>1218182053</v>
      </c>
      <c r="M2634">
        <v>928374451</v>
      </c>
      <c r="N2634">
        <v>963649421</v>
      </c>
      <c r="O2634">
        <v>1060731255</v>
      </c>
      <c r="P2634">
        <v>188</v>
      </c>
      <c r="Q2634" t="s">
        <v>5601</v>
      </c>
    </row>
    <row r="2635" spans="1:17" x14ac:dyDescent="0.3">
      <c r="A2635" t="s">
        <v>4729</v>
      </c>
      <c r="B2635" t="str">
        <f>"000926"</f>
        <v>000926</v>
      </c>
      <c r="C2635" t="s">
        <v>5602</v>
      </c>
      <c r="D2635" t="s">
        <v>104</v>
      </c>
      <c r="F2635">
        <v>11198804867</v>
      </c>
      <c r="G2635">
        <v>11090061602</v>
      </c>
      <c r="H2635">
        <v>11173516746</v>
      </c>
      <c r="I2635">
        <v>10927301263</v>
      </c>
      <c r="J2635">
        <v>10272625091</v>
      </c>
      <c r="K2635">
        <v>9678934907</v>
      </c>
      <c r="L2635">
        <v>9014975933</v>
      </c>
      <c r="M2635">
        <v>6932115311</v>
      </c>
      <c r="N2635">
        <v>6775914062</v>
      </c>
      <c r="O2635">
        <v>5763641391</v>
      </c>
      <c r="P2635">
        <v>239</v>
      </c>
      <c r="Q2635" t="s">
        <v>5603</v>
      </c>
    </row>
    <row r="2636" spans="1:17" x14ac:dyDescent="0.3">
      <c r="A2636" t="s">
        <v>4729</v>
      </c>
      <c r="B2636" t="str">
        <f>"000927"</f>
        <v>000927</v>
      </c>
      <c r="C2636" t="s">
        <v>5604</v>
      </c>
      <c r="D2636" t="s">
        <v>247</v>
      </c>
      <c r="F2636">
        <v>7720779303</v>
      </c>
      <c r="G2636">
        <v>6666445549</v>
      </c>
      <c r="H2636">
        <v>-1386728617</v>
      </c>
      <c r="I2636">
        <v>93341702</v>
      </c>
      <c r="J2636">
        <v>57985414</v>
      </c>
      <c r="K2636">
        <v>1698094956</v>
      </c>
      <c r="L2636">
        <v>1535665672</v>
      </c>
      <c r="M2636">
        <v>1517411819</v>
      </c>
      <c r="N2636">
        <v>3176081767</v>
      </c>
      <c r="O2636">
        <v>3669504793</v>
      </c>
      <c r="P2636">
        <v>131</v>
      </c>
      <c r="Q2636" t="s">
        <v>5605</v>
      </c>
    </row>
    <row r="2637" spans="1:17" x14ac:dyDescent="0.3">
      <c r="A2637" t="s">
        <v>4729</v>
      </c>
      <c r="B2637" t="str">
        <f>"000928"</f>
        <v>000928</v>
      </c>
      <c r="C2637" t="s">
        <v>5606</v>
      </c>
      <c r="D2637" t="s">
        <v>1893</v>
      </c>
      <c r="F2637">
        <v>6115215547</v>
      </c>
      <c r="G2637">
        <v>5641369451</v>
      </c>
      <c r="H2637">
        <v>5153370600</v>
      </c>
      <c r="I2637">
        <v>4533549544</v>
      </c>
      <c r="J2637">
        <v>4596719669</v>
      </c>
      <c r="K2637">
        <v>4199708524</v>
      </c>
      <c r="L2637">
        <v>2832436044</v>
      </c>
      <c r="M2637">
        <v>2367418100</v>
      </c>
      <c r="N2637">
        <v>372853920</v>
      </c>
      <c r="O2637">
        <v>801131506</v>
      </c>
      <c r="P2637">
        <v>271</v>
      </c>
      <c r="Q2637" t="s">
        <v>5607</v>
      </c>
    </row>
    <row r="2638" spans="1:17" x14ac:dyDescent="0.3">
      <c r="A2638" t="s">
        <v>4729</v>
      </c>
      <c r="B2638" t="str">
        <f>"000929"</f>
        <v>000929</v>
      </c>
      <c r="C2638" t="s">
        <v>5608</v>
      </c>
      <c r="D2638" t="s">
        <v>319</v>
      </c>
      <c r="F2638">
        <v>670485964</v>
      </c>
      <c r="G2638">
        <v>651372032</v>
      </c>
      <c r="H2638">
        <v>681257704</v>
      </c>
      <c r="I2638">
        <v>665625410</v>
      </c>
      <c r="J2638">
        <v>733175787</v>
      </c>
      <c r="K2638">
        <v>729200334</v>
      </c>
      <c r="L2638">
        <v>754293967</v>
      </c>
      <c r="M2638">
        <v>685472393</v>
      </c>
      <c r="N2638">
        <v>613142113</v>
      </c>
      <c r="O2638">
        <v>588256095</v>
      </c>
      <c r="P2638">
        <v>144</v>
      </c>
      <c r="Q2638" t="s">
        <v>5609</v>
      </c>
    </row>
    <row r="2639" spans="1:17" x14ac:dyDescent="0.3">
      <c r="A2639" t="s">
        <v>4729</v>
      </c>
      <c r="B2639" t="str">
        <f>"000930"</f>
        <v>000930</v>
      </c>
      <c r="C2639" t="s">
        <v>5610</v>
      </c>
      <c r="D2639" t="s">
        <v>445</v>
      </c>
      <c r="F2639">
        <v>11397350949</v>
      </c>
      <c r="G2639">
        <v>10393677844</v>
      </c>
      <c r="H2639">
        <v>9827441512</v>
      </c>
      <c r="I2639">
        <v>9226089518</v>
      </c>
      <c r="J2639">
        <v>1803788224</v>
      </c>
      <c r="K2639">
        <v>1560897206</v>
      </c>
      <c r="L2639">
        <v>1435587364</v>
      </c>
      <c r="M2639">
        <v>2888896589</v>
      </c>
      <c r="N2639">
        <v>2872236760</v>
      </c>
      <c r="O2639">
        <v>2897385930</v>
      </c>
      <c r="P2639">
        <v>378</v>
      </c>
      <c r="Q2639" t="s">
        <v>5611</v>
      </c>
    </row>
    <row r="2640" spans="1:17" x14ac:dyDescent="0.3">
      <c r="A2640" t="s">
        <v>4729</v>
      </c>
      <c r="B2640" t="str">
        <f>"000931"</f>
        <v>000931</v>
      </c>
      <c r="C2640" t="s">
        <v>5612</v>
      </c>
      <c r="D2640" t="s">
        <v>143</v>
      </c>
      <c r="F2640">
        <v>1585469489</v>
      </c>
      <c r="G2640">
        <v>1699471784</v>
      </c>
      <c r="H2640">
        <v>1671472017</v>
      </c>
      <c r="I2640">
        <v>1688994596</v>
      </c>
      <c r="J2640">
        <v>1593509745</v>
      </c>
      <c r="K2640">
        <v>881674291</v>
      </c>
      <c r="L2640">
        <v>790728729</v>
      </c>
      <c r="M2640">
        <v>628212283</v>
      </c>
      <c r="N2640">
        <v>563177946</v>
      </c>
      <c r="O2640">
        <v>761131513</v>
      </c>
      <c r="P2640">
        <v>142</v>
      </c>
      <c r="Q2640" t="s">
        <v>5613</v>
      </c>
    </row>
    <row r="2641" spans="1:17" x14ac:dyDescent="0.3">
      <c r="A2641" t="s">
        <v>4729</v>
      </c>
      <c r="B2641" t="str">
        <f>"000932"</f>
        <v>000932</v>
      </c>
      <c r="C2641" t="s">
        <v>5614</v>
      </c>
      <c r="D2641" t="s">
        <v>38</v>
      </c>
      <c r="F2641">
        <v>45409684593</v>
      </c>
      <c r="G2641">
        <v>33103031540</v>
      </c>
      <c r="H2641">
        <v>28219963725</v>
      </c>
      <c r="I2641">
        <v>17532619711</v>
      </c>
      <c r="J2641">
        <v>10347894265</v>
      </c>
      <c r="K2641">
        <v>6239220209</v>
      </c>
      <c r="L2641">
        <v>7275783202</v>
      </c>
      <c r="M2641">
        <v>10222316998</v>
      </c>
      <c r="N2641">
        <v>10122502325</v>
      </c>
      <c r="O2641">
        <v>9989379638</v>
      </c>
      <c r="P2641">
        <v>1039</v>
      </c>
      <c r="Q2641" t="s">
        <v>5615</v>
      </c>
    </row>
    <row r="2642" spans="1:17" x14ac:dyDescent="0.3">
      <c r="A2642" t="s">
        <v>4729</v>
      </c>
      <c r="B2642" t="str">
        <f>"000933"</f>
        <v>000933</v>
      </c>
      <c r="C2642" t="s">
        <v>5616</v>
      </c>
      <c r="D2642" t="s">
        <v>504</v>
      </c>
      <c r="F2642">
        <v>9365204973</v>
      </c>
      <c r="G2642">
        <v>6982059601</v>
      </c>
      <c r="H2642">
        <v>7781748778</v>
      </c>
      <c r="I2642">
        <v>6087639972</v>
      </c>
      <c r="J2642">
        <v>5912287147</v>
      </c>
      <c r="K2642">
        <v>5665896797</v>
      </c>
      <c r="L2642">
        <v>5263838751</v>
      </c>
      <c r="M2642">
        <v>6864733374</v>
      </c>
      <c r="N2642">
        <v>7576634874</v>
      </c>
      <c r="O2642">
        <v>7383991019</v>
      </c>
      <c r="P2642">
        <v>461</v>
      </c>
      <c r="Q2642" t="s">
        <v>5617</v>
      </c>
    </row>
    <row r="2643" spans="1:17" x14ac:dyDescent="0.3">
      <c r="A2643" t="s">
        <v>4729</v>
      </c>
      <c r="B2643" t="str">
        <f>"000935"</f>
        <v>000935</v>
      </c>
      <c r="C2643" t="s">
        <v>5618</v>
      </c>
      <c r="D2643" t="s">
        <v>731</v>
      </c>
      <c r="F2643">
        <v>5916633601</v>
      </c>
      <c r="G2643">
        <v>5062076474</v>
      </c>
      <c r="H2643">
        <v>4209134722</v>
      </c>
      <c r="I2643">
        <v>3482640930</v>
      </c>
      <c r="J2643">
        <v>2920584889</v>
      </c>
      <c r="K2643">
        <v>2716362406</v>
      </c>
      <c r="L2643">
        <v>2631823472</v>
      </c>
      <c r="M2643">
        <v>2044658109</v>
      </c>
      <c r="N2643">
        <v>2011714139</v>
      </c>
      <c r="O2643">
        <v>1943252588</v>
      </c>
      <c r="P2643">
        <v>230</v>
      </c>
      <c r="Q2643" t="s">
        <v>5619</v>
      </c>
    </row>
    <row r="2644" spans="1:17" x14ac:dyDescent="0.3">
      <c r="A2644" t="s">
        <v>4729</v>
      </c>
      <c r="B2644" t="str">
        <f>"000936"</f>
        <v>000936</v>
      </c>
      <c r="C2644" t="s">
        <v>5620</v>
      </c>
      <c r="D2644" t="s">
        <v>2731</v>
      </c>
      <c r="F2644">
        <v>5006443695</v>
      </c>
      <c r="G2644">
        <v>4702935120</v>
      </c>
      <c r="H2644">
        <v>5122218201</v>
      </c>
      <c r="I2644">
        <v>4594144294</v>
      </c>
      <c r="J2644">
        <v>4520089822</v>
      </c>
      <c r="K2644">
        <v>4868897419</v>
      </c>
      <c r="L2644">
        <v>2756898948</v>
      </c>
      <c r="M2644">
        <v>2205074156</v>
      </c>
      <c r="N2644">
        <v>1823312025</v>
      </c>
      <c r="O2644">
        <v>1850685730</v>
      </c>
      <c r="P2644">
        <v>226</v>
      </c>
      <c r="Q2644" t="s">
        <v>5621</v>
      </c>
    </row>
    <row r="2645" spans="1:17" x14ac:dyDescent="0.3">
      <c r="A2645" t="s">
        <v>4729</v>
      </c>
      <c r="B2645" t="str">
        <f>"000937"</f>
        <v>000937</v>
      </c>
      <c r="C2645" t="s">
        <v>5622</v>
      </c>
      <c r="D2645" t="s">
        <v>298</v>
      </c>
      <c r="F2645">
        <v>20817599356</v>
      </c>
      <c r="G2645">
        <v>19577080079</v>
      </c>
      <c r="H2645">
        <v>20441879672</v>
      </c>
      <c r="I2645">
        <v>19898113624</v>
      </c>
      <c r="J2645">
        <v>19293868327</v>
      </c>
      <c r="K2645">
        <v>18574368712</v>
      </c>
      <c r="L2645">
        <v>18357311675</v>
      </c>
      <c r="M2645">
        <v>18368568805</v>
      </c>
      <c r="N2645">
        <v>15455409750</v>
      </c>
      <c r="O2645">
        <v>14968861189</v>
      </c>
      <c r="P2645">
        <v>350</v>
      </c>
      <c r="Q2645" t="s">
        <v>5623</v>
      </c>
    </row>
    <row r="2646" spans="1:17" x14ac:dyDescent="0.3">
      <c r="A2646" t="s">
        <v>4729</v>
      </c>
      <c r="B2646" t="str">
        <f>"000938"</f>
        <v>000938</v>
      </c>
      <c r="C2646" t="s">
        <v>5624</v>
      </c>
      <c r="D2646" t="s">
        <v>316</v>
      </c>
      <c r="F2646">
        <v>29960679719</v>
      </c>
      <c r="G2646">
        <v>29744917886</v>
      </c>
      <c r="H2646">
        <v>28182549505</v>
      </c>
      <c r="I2646">
        <v>26559689940</v>
      </c>
      <c r="J2646">
        <v>25147171073</v>
      </c>
      <c r="K2646">
        <v>23804642288</v>
      </c>
      <c r="L2646">
        <v>2384515049</v>
      </c>
      <c r="M2646">
        <v>1779412460</v>
      </c>
      <c r="N2646">
        <v>1021024887</v>
      </c>
      <c r="O2646">
        <v>944783934</v>
      </c>
      <c r="P2646">
        <v>3894</v>
      </c>
      <c r="Q2646" t="s">
        <v>5625</v>
      </c>
    </row>
    <row r="2647" spans="1:17" x14ac:dyDescent="0.3">
      <c r="A2647" t="s">
        <v>4729</v>
      </c>
      <c r="B2647" t="str">
        <f>"000939"</f>
        <v>000939</v>
      </c>
      <c r="C2647" t="s">
        <v>5626</v>
      </c>
      <c r="H2647">
        <v>-2507742119</v>
      </c>
      <c r="I2647">
        <v>2166208642</v>
      </c>
      <c r="J2647">
        <v>8934117687</v>
      </c>
      <c r="K2647">
        <v>11864931627</v>
      </c>
      <c r="L2647">
        <v>7377262993</v>
      </c>
      <c r="M2647">
        <v>2773850304</v>
      </c>
      <c r="N2647">
        <v>2505488035</v>
      </c>
      <c r="O2647">
        <v>2410395774</v>
      </c>
      <c r="P2647">
        <v>61</v>
      </c>
      <c r="Q2647" t="s">
        <v>5627</v>
      </c>
    </row>
    <row r="2648" spans="1:17" x14ac:dyDescent="0.3">
      <c r="A2648" t="s">
        <v>4729</v>
      </c>
      <c r="B2648" t="str">
        <f>"000948"</f>
        <v>000948</v>
      </c>
      <c r="C2648" t="s">
        <v>5628</v>
      </c>
      <c r="D2648" t="s">
        <v>945</v>
      </c>
      <c r="F2648">
        <v>2336503444</v>
      </c>
      <c r="G2648">
        <v>2267714857</v>
      </c>
      <c r="H2648">
        <v>1558301274</v>
      </c>
      <c r="I2648">
        <v>1515040308</v>
      </c>
      <c r="J2648">
        <v>1456485454</v>
      </c>
      <c r="K2648">
        <v>1446492694</v>
      </c>
      <c r="L2648">
        <v>1428055158</v>
      </c>
      <c r="M2648">
        <v>1416879359</v>
      </c>
      <c r="N2648">
        <v>1405263535</v>
      </c>
      <c r="O2648">
        <v>1292467704</v>
      </c>
      <c r="P2648">
        <v>213</v>
      </c>
      <c r="Q2648" t="s">
        <v>5629</v>
      </c>
    </row>
    <row r="2649" spans="1:17" x14ac:dyDescent="0.3">
      <c r="A2649" t="s">
        <v>4729</v>
      </c>
      <c r="B2649" t="str">
        <f>"000949"</f>
        <v>000949</v>
      </c>
      <c r="C2649" t="s">
        <v>5630</v>
      </c>
      <c r="D2649" t="s">
        <v>5631</v>
      </c>
      <c r="F2649">
        <v>6202727944</v>
      </c>
      <c r="G2649">
        <v>3847920757</v>
      </c>
      <c r="H2649">
        <v>3776911965</v>
      </c>
      <c r="I2649">
        <v>3660366193</v>
      </c>
      <c r="J2649">
        <v>3559937560</v>
      </c>
      <c r="K2649">
        <v>3567393797</v>
      </c>
      <c r="L2649">
        <v>2510691646</v>
      </c>
      <c r="M2649">
        <v>2403200382</v>
      </c>
      <c r="N2649">
        <v>1732289635</v>
      </c>
      <c r="O2649">
        <v>1701970531</v>
      </c>
      <c r="P2649">
        <v>157</v>
      </c>
      <c r="Q2649" t="s">
        <v>5632</v>
      </c>
    </row>
    <row r="2650" spans="1:17" x14ac:dyDescent="0.3">
      <c r="A2650" t="s">
        <v>4729</v>
      </c>
      <c r="B2650" t="str">
        <f>"000950"</f>
        <v>000950</v>
      </c>
      <c r="C2650" t="s">
        <v>5633</v>
      </c>
      <c r="D2650" t="s">
        <v>125</v>
      </c>
      <c r="F2650">
        <v>9820972465</v>
      </c>
      <c r="G2650">
        <v>8835705297</v>
      </c>
      <c r="H2650">
        <v>8065374974</v>
      </c>
      <c r="I2650">
        <v>7319684704</v>
      </c>
      <c r="J2650">
        <v>6717581561</v>
      </c>
      <c r="K2650">
        <v>1037843591</v>
      </c>
      <c r="L2650">
        <v>1705742505</v>
      </c>
      <c r="M2650">
        <v>2067598371</v>
      </c>
      <c r="N2650">
        <v>2431327773</v>
      </c>
      <c r="O2650">
        <v>2424080666</v>
      </c>
      <c r="P2650">
        <v>145</v>
      </c>
      <c r="Q2650" t="s">
        <v>5634</v>
      </c>
    </row>
    <row r="2651" spans="1:17" x14ac:dyDescent="0.3">
      <c r="A2651" t="s">
        <v>4729</v>
      </c>
      <c r="B2651" t="str">
        <f>"000951"</f>
        <v>000951</v>
      </c>
      <c r="C2651" t="s">
        <v>5635</v>
      </c>
      <c r="D2651" t="s">
        <v>27</v>
      </c>
      <c r="F2651">
        <v>13911994094</v>
      </c>
      <c r="G2651">
        <v>8390231169</v>
      </c>
      <c r="H2651">
        <v>6989193249</v>
      </c>
      <c r="I2651">
        <v>6072498404</v>
      </c>
      <c r="J2651">
        <v>5634810266</v>
      </c>
      <c r="K2651">
        <v>4891820170</v>
      </c>
      <c r="L2651">
        <v>4557616357</v>
      </c>
      <c r="M2651">
        <v>4405234086</v>
      </c>
      <c r="N2651">
        <v>4087177452</v>
      </c>
      <c r="O2651">
        <v>3719130604</v>
      </c>
      <c r="P2651">
        <v>856</v>
      </c>
      <c r="Q2651" t="s">
        <v>5636</v>
      </c>
    </row>
    <row r="2652" spans="1:17" x14ac:dyDescent="0.3">
      <c r="A2652" t="s">
        <v>4729</v>
      </c>
      <c r="B2652" t="str">
        <f>"000952"</f>
        <v>000952</v>
      </c>
      <c r="C2652" t="s">
        <v>5637</v>
      </c>
      <c r="D2652" t="s">
        <v>496</v>
      </c>
      <c r="F2652">
        <v>1462474773</v>
      </c>
      <c r="G2652">
        <v>1373075553</v>
      </c>
      <c r="H2652">
        <v>960377290</v>
      </c>
      <c r="I2652">
        <v>873278329</v>
      </c>
      <c r="J2652">
        <v>759236775</v>
      </c>
      <c r="K2652">
        <v>654025179</v>
      </c>
      <c r="L2652">
        <v>512185946</v>
      </c>
      <c r="M2652">
        <v>498165995</v>
      </c>
      <c r="N2652">
        <v>716896738</v>
      </c>
      <c r="O2652">
        <v>718949975</v>
      </c>
      <c r="P2652">
        <v>169</v>
      </c>
      <c r="Q2652" t="s">
        <v>5638</v>
      </c>
    </row>
    <row r="2653" spans="1:17" x14ac:dyDescent="0.3">
      <c r="A2653" t="s">
        <v>4729</v>
      </c>
      <c r="B2653" t="str">
        <f>"000953"</f>
        <v>000953</v>
      </c>
      <c r="C2653" t="s">
        <v>5639</v>
      </c>
      <c r="D2653" t="s">
        <v>909</v>
      </c>
      <c r="F2653">
        <v>177419002</v>
      </c>
      <c r="G2653">
        <v>166990252</v>
      </c>
      <c r="H2653">
        <v>23429825</v>
      </c>
      <c r="I2653">
        <v>-249803736</v>
      </c>
      <c r="J2653">
        <v>23301440</v>
      </c>
      <c r="K2653">
        <v>-89098185</v>
      </c>
      <c r="L2653">
        <v>108231031</v>
      </c>
      <c r="M2653">
        <v>239625551</v>
      </c>
      <c r="N2653">
        <v>541536667</v>
      </c>
      <c r="O2653">
        <v>684234873</v>
      </c>
      <c r="P2653">
        <v>90</v>
      </c>
      <c r="Q2653" t="s">
        <v>5640</v>
      </c>
    </row>
    <row r="2654" spans="1:17" x14ac:dyDescent="0.3">
      <c r="A2654" t="s">
        <v>4729</v>
      </c>
      <c r="B2654" t="str">
        <f>"000955"</f>
        <v>000955</v>
      </c>
      <c r="C2654" t="s">
        <v>5641</v>
      </c>
      <c r="D2654" t="s">
        <v>366</v>
      </c>
      <c r="F2654">
        <v>813883262</v>
      </c>
      <c r="G2654">
        <v>804003711</v>
      </c>
      <c r="H2654">
        <v>613923846</v>
      </c>
      <c r="I2654">
        <v>615276725</v>
      </c>
      <c r="J2654">
        <v>724009102</v>
      </c>
      <c r="K2654">
        <v>716883329</v>
      </c>
      <c r="L2654">
        <v>620083479</v>
      </c>
      <c r="M2654">
        <v>677527630</v>
      </c>
      <c r="N2654">
        <v>672653823</v>
      </c>
      <c r="O2654">
        <v>726168166</v>
      </c>
      <c r="P2654">
        <v>241</v>
      </c>
      <c r="Q2654" t="s">
        <v>5642</v>
      </c>
    </row>
    <row r="2655" spans="1:17" x14ac:dyDescent="0.3">
      <c r="A2655" t="s">
        <v>4729</v>
      </c>
      <c r="B2655" t="str">
        <f>"000957"</f>
        <v>000957</v>
      </c>
      <c r="C2655" t="s">
        <v>5643</v>
      </c>
      <c r="D2655" t="s">
        <v>153</v>
      </c>
      <c r="F2655">
        <v>2559162118</v>
      </c>
      <c r="G2655">
        <v>2771537149</v>
      </c>
      <c r="H2655">
        <v>2738757814</v>
      </c>
      <c r="I2655">
        <v>2711101921</v>
      </c>
      <c r="J2655">
        <v>2784816823</v>
      </c>
      <c r="K2655">
        <v>2585111920</v>
      </c>
      <c r="L2655">
        <v>2136776389</v>
      </c>
      <c r="M2655">
        <v>1063590596</v>
      </c>
      <c r="N2655">
        <v>797578213</v>
      </c>
      <c r="O2655">
        <v>687294815</v>
      </c>
      <c r="P2655">
        <v>227</v>
      </c>
      <c r="Q2655" t="s">
        <v>5644</v>
      </c>
    </row>
    <row r="2656" spans="1:17" x14ac:dyDescent="0.3">
      <c r="A2656" t="s">
        <v>4729</v>
      </c>
      <c r="B2656" t="str">
        <f>"000958"</f>
        <v>000958</v>
      </c>
      <c r="C2656" t="s">
        <v>5645</v>
      </c>
      <c r="D2656" t="s">
        <v>41</v>
      </c>
      <c r="F2656">
        <v>17559608008</v>
      </c>
      <c r="G2656">
        <v>16612833441</v>
      </c>
      <c r="H2656">
        <v>15349968366</v>
      </c>
      <c r="I2656">
        <v>2637419941</v>
      </c>
      <c r="J2656">
        <v>2607150824</v>
      </c>
      <c r="K2656">
        <v>2595565882</v>
      </c>
      <c r="L2656">
        <v>2325231799</v>
      </c>
      <c r="M2656">
        <v>852227998</v>
      </c>
      <c r="N2656">
        <v>712187767</v>
      </c>
      <c r="O2656">
        <v>-752447212</v>
      </c>
      <c r="P2656">
        <v>162</v>
      </c>
      <c r="Q2656" t="s">
        <v>5646</v>
      </c>
    </row>
    <row r="2657" spans="1:17" x14ac:dyDescent="0.3">
      <c r="A2657" t="s">
        <v>4729</v>
      </c>
      <c r="B2657" t="str">
        <f>"000959"</f>
        <v>000959</v>
      </c>
      <c r="C2657" t="s">
        <v>5647</v>
      </c>
      <c r="D2657" t="s">
        <v>38</v>
      </c>
      <c r="F2657">
        <v>41827745396</v>
      </c>
      <c r="G2657">
        <v>28959395268</v>
      </c>
      <c r="H2657">
        <v>27028680992</v>
      </c>
      <c r="I2657">
        <v>25347851871</v>
      </c>
      <c r="J2657">
        <v>26419676048</v>
      </c>
      <c r="K2657">
        <v>24381433035</v>
      </c>
      <c r="L2657">
        <v>23306396502</v>
      </c>
      <c r="M2657">
        <v>23548992931</v>
      </c>
      <c r="N2657">
        <v>7114276726</v>
      </c>
      <c r="O2657">
        <v>7344005572</v>
      </c>
      <c r="P2657">
        <v>254</v>
      </c>
      <c r="Q2657" t="s">
        <v>5648</v>
      </c>
    </row>
    <row r="2658" spans="1:17" x14ac:dyDescent="0.3">
      <c r="A2658" t="s">
        <v>4729</v>
      </c>
      <c r="B2658" t="str">
        <f>"000960"</f>
        <v>000960</v>
      </c>
      <c r="C2658" t="s">
        <v>5649</v>
      </c>
      <c r="D2658" t="s">
        <v>636</v>
      </c>
      <c r="F2658">
        <v>15518768350</v>
      </c>
      <c r="G2658">
        <v>12936184504</v>
      </c>
      <c r="H2658">
        <v>12402908827</v>
      </c>
      <c r="I2658">
        <v>11952252872</v>
      </c>
      <c r="J2658">
        <v>10955967760</v>
      </c>
      <c r="K2658">
        <v>7871832579</v>
      </c>
      <c r="L2658">
        <v>7696665835</v>
      </c>
      <c r="M2658">
        <v>7071477779</v>
      </c>
      <c r="N2658">
        <v>7056232358</v>
      </c>
      <c r="O2658">
        <v>5126704867</v>
      </c>
      <c r="P2658">
        <v>356</v>
      </c>
      <c r="Q2658" t="s">
        <v>5650</v>
      </c>
    </row>
    <row r="2659" spans="1:17" x14ac:dyDescent="0.3">
      <c r="A2659" t="s">
        <v>4729</v>
      </c>
      <c r="B2659" t="str">
        <f>"000961"</f>
        <v>000961</v>
      </c>
      <c r="C2659" t="s">
        <v>5651</v>
      </c>
      <c r="D2659" t="s">
        <v>104</v>
      </c>
      <c r="F2659">
        <v>23414520576</v>
      </c>
      <c r="G2659">
        <v>28701111622</v>
      </c>
      <c r="H2659">
        <v>21439260716</v>
      </c>
      <c r="I2659">
        <v>17398333534</v>
      </c>
      <c r="J2659">
        <v>14052410749</v>
      </c>
      <c r="K2659">
        <v>13488839603</v>
      </c>
      <c r="L2659">
        <v>9038707967</v>
      </c>
      <c r="M2659">
        <v>8816235779</v>
      </c>
      <c r="N2659">
        <v>7736538227</v>
      </c>
      <c r="O2659">
        <v>6473554550</v>
      </c>
      <c r="P2659">
        <v>898</v>
      </c>
      <c r="Q2659" t="s">
        <v>5652</v>
      </c>
    </row>
    <row r="2660" spans="1:17" x14ac:dyDescent="0.3">
      <c r="A2660" t="s">
        <v>4729</v>
      </c>
      <c r="B2660" t="str">
        <f>"000962"</f>
        <v>000962</v>
      </c>
      <c r="C2660" t="s">
        <v>5653</v>
      </c>
      <c r="D2660" t="s">
        <v>636</v>
      </c>
      <c r="F2660">
        <v>1301919803</v>
      </c>
      <c r="G2660">
        <v>1214455406</v>
      </c>
      <c r="H2660">
        <v>1168234016</v>
      </c>
      <c r="I2660">
        <v>1129129889</v>
      </c>
      <c r="J2660">
        <v>1105457318</v>
      </c>
      <c r="K2660">
        <v>1484726788</v>
      </c>
      <c r="L2660">
        <v>1451700634</v>
      </c>
      <c r="M2660">
        <v>2084594648</v>
      </c>
      <c r="N2660">
        <v>2433898638</v>
      </c>
      <c r="O2660">
        <v>2446710808</v>
      </c>
      <c r="P2660">
        <v>131</v>
      </c>
      <c r="Q2660" t="s">
        <v>5654</v>
      </c>
    </row>
    <row r="2661" spans="1:17" x14ac:dyDescent="0.3">
      <c r="A2661" t="s">
        <v>4729</v>
      </c>
      <c r="B2661" t="str">
        <f>"000963"</f>
        <v>000963</v>
      </c>
      <c r="C2661" t="s">
        <v>5655</v>
      </c>
      <c r="D2661" t="s">
        <v>143</v>
      </c>
      <c r="F2661">
        <v>16579374323</v>
      </c>
      <c r="G2661">
        <v>14619821309</v>
      </c>
      <c r="H2661">
        <v>12309477308</v>
      </c>
      <c r="I2661">
        <v>9938148997</v>
      </c>
      <c r="J2661">
        <v>8393269797</v>
      </c>
      <c r="K2661">
        <v>7278523919</v>
      </c>
      <c r="L2661">
        <v>2971056993</v>
      </c>
      <c r="M2661">
        <v>2267014996</v>
      </c>
      <c r="N2661">
        <v>2573319548</v>
      </c>
      <c r="O2661">
        <v>1998742519</v>
      </c>
      <c r="P2661">
        <v>59262</v>
      </c>
      <c r="Q2661" t="s">
        <v>5656</v>
      </c>
    </row>
    <row r="2662" spans="1:17" x14ac:dyDescent="0.3">
      <c r="A2662" t="s">
        <v>4729</v>
      </c>
      <c r="B2662" t="str">
        <f>"000965"</f>
        <v>000965</v>
      </c>
      <c r="C2662" t="s">
        <v>5657</v>
      </c>
      <c r="D2662" t="s">
        <v>104</v>
      </c>
      <c r="F2662">
        <v>5426429462</v>
      </c>
      <c r="G2662">
        <v>5381790260</v>
      </c>
      <c r="H2662">
        <v>5308684848</v>
      </c>
      <c r="I2662">
        <v>5209670070</v>
      </c>
      <c r="J2662">
        <v>5121713708</v>
      </c>
      <c r="K2662">
        <v>4684236929</v>
      </c>
      <c r="L2662">
        <v>4407725268</v>
      </c>
      <c r="M2662">
        <v>4252125921</v>
      </c>
      <c r="N2662">
        <v>2604999015</v>
      </c>
      <c r="O2662">
        <v>2452280184</v>
      </c>
      <c r="P2662">
        <v>116</v>
      </c>
      <c r="Q2662" t="s">
        <v>5658</v>
      </c>
    </row>
    <row r="2663" spans="1:17" x14ac:dyDescent="0.3">
      <c r="A2663" t="s">
        <v>4729</v>
      </c>
      <c r="B2663" t="str">
        <f>"000966"</f>
        <v>000966</v>
      </c>
      <c r="C2663" t="s">
        <v>5659</v>
      </c>
      <c r="D2663" t="s">
        <v>41</v>
      </c>
      <c r="F2663">
        <v>9447467677</v>
      </c>
      <c r="G2663">
        <v>4160461423</v>
      </c>
      <c r="H2663">
        <v>4169611747</v>
      </c>
      <c r="I2663">
        <v>3392842373</v>
      </c>
      <c r="J2663">
        <v>3243387493</v>
      </c>
      <c r="K2663">
        <v>3477260262</v>
      </c>
      <c r="L2663">
        <v>3217783159</v>
      </c>
      <c r="M2663">
        <v>2280930965</v>
      </c>
      <c r="N2663">
        <v>1667482624</v>
      </c>
      <c r="O2663">
        <v>1374897463</v>
      </c>
      <c r="P2663">
        <v>398</v>
      </c>
      <c r="Q2663" t="s">
        <v>5660</v>
      </c>
    </row>
    <row r="2664" spans="1:17" x14ac:dyDescent="0.3">
      <c r="A2664" t="s">
        <v>4729</v>
      </c>
      <c r="B2664" t="str">
        <f>"000967"</f>
        <v>000967</v>
      </c>
      <c r="C2664" t="s">
        <v>5661</v>
      </c>
      <c r="D2664" t="s">
        <v>1070</v>
      </c>
      <c r="F2664">
        <v>16636312413</v>
      </c>
      <c r="G2664">
        <v>16653274253</v>
      </c>
      <c r="H2664">
        <v>15514697716</v>
      </c>
      <c r="I2664">
        <v>14471811680</v>
      </c>
      <c r="J2664">
        <v>4336169579</v>
      </c>
      <c r="K2664">
        <v>3332202658</v>
      </c>
      <c r="L2664">
        <v>3362269041</v>
      </c>
      <c r="M2664">
        <v>1389004624</v>
      </c>
      <c r="N2664">
        <v>799329262</v>
      </c>
      <c r="O2664">
        <v>752191331</v>
      </c>
      <c r="P2664">
        <v>329</v>
      </c>
      <c r="Q2664" t="s">
        <v>5662</v>
      </c>
    </row>
    <row r="2665" spans="1:17" x14ac:dyDescent="0.3">
      <c r="A2665" t="s">
        <v>4729</v>
      </c>
      <c r="B2665" t="str">
        <f>"000968"</f>
        <v>000968</v>
      </c>
      <c r="C2665" t="s">
        <v>5663</v>
      </c>
      <c r="D2665" t="s">
        <v>1541</v>
      </c>
      <c r="F2665">
        <v>4666994469</v>
      </c>
      <c r="G2665">
        <v>4408185207</v>
      </c>
      <c r="H2665">
        <v>4351480298</v>
      </c>
      <c r="I2665">
        <v>3840340123</v>
      </c>
      <c r="J2665">
        <v>3160809801</v>
      </c>
      <c r="K2665">
        <v>1372048055</v>
      </c>
      <c r="L2665">
        <v>215880779</v>
      </c>
      <c r="M2665">
        <v>1832263052</v>
      </c>
      <c r="N2665">
        <v>2762549029</v>
      </c>
      <c r="O2665">
        <v>2710293611</v>
      </c>
      <c r="P2665">
        <v>244</v>
      </c>
      <c r="Q2665" t="s">
        <v>5664</v>
      </c>
    </row>
    <row r="2666" spans="1:17" x14ac:dyDescent="0.3">
      <c r="A2666" t="s">
        <v>4729</v>
      </c>
      <c r="B2666" t="str">
        <f>"000969"</f>
        <v>000969</v>
      </c>
      <c r="C2666" t="s">
        <v>5665</v>
      </c>
      <c r="D2666" t="s">
        <v>581</v>
      </c>
      <c r="F2666">
        <v>4747610100</v>
      </c>
      <c r="G2666">
        <v>4602690434</v>
      </c>
      <c r="H2666">
        <v>4466601439</v>
      </c>
      <c r="I2666">
        <v>4269783641</v>
      </c>
      <c r="J2666">
        <v>4569722944</v>
      </c>
      <c r="K2666">
        <v>4546939524</v>
      </c>
      <c r="L2666">
        <v>3226219486</v>
      </c>
      <c r="M2666">
        <v>3071077964</v>
      </c>
      <c r="N2666">
        <v>3276186107</v>
      </c>
      <c r="O2666">
        <v>3318240986</v>
      </c>
      <c r="P2666">
        <v>224</v>
      </c>
      <c r="Q2666" t="s">
        <v>5666</v>
      </c>
    </row>
    <row r="2667" spans="1:17" x14ac:dyDescent="0.3">
      <c r="A2667" t="s">
        <v>4729</v>
      </c>
      <c r="B2667" t="str">
        <f>"000970"</f>
        <v>000970</v>
      </c>
      <c r="C2667" t="s">
        <v>5667</v>
      </c>
      <c r="D2667" t="s">
        <v>808</v>
      </c>
      <c r="F2667">
        <v>4985792464</v>
      </c>
      <c r="G2667">
        <v>4638788959</v>
      </c>
      <c r="H2667">
        <v>4574564471</v>
      </c>
      <c r="I2667">
        <v>4453761559</v>
      </c>
      <c r="J2667">
        <v>4301341612</v>
      </c>
      <c r="K2667">
        <v>4120805458</v>
      </c>
      <c r="L2667">
        <v>3895006719</v>
      </c>
      <c r="M2667">
        <v>3710785189</v>
      </c>
      <c r="N2667">
        <v>3521220469</v>
      </c>
      <c r="O2667">
        <v>3288620227</v>
      </c>
      <c r="P2667">
        <v>364</v>
      </c>
      <c r="Q2667" t="s">
        <v>5668</v>
      </c>
    </row>
    <row r="2668" spans="1:17" x14ac:dyDescent="0.3">
      <c r="A2668" t="s">
        <v>4729</v>
      </c>
      <c r="B2668" t="str">
        <f>"000971"</f>
        <v>000971</v>
      </c>
      <c r="C2668" t="s">
        <v>5669</v>
      </c>
      <c r="D2668" t="s">
        <v>5670</v>
      </c>
      <c r="F2668">
        <v>846880534</v>
      </c>
      <c r="G2668">
        <v>1219953659</v>
      </c>
      <c r="H2668">
        <v>1118983443</v>
      </c>
      <c r="I2668">
        <v>1805461387</v>
      </c>
      <c r="J2668">
        <v>3682418528</v>
      </c>
      <c r="K2668">
        <v>3511982506</v>
      </c>
      <c r="L2668">
        <v>1629412911</v>
      </c>
      <c r="M2668">
        <v>23861056</v>
      </c>
      <c r="N2668">
        <v>23295705</v>
      </c>
      <c r="O2668">
        <v>33743727</v>
      </c>
      <c r="P2668">
        <v>74</v>
      </c>
      <c r="Q2668" t="s">
        <v>5671</v>
      </c>
    </row>
    <row r="2669" spans="1:17" x14ac:dyDescent="0.3">
      <c r="A2669" t="s">
        <v>4729</v>
      </c>
      <c r="B2669" t="str">
        <f>"000972"</f>
        <v>000972</v>
      </c>
      <c r="C2669" t="s">
        <v>5672</v>
      </c>
      <c r="D2669" t="s">
        <v>574</v>
      </c>
      <c r="F2669">
        <v>75523652</v>
      </c>
      <c r="G2669">
        <v>176043839</v>
      </c>
      <c r="H2669">
        <v>441936608</v>
      </c>
      <c r="I2669">
        <v>438488611</v>
      </c>
      <c r="J2669">
        <v>878016764</v>
      </c>
      <c r="K2669">
        <v>831844874</v>
      </c>
      <c r="L2669">
        <v>1087440444</v>
      </c>
      <c r="M2669">
        <v>826902264</v>
      </c>
      <c r="N2669">
        <v>45777102</v>
      </c>
      <c r="O2669">
        <v>413984930</v>
      </c>
      <c r="P2669">
        <v>78</v>
      </c>
      <c r="Q2669" t="s">
        <v>5673</v>
      </c>
    </row>
    <row r="2670" spans="1:17" x14ac:dyDescent="0.3">
      <c r="A2670" t="s">
        <v>4729</v>
      </c>
      <c r="B2670" t="str">
        <f>"000973"</f>
        <v>000973</v>
      </c>
      <c r="C2670" t="s">
        <v>5674</v>
      </c>
      <c r="D2670" t="s">
        <v>324</v>
      </c>
      <c r="F2670">
        <v>2480994930</v>
      </c>
      <c r="G2670">
        <v>2389915337</v>
      </c>
      <c r="H2670">
        <v>2351488207</v>
      </c>
      <c r="I2670">
        <v>2297117100</v>
      </c>
      <c r="J2670">
        <v>2209899993</v>
      </c>
      <c r="K2670">
        <v>2144042758</v>
      </c>
      <c r="L2670">
        <v>2053418903</v>
      </c>
      <c r="M2670">
        <v>1978966862</v>
      </c>
      <c r="N2670">
        <v>2036939344</v>
      </c>
      <c r="O2670">
        <v>1937607344</v>
      </c>
      <c r="P2670">
        <v>123</v>
      </c>
      <c r="Q2670" t="s">
        <v>5675</v>
      </c>
    </row>
    <row r="2671" spans="1:17" x14ac:dyDescent="0.3">
      <c r="A2671" t="s">
        <v>4729</v>
      </c>
      <c r="B2671" t="str">
        <f>"000975"</f>
        <v>000975</v>
      </c>
      <c r="C2671" t="s">
        <v>5676</v>
      </c>
      <c r="D2671" t="s">
        <v>701</v>
      </c>
      <c r="F2671">
        <v>10466435061</v>
      </c>
      <c r="G2671">
        <v>9890033887</v>
      </c>
      <c r="H2671">
        <v>9047651592</v>
      </c>
      <c r="I2671">
        <v>8340451592</v>
      </c>
      <c r="J2671">
        <v>4103389561</v>
      </c>
      <c r="K2671">
        <v>3787081170</v>
      </c>
      <c r="L2671">
        <v>3768058553</v>
      </c>
      <c r="M2671">
        <v>3781318339</v>
      </c>
      <c r="N2671">
        <v>3717244249</v>
      </c>
      <c r="O2671">
        <v>944856756</v>
      </c>
      <c r="P2671">
        <v>391</v>
      </c>
      <c r="Q2671" t="s">
        <v>5677</v>
      </c>
    </row>
    <row r="2672" spans="1:17" x14ac:dyDescent="0.3">
      <c r="A2672" t="s">
        <v>4729</v>
      </c>
      <c r="B2672" t="str">
        <f>"000976"</f>
        <v>000976</v>
      </c>
      <c r="C2672" t="s">
        <v>5678</v>
      </c>
      <c r="D2672" t="s">
        <v>1012</v>
      </c>
      <c r="F2672">
        <v>5212102981</v>
      </c>
      <c r="G2672">
        <v>4908946708</v>
      </c>
      <c r="H2672">
        <v>4448773634</v>
      </c>
      <c r="I2672">
        <v>4244641347</v>
      </c>
      <c r="J2672">
        <v>4089765002</v>
      </c>
      <c r="K2672">
        <v>3571761123</v>
      </c>
      <c r="L2672">
        <v>238357408</v>
      </c>
      <c r="M2672">
        <v>222823717</v>
      </c>
      <c r="N2672">
        <v>434485331</v>
      </c>
      <c r="O2672">
        <v>532429196</v>
      </c>
      <c r="P2672">
        <v>146</v>
      </c>
      <c r="Q2672" t="s">
        <v>5679</v>
      </c>
    </row>
    <row r="2673" spans="1:17" x14ac:dyDescent="0.3">
      <c r="A2673" t="s">
        <v>4729</v>
      </c>
      <c r="B2673" t="str">
        <f>"000977"</f>
        <v>000977</v>
      </c>
      <c r="C2673" t="s">
        <v>5680</v>
      </c>
      <c r="D2673" t="s">
        <v>236</v>
      </c>
      <c r="F2673">
        <v>14162157187</v>
      </c>
      <c r="G2673">
        <v>12450814962</v>
      </c>
      <c r="H2673">
        <v>8950293703</v>
      </c>
      <c r="I2673">
        <v>7978451887</v>
      </c>
      <c r="J2673">
        <v>7278393342</v>
      </c>
      <c r="K2673">
        <v>3943671216</v>
      </c>
      <c r="L2673">
        <v>2832004620</v>
      </c>
      <c r="M2673">
        <v>2335401257</v>
      </c>
      <c r="N2673">
        <v>1065230585</v>
      </c>
      <c r="O2673">
        <v>1161115222</v>
      </c>
      <c r="P2673">
        <v>4425</v>
      </c>
      <c r="Q2673" t="s">
        <v>5681</v>
      </c>
    </row>
    <row r="2674" spans="1:17" x14ac:dyDescent="0.3">
      <c r="A2674" t="s">
        <v>4729</v>
      </c>
      <c r="B2674" t="str">
        <f>"000978"</f>
        <v>000978</v>
      </c>
      <c r="C2674" t="s">
        <v>5682</v>
      </c>
      <c r="D2674" t="s">
        <v>119</v>
      </c>
      <c r="F2674">
        <v>1103777056</v>
      </c>
      <c r="G2674">
        <v>1316468877</v>
      </c>
      <c r="H2674">
        <v>1592261984</v>
      </c>
      <c r="I2674">
        <v>1570756431</v>
      </c>
      <c r="J2674">
        <v>1515561268</v>
      </c>
      <c r="K2674">
        <v>1460479787</v>
      </c>
      <c r="L2674">
        <v>1472499223</v>
      </c>
      <c r="M2674">
        <v>1456956873</v>
      </c>
      <c r="N2674">
        <v>1424043501</v>
      </c>
      <c r="O2674">
        <v>1431982985</v>
      </c>
      <c r="P2674">
        <v>140</v>
      </c>
      <c r="Q2674" t="s">
        <v>5683</v>
      </c>
    </row>
    <row r="2675" spans="1:17" x14ac:dyDescent="0.3">
      <c r="A2675" t="s">
        <v>4729</v>
      </c>
      <c r="B2675" t="str">
        <f>"000979"</f>
        <v>000979</v>
      </c>
      <c r="C2675" t="s">
        <v>5684</v>
      </c>
      <c r="J2675">
        <v>7325887881</v>
      </c>
      <c r="K2675">
        <v>9815620498</v>
      </c>
      <c r="L2675">
        <v>5849373379.9799995</v>
      </c>
      <c r="M2675">
        <v>5614713857.1499996</v>
      </c>
      <c r="N2675">
        <v>2373813381.3600001</v>
      </c>
      <c r="O2675">
        <v>2809738924.29</v>
      </c>
      <c r="P2675">
        <v>30</v>
      </c>
      <c r="Q2675" t="s">
        <v>5685</v>
      </c>
    </row>
    <row r="2676" spans="1:17" x14ac:dyDescent="0.3">
      <c r="A2676" t="s">
        <v>4729</v>
      </c>
      <c r="B2676" t="str">
        <f>"000980"</f>
        <v>000980</v>
      </c>
      <c r="C2676" t="s">
        <v>5686</v>
      </c>
      <c r="D2676" t="s">
        <v>1415</v>
      </c>
      <c r="F2676">
        <v>3442356669</v>
      </c>
      <c r="G2676">
        <v>-4422899618</v>
      </c>
      <c r="H2676">
        <v>6378556199</v>
      </c>
      <c r="I2676">
        <v>17568780043</v>
      </c>
      <c r="J2676">
        <v>16799308307</v>
      </c>
      <c r="K2676">
        <v>2154655237</v>
      </c>
      <c r="L2676">
        <v>2078433673</v>
      </c>
      <c r="M2676">
        <v>2018631472</v>
      </c>
      <c r="N2676">
        <v>1984327951</v>
      </c>
      <c r="O2676">
        <v>1222096808</v>
      </c>
      <c r="P2676">
        <v>161</v>
      </c>
      <c r="Q2676" t="s">
        <v>5687</v>
      </c>
    </row>
    <row r="2677" spans="1:17" x14ac:dyDescent="0.3">
      <c r="A2677" t="s">
        <v>4729</v>
      </c>
      <c r="B2677" t="str">
        <f>"000981"</f>
        <v>000981</v>
      </c>
      <c r="C2677" t="s">
        <v>5688</v>
      </c>
      <c r="D2677" t="s">
        <v>104</v>
      </c>
      <c r="F2677">
        <v>3157079359</v>
      </c>
      <c r="G2677">
        <v>5350588969</v>
      </c>
      <c r="H2677">
        <v>6551541062</v>
      </c>
      <c r="I2677">
        <v>14624737780</v>
      </c>
      <c r="J2677">
        <v>17950455716</v>
      </c>
      <c r="K2677">
        <v>5673486814</v>
      </c>
      <c r="L2677">
        <v>5159520450</v>
      </c>
      <c r="M2677">
        <v>4737169249</v>
      </c>
      <c r="N2677">
        <v>4252186183</v>
      </c>
      <c r="O2677">
        <v>3731731459</v>
      </c>
      <c r="P2677">
        <v>118</v>
      </c>
      <c r="Q2677" t="s">
        <v>5689</v>
      </c>
    </row>
    <row r="2678" spans="1:17" x14ac:dyDescent="0.3">
      <c r="A2678" t="s">
        <v>4729</v>
      </c>
      <c r="B2678" t="str">
        <f>"000982"</f>
        <v>000982</v>
      </c>
      <c r="C2678" t="s">
        <v>5690</v>
      </c>
      <c r="D2678" t="s">
        <v>366</v>
      </c>
      <c r="F2678">
        <v>1165819404</v>
      </c>
      <c r="G2678">
        <v>1129040968</v>
      </c>
      <c r="H2678">
        <v>1100961800</v>
      </c>
      <c r="I2678">
        <v>-1066432993</v>
      </c>
      <c r="J2678">
        <v>1906961099</v>
      </c>
      <c r="K2678">
        <v>1870535413</v>
      </c>
      <c r="L2678">
        <v>2916863929</v>
      </c>
      <c r="M2678">
        <v>4223783602</v>
      </c>
      <c r="N2678">
        <v>1965291987</v>
      </c>
      <c r="O2678">
        <v>1702839673</v>
      </c>
      <c r="P2678">
        <v>83</v>
      </c>
      <c r="Q2678" t="s">
        <v>5691</v>
      </c>
    </row>
    <row r="2679" spans="1:17" x14ac:dyDescent="0.3">
      <c r="A2679" t="s">
        <v>4729</v>
      </c>
      <c r="B2679" t="str">
        <f>"000983"</f>
        <v>000983</v>
      </c>
      <c r="C2679" t="s">
        <v>5692</v>
      </c>
      <c r="D2679" t="s">
        <v>298</v>
      </c>
      <c r="F2679">
        <v>22561148909</v>
      </c>
      <c r="G2679">
        <v>18715999613</v>
      </c>
      <c r="H2679">
        <v>20452977782</v>
      </c>
      <c r="I2679">
        <v>19794182796</v>
      </c>
      <c r="J2679">
        <v>17917323851</v>
      </c>
      <c r="K2679">
        <v>16428797333</v>
      </c>
      <c r="L2679">
        <v>16051295513</v>
      </c>
      <c r="M2679">
        <v>15850010292</v>
      </c>
      <c r="N2679">
        <v>16020724005</v>
      </c>
      <c r="O2679">
        <v>15027134078</v>
      </c>
      <c r="P2679">
        <v>688</v>
      </c>
      <c r="Q2679" t="s">
        <v>5693</v>
      </c>
    </row>
    <row r="2680" spans="1:17" x14ac:dyDescent="0.3">
      <c r="A2680" t="s">
        <v>4729</v>
      </c>
      <c r="B2680" t="str">
        <f>"000985"</f>
        <v>000985</v>
      </c>
      <c r="C2680" t="s">
        <v>5694</v>
      </c>
      <c r="D2680" t="s">
        <v>1617</v>
      </c>
      <c r="F2680">
        <v>592292057</v>
      </c>
      <c r="G2680">
        <v>578202060</v>
      </c>
      <c r="H2680">
        <v>578122679</v>
      </c>
      <c r="I2680">
        <v>526240949</v>
      </c>
      <c r="J2680">
        <v>553667704</v>
      </c>
      <c r="K2680">
        <v>518336721</v>
      </c>
      <c r="L2680">
        <v>482113267</v>
      </c>
      <c r="M2680">
        <v>501926555</v>
      </c>
      <c r="N2680">
        <v>494910870</v>
      </c>
      <c r="O2680">
        <v>472436109</v>
      </c>
      <c r="P2680">
        <v>82</v>
      </c>
      <c r="Q2680" t="s">
        <v>5695</v>
      </c>
    </row>
    <row r="2681" spans="1:17" x14ac:dyDescent="0.3">
      <c r="A2681" t="s">
        <v>4729</v>
      </c>
      <c r="B2681" t="str">
        <f>"000987"</f>
        <v>000987</v>
      </c>
      <c r="C2681" t="s">
        <v>5696</v>
      </c>
      <c r="D2681" t="s">
        <v>140</v>
      </c>
      <c r="F2681">
        <v>25146931534</v>
      </c>
      <c r="G2681">
        <v>23446969197</v>
      </c>
      <c r="H2681">
        <v>17034783095</v>
      </c>
      <c r="I2681">
        <v>16827354772</v>
      </c>
      <c r="J2681">
        <v>12887447038</v>
      </c>
      <c r="K2681">
        <v>12477245225</v>
      </c>
      <c r="L2681">
        <v>2223321678</v>
      </c>
      <c r="M2681">
        <v>2173735859</v>
      </c>
      <c r="N2681">
        <v>2090527771</v>
      </c>
      <c r="O2681">
        <v>1961116925</v>
      </c>
      <c r="P2681">
        <v>520</v>
      </c>
      <c r="Q2681" t="s">
        <v>5697</v>
      </c>
    </row>
    <row r="2682" spans="1:17" x14ac:dyDescent="0.3">
      <c r="A2682" t="s">
        <v>4729</v>
      </c>
      <c r="B2682" t="str">
        <f>"000988"</f>
        <v>000988</v>
      </c>
      <c r="C2682" t="s">
        <v>5698</v>
      </c>
      <c r="D2682" t="s">
        <v>3811</v>
      </c>
      <c r="F2682">
        <v>7388802134</v>
      </c>
      <c r="G2682">
        <v>6637960812</v>
      </c>
      <c r="H2682">
        <v>6139887876</v>
      </c>
      <c r="I2682">
        <v>5686056660</v>
      </c>
      <c r="J2682">
        <v>5227029963</v>
      </c>
      <c r="K2682">
        <v>3167715649</v>
      </c>
      <c r="L2682">
        <v>2947931711</v>
      </c>
      <c r="M2682">
        <v>2820635749</v>
      </c>
      <c r="N2682">
        <v>2656336425</v>
      </c>
      <c r="O2682">
        <v>2616477930</v>
      </c>
      <c r="P2682">
        <v>710</v>
      </c>
      <c r="Q2682" t="s">
        <v>5699</v>
      </c>
    </row>
    <row r="2683" spans="1:17" x14ac:dyDescent="0.3">
      <c r="A2683" t="s">
        <v>4729</v>
      </c>
      <c r="B2683" t="str">
        <f>"000989"</f>
        <v>000989</v>
      </c>
      <c r="C2683" t="s">
        <v>5700</v>
      </c>
      <c r="D2683" t="s">
        <v>188</v>
      </c>
      <c r="F2683">
        <v>3969190507</v>
      </c>
      <c r="G2683">
        <v>3922517554</v>
      </c>
      <c r="H2683">
        <v>3986459015</v>
      </c>
      <c r="I2683">
        <v>4297879782</v>
      </c>
      <c r="J2683">
        <v>4501439851</v>
      </c>
      <c r="K2683">
        <v>4136506541</v>
      </c>
      <c r="L2683">
        <v>3787080838</v>
      </c>
      <c r="M2683">
        <v>1608212871</v>
      </c>
      <c r="N2683">
        <v>1541035460</v>
      </c>
      <c r="O2683">
        <v>1465864256</v>
      </c>
      <c r="P2683">
        <v>370</v>
      </c>
      <c r="Q2683" t="s">
        <v>5701</v>
      </c>
    </row>
    <row r="2684" spans="1:17" x14ac:dyDescent="0.3">
      <c r="A2684" t="s">
        <v>4729</v>
      </c>
      <c r="B2684" t="str">
        <f>"000990"</f>
        <v>000990</v>
      </c>
      <c r="C2684" t="s">
        <v>5702</v>
      </c>
      <c r="D2684" t="s">
        <v>914</v>
      </c>
      <c r="F2684">
        <v>17651704619</v>
      </c>
      <c r="G2684">
        <v>16487191787</v>
      </c>
      <c r="H2684">
        <v>16140409570</v>
      </c>
      <c r="I2684">
        <v>16179712353</v>
      </c>
      <c r="J2684">
        <v>15903354872</v>
      </c>
      <c r="K2684">
        <v>15280871472</v>
      </c>
      <c r="L2684">
        <v>2433001322</v>
      </c>
      <c r="M2684">
        <v>2318401359</v>
      </c>
      <c r="N2684">
        <v>1650577037</v>
      </c>
      <c r="O2684">
        <v>1608156662</v>
      </c>
      <c r="P2684">
        <v>194</v>
      </c>
      <c r="Q2684" t="s">
        <v>5703</v>
      </c>
    </row>
    <row r="2685" spans="1:17" x14ac:dyDescent="0.3">
      <c r="A2685" t="s">
        <v>4729</v>
      </c>
      <c r="B2685" t="str">
        <f>"000993"</f>
        <v>000993</v>
      </c>
      <c r="C2685" t="s">
        <v>5704</v>
      </c>
      <c r="D2685" t="s">
        <v>66</v>
      </c>
      <c r="F2685">
        <v>2031539915</v>
      </c>
      <c r="G2685">
        <v>1911017979</v>
      </c>
      <c r="H2685">
        <v>1991714896</v>
      </c>
      <c r="I2685">
        <v>1844793636</v>
      </c>
      <c r="J2685">
        <v>2235170824</v>
      </c>
      <c r="K2685">
        <v>1528247412</v>
      </c>
      <c r="L2685">
        <v>1501916865</v>
      </c>
      <c r="M2685">
        <v>1479040952</v>
      </c>
      <c r="N2685">
        <v>1626052140</v>
      </c>
      <c r="O2685">
        <v>1562676409</v>
      </c>
      <c r="P2685">
        <v>163</v>
      </c>
      <c r="Q2685" t="s">
        <v>5705</v>
      </c>
    </row>
    <row r="2686" spans="1:17" x14ac:dyDescent="0.3">
      <c r="A2686" t="s">
        <v>4729</v>
      </c>
      <c r="B2686" t="str">
        <f>"000995"</f>
        <v>000995</v>
      </c>
      <c r="C2686" t="s">
        <v>5706</v>
      </c>
      <c r="D2686" t="s">
        <v>458</v>
      </c>
      <c r="F2686">
        <v>123060185</v>
      </c>
      <c r="G2686">
        <v>133778015</v>
      </c>
      <c r="H2686">
        <v>90903248</v>
      </c>
      <c r="I2686">
        <v>-238179428</v>
      </c>
      <c r="J2686">
        <v>-142697937</v>
      </c>
      <c r="K2686">
        <v>44932403</v>
      </c>
      <c r="L2686">
        <v>123471114</v>
      </c>
      <c r="M2686">
        <v>117609254</v>
      </c>
      <c r="N2686">
        <v>156897793</v>
      </c>
      <c r="O2686">
        <v>186203107</v>
      </c>
      <c r="P2686">
        <v>175</v>
      </c>
      <c r="Q2686" t="s">
        <v>5707</v>
      </c>
    </row>
    <row r="2687" spans="1:17" x14ac:dyDescent="0.3">
      <c r="A2687" t="s">
        <v>4729</v>
      </c>
      <c r="B2687" t="str">
        <f>"000996"</f>
        <v>000996</v>
      </c>
      <c r="C2687" t="s">
        <v>5708</v>
      </c>
      <c r="D2687" t="s">
        <v>672</v>
      </c>
      <c r="F2687">
        <v>480783990</v>
      </c>
      <c r="G2687">
        <v>479772191</v>
      </c>
      <c r="H2687">
        <v>472414041</v>
      </c>
      <c r="I2687">
        <v>545842737</v>
      </c>
      <c r="J2687">
        <v>529776856</v>
      </c>
      <c r="K2687">
        <v>617719617</v>
      </c>
      <c r="L2687">
        <v>587512704</v>
      </c>
      <c r="M2687">
        <v>577663475</v>
      </c>
      <c r="N2687">
        <v>561307819</v>
      </c>
      <c r="O2687">
        <v>550720781</v>
      </c>
      <c r="P2687">
        <v>70</v>
      </c>
      <c r="Q2687" t="s">
        <v>5709</v>
      </c>
    </row>
    <row r="2688" spans="1:17" x14ac:dyDescent="0.3">
      <c r="A2688" t="s">
        <v>4729</v>
      </c>
      <c r="B2688" t="str">
        <f>"000997"</f>
        <v>000997</v>
      </c>
      <c r="C2688" t="s">
        <v>5710</v>
      </c>
      <c r="D2688" t="s">
        <v>236</v>
      </c>
      <c r="F2688">
        <v>6267041538</v>
      </c>
      <c r="G2688">
        <v>6105305645</v>
      </c>
      <c r="H2688">
        <v>5754822168</v>
      </c>
      <c r="I2688">
        <v>5257001544</v>
      </c>
      <c r="J2688">
        <v>4835215136</v>
      </c>
      <c r="K2688">
        <v>2443488167</v>
      </c>
      <c r="L2688">
        <v>2184112319</v>
      </c>
      <c r="M2688">
        <v>1865217777</v>
      </c>
      <c r="N2688">
        <v>1626233185</v>
      </c>
      <c r="O2688">
        <v>1446139345</v>
      </c>
      <c r="P2688">
        <v>581</v>
      </c>
      <c r="Q2688" t="s">
        <v>5711</v>
      </c>
    </row>
    <row r="2689" spans="1:17" x14ac:dyDescent="0.3">
      <c r="A2689" t="s">
        <v>4729</v>
      </c>
      <c r="B2689" t="str">
        <f>"000998"</f>
        <v>000998</v>
      </c>
      <c r="C2689" t="s">
        <v>5712</v>
      </c>
      <c r="D2689" t="s">
        <v>706</v>
      </c>
      <c r="F2689">
        <v>5506476041</v>
      </c>
      <c r="G2689">
        <v>5510651561</v>
      </c>
      <c r="H2689">
        <v>6176787332</v>
      </c>
      <c r="I2689">
        <v>6853534567</v>
      </c>
      <c r="J2689">
        <v>5927609153</v>
      </c>
      <c r="K2689">
        <v>5641992226</v>
      </c>
      <c r="L2689">
        <v>2354404863</v>
      </c>
      <c r="M2689">
        <v>1913858007</v>
      </c>
      <c r="N2689">
        <v>1580084066</v>
      </c>
      <c r="O2689">
        <v>1221072245</v>
      </c>
      <c r="P2689">
        <v>649</v>
      </c>
      <c r="Q2689" t="s">
        <v>5713</v>
      </c>
    </row>
    <row r="2690" spans="1:17" x14ac:dyDescent="0.3">
      <c r="A2690" t="s">
        <v>4729</v>
      </c>
      <c r="B2690" t="str">
        <f>"000999"</f>
        <v>000999</v>
      </c>
      <c r="C2690" t="s">
        <v>5714</v>
      </c>
      <c r="D2690" t="s">
        <v>188</v>
      </c>
      <c r="F2690">
        <v>15282501801</v>
      </c>
      <c r="G2690">
        <v>13727094532</v>
      </c>
      <c r="H2690">
        <v>12563844411</v>
      </c>
      <c r="I2690">
        <v>10827719075</v>
      </c>
      <c r="J2690">
        <v>9838512030</v>
      </c>
      <c r="K2690">
        <v>8615020791</v>
      </c>
      <c r="L2690">
        <v>7571680484</v>
      </c>
      <c r="M2690">
        <v>6759945283</v>
      </c>
      <c r="N2690">
        <v>6148823091</v>
      </c>
      <c r="O2690">
        <v>5309766435</v>
      </c>
      <c r="P2690">
        <v>5773</v>
      </c>
      <c r="Q2690" t="s">
        <v>5715</v>
      </c>
    </row>
    <row r="2691" spans="1:17" x14ac:dyDescent="0.3">
      <c r="A2691" t="s">
        <v>4729</v>
      </c>
      <c r="B2691" t="str">
        <f>"001201"</f>
        <v>001201</v>
      </c>
      <c r="C2691" t="s">
        <v>5716</v>
      </c>
      <c r="D2691" t="s">
        <v>1900</v>
      </c>
      <c r="F2691">
        <v>3097478544</v>
      </c>
      <c r="G2691">
        <v>1202098484</v>
      </c>
      <c r="H2691">
        <v>569610480</v>
      </c>
      <c r="I2691">
        <v>326812171</v>
      </c>
      <c r="J2691">
        <v>322803301</v>
      </c>
      <c r="P2691">
        <v>61</v>
      </c>
      <c r="Q2691" t="s">
        <v>5717</v>
      </c>
    </row>
    <row r="2692" spans="1:17" x14ac:dyDescent="0.3">
      <c r="A2692" t="s">
        <v>4729</v>
      </c>
      <c r="B2692" t="str">
        <f>"001202"</f>
        <v>001202</v>
      </c>
      <c r="C2692" t="s">
        <v>5718</v>
      </c>
      <c r="D2692" t="s">
        <v>128</v>
      </c>
      <c r="F2692">
        <v>732501820</v>
      </c>
      <c r="G2692">
        <v>252645029</v>
      </c>
      <c r="H2692">
        <v>162105615</v>
      </c>
      <c r="I2692">
        <v>138427332</v>
      </c>
      <c r="J2692">
        <v>90138644</v>
      </c>
      <c r="P2692">
        <v>32</v>
      </c>
      <c r="Q2692" t="s">
        <v>5719</v>
      </c>
    </row>
    <row r="2693" spans="1:17" x14ac:dyDescent="0.3">
      <c r="A2693" t="s">
        <v>4729</v>
      </c>
      <c r="B2693" t="str">
        <f>"001203"</f>
        <v>001203</v>
      </c>
      <c r="C2693" t="s">
        <v>5720</v>
      </c>
      <c r="D2693" t="s">
        <v>2376</v>
      </c>
      <c r="F2693">
        <v>4992449985</v>
      </c>
      <c r="G2693">
        <v>2240646704</v>
      </c>
      <c r="H2693">
        <v>1647270517</v>
      </c>
      <c r="I2693">
        <v>1410976576</v>
      </c>
      <c r="J2693">
        <v>1285588444</v>
      </c>
      <c r="P2693">
        <v>80</v>
      </c>
      <c r="Q2693" t="s">
        <v>5721</v>
      </c>
    </row>
    <row r="2694" spans="1:17" x14ac:dyDescent="0.3">
      <c r="A2694" t="s">
        <v>4729</v>
      </c>
      <c r="B2694" t="str">
        <f>"001205"</f>
        <v>001205</v>
      </c>
      <c r="C2694" t="s">
        <v>5722</v>
      </c>
      <c r="D2694" t="s">
        <v>69</v>
      </c>
      <c r="F2694">
        <v>1310977729</v>
      </c>
      <c r="G2694">
        <v>738036030</v>
      </c>
      <c r="H2694">
        <v>626217599</v>
      </c>
      <c r="I2694">
        <v>482997451</v>
      </c>
      <c r="J2694">
        <v>369486607</v>
      </c>
      <c r="P2694">
        <v>44</v>
      </c>
      <c r="Q2694" t="s">
        <v>5723</v>
      </c>
    </row>
    <row r="2695" spans="1:17" x14ac:dyDescent="0.3">
      <c r="A2695" t="s">
        <v>4729</v>
      </c>
      <c r="B2695" t="str">
        <f>"001206"</f>
        <v>001206</v>
      </c>
      <c r="C2695" t="s">
        <v>5724</v>
      </c>
      <c r="D2695" t="s">
        <v>2751</v>
      </c>
      <c r="F2695">
        <v>1725425788</v>
      </c>
      <c r="G2695">
        <v>712254346</v>
      </c>
      <c r="H2695">
        <v>517791997</v>
      </c>
      <c r="I2695">
        <v>273915378</v>
      </c>
      <c r="J2695">
        <v>238517148</v>
      </c>
      <c r="P2695">
        <v>53</v>
      </c>
      <c r="Q2695" t="s">
        <v>5725</v>
      </c>
    </row>
    <row r="2696" spans="1:17" x14ac:dyDescent="0.3">
      <c r="A2696" t="s">
        <v>4729</v>
      </c>
      <c r="B2696" t="str">
        <f>"001207"</f>
        <v>001207</v>
      </c>
      <c r="C2696" t="s">
        <v>5726</v>
      </c>
      <c r="D2696" t="s">
        <v>3646</v>
      </c>
      <c r="F2696">
        <v>1314968030</v>
      </c>
      <c r="G2696">
        <v>554237758</v>
      </c>
      <c r="H2696">
        <v>431608907</v>
      </c>
      <c r="I2696">
        <v>317809928</v>
      </c>
      <c r="J2696">
        <v>224551017</v>
      </c>
      <c r="P2696">
        <v>25</v>
      </c>
      <c r="Q2696" t="s">
        <v>5727</v>
      </c>
    </row>
    <row r="2697" spans="1:17" x14ac:dyDescent="0.3">
      <c r="A2697" t="s">
        <v>4729</v>
      </c>
      <c r="B2697" t="str">
        <f>"001208"</f>
        <v>001208</v>
      </c>
      <c r="C2697" t="s">
        <v>5728</v>
      </c>
      <c r="D2697" t="s">
        <v>1164</v>
      </c>
      <c r="F2697">
        <v>1384930108</v>
      </c>
      <c r="G2697">
        <v>873578508</v>
      </c>
      <c r="H2697">
        <v>775817888</v>
      </c>
      <c r="I2697">
        <v>476401655</v>
      </c>
      <c r="J2697">
        <v>434806770</v>
      </c>
      <c r="P2697">
        <v>66</v>
      </c>
      <c r="Q2697" t="s">
        <v>5729</v>
      </c>
    </row>
    <row r="2698" spans="1:17" x14ac:dyDescent="0.3">
      <c r="A2698" t="s">
        <v>4729</v>
      </c>
      <c r="B2698" t="str">
        <f>"001209"</f>
        <v>001209</v>
      </c>
      <c r="C2698" t="s">
        <v>5730</v>
      </c>
      <c r="D2698" t="s">
        <v>255</v>
      </c>
      <c r="F2698">
        <v>1248313224</v>
      </c>
      <c r="G2698">
        <v>552374261</v>
      </c>
      <c r="H2698">
        <v>418655360</v>
      </c>
      <c r="I2698">
        <v>326973655</v>
      </c>
      <c r="J2698">
        <v>201273333</v>
      </c>
      <c r="P2698">
        <v>22</v>
      </c>
      <c r="Q2698" t="s">
        <v>5731</v>
      </c>
    </row>
    <row r="2699" spans="1:17" x14ac:dyDescent="0.3">
      <c r="A2699" t="s">
        <v>4729</v>
      </c>
      <c r="B2699" t="str">
        <f>"001210"</f>
        <v>001210</v>
      </c>
      <c r="C2699" t="s">
        <v>5732</v>
      </c>
      <c r="D2699" t="s">
        <v>351</v>
      </c>
      <c r="F2699">
        <v>1218164432</v>
      </c>
      <c r="G2699">
        <v>524138671</v>
      </c>
      <c r="H2699">
        <v>436786535</v>
      </c>
      <c r="I2699">
        <v>375936551</v>
      </c>
      <c r="J2699">
        <v>398039741</v>
      </c>
      <c r="P2699">
        <v>27</v>
      </c>
      <c r="Q2699" t="s">
        <v>5733</v>
      </c>
    </row>
    <row r="2700" spans="1:17" x14ac:dyDescent="0.3">
      <c r="A2700" t="s">
        <v>4729</v>
      </c>
      <c r="B2700" t="str">
        <f>"001211"</f>
        <v>001211</v>
      </c>
      <c r="C2700" t="s">
        <v>5734</v>
      </c>
      <c r="D2700" t="s">
        <v>2445</v>
      </c>
      <c r="F2700">
        <v>929637413</v>
      </c>
      <c r="G2700">
        <v>477057489</v>
      </c>
      <c r="H2700">
        <v>387296359</v>
      </c>
      <c r="I2700">
        <v>330456440</v>
      </c>
      <c r="J2700">
        <v>284488300</v>
      </c>
      <c r="P2700">
        <v>13</v>
      </c>
      <c r="Q2700" t="s">
        <v>5735</v>
      </c>
    </row>
    <row r="2701" spans="1:17" x14ac:dyDescent="0.3">
      <c r="A2701" t="s">
        <v>4729</v>
      </c>
      <c r="B2701" t="str">
        <f>"001212"</f>
        <v>001212</v>
      </c>
      <c r="C2701" t="s">
        <v>5736</v>
      </c>
      <c r="D2701" t="s">
        <v>722</v>
      </c>
      <c r="F2701">
        <v>1354821806</v>
      </c>
      <c r="G2701">
        <v>611419409</v>
      </c>
      <c r="H2701">
        <v>524396385</v>
      </c>
      <c r="I2701">
        <v>438800563</v>
      </c>
      <c r="J2701">
        <v>363391255</v>
      </c>
      <c r="P2701">
        <v>19</v>
      </c>
      <c r="Q2701" t="s">
        <v>5737</v>
      </c>
    </row>
    <row r="2702" spans="1:17" x14ac:dyDescent="0.3">
      <c r="A2702" t="s">
        <v>4729</v>
      </c>
      <c r="B2702" t="str">
        <f>"001213"</f>
        <v>001213</v>
      </c>
      <c r="C2702" t="s">
        <v>5738</v>
      </c>
      <c r="D2702" t="s">
        <v>301</v>
      </c>
      <c r="F2702">
        <v>17983693017</v>
      </c>
      <c r="G2702">
        <v>15833599333</v>
      </c>
      <c r="H2702">
        <v>15415091164</v>
      </c>
      <c r="I2702">
        <v>14833125108</v>
      </c>
      <c r="J2702">
        <v>14380416100</v>
      </c>
      <c r="P2702">
        <v>27</v>
      </c>
      <c r="Q2702" t="s">
        <v>5739</v>
      </c>
    </row>
    <row r="2703" spans="1:17" x14ac:dyDescent="0.3">
      <c r="A2703" t="s">
        <v>4729</v>
      </c>
      <c r="B2703" t="str">
        <f>"001215"</f>
        <v>001215</v>
      </c>
      <c r="C2703" t="s">
        <v>5740</v>
      </c>
      <c r="D2703" t="s">
        <v>2865</v>
      </c>
      <c r="F2703">
        <v>953689703</v>
      </c>
      <c r="G2703">
        <v>582353405</v>
      </c>
      <c r="H2703">
        <v>405765128</v>
      </c>
      <c r="I2703">
        <v>332945884</v>
      </c>
      <c r="J2703">
        <v>274266992</v>
      </c>
      <c r="P2703">
        <v>59</v>
      </c>
      <c r="Q2703" t="s">
        <v>5741</v>
      </c>
    </row>
    <row r="2704" spans="1:17" x14ac:dyDescent="0.3">
      <c r="A2704" t="s">
        <v>4729</v>
      </c>
      <c r="B2704" t="str">
        <f>"001216"</f>
        <v>001216</v>
      </c>
      <c r="C2704" t="s">
        <v>5742</v>
      </c>
      <c r="D2704" t="s">
        <v>2445</v>
      </c>
      <c r="F2704">
        <v>1341479777</v>
      </c>
      <c r="G2704">
        <v>669491320</v>
      </c>
      <c r="H2704">
        <v>551496605</v>
      </c>
      <c r="I2704">
        <v>495871950</v>
      </c>
      <c r="J2704">
        <v>407466912</v>
      </c>
      <c r="P2704">
        <v>19</v>
      </c>
      <c r="Q2704" t="s">
        <v>5743</v>
      </c>
    </row>
    <row r="2705" spans="1:17" x14ac:dyDescent="0.3">
      <c r="A2705" t="s">
        <v>4729</v>
      </c>
      <c r="B2705" t="str">
        <f>"001217"</f>
        <v>001217</v>
      </c>
      <c r="C2705" t="s">
        <v>5744</v>
      </c>
      <c r="D2705" t="s">
        <v>1233</v>
      </c>
      <c r="F2705">
        <v>1921749750</v>
      </c>
      <c r="G2705">
        <v>778297049</v>
      </c>
      <c r="H2705">
        <v>670493362</v>
      </c>
      <c r="I2705">
        <v>544326761</v>
      </c>
      <c r="J2705">
        <v>459751439</v>
      </c>
      <c r="P2705">
        <v>27</v>
      </c>
      <c r="Q2705" t="s">
        <v>5745</v>
      </c>
    </row>
    <row r="2706" spans="1:17" x14ac:dyDescent="0.3">
      <c r="A2706" t="s">
        <v>4729</v>
      </c>
      <c r="B2706" t="str">
        <f>"001218"</f>
        <v>001218</v>
      </c>
      <c r="C2706" t="s">
        <v>5746</v>
      </c>
      <c r="D2706" t="s">
        <v>386</v>
      </c>
      <c r="F2706">
        <v>2020927649</v>
      </c>
      <c r="G2706">
        <v>905442787</v>
      </c>
      <c r="H2706">
        <v>713165694</v>
      </c>
      <c r="I2706">
        <v>416260075</v>
      </c>
      <c r="J2706">
        <v>360609700</v>
      </c>
      <c r="P2706">
        <v>15</v>
      </c>
      <c r="Q2706" t="s">
        <v>5747</v>
      </c>
    </row>
    <row r="2707" spans="1:17" x14ac:dyDescent="0.3">
      <c r="A2707" t="s">
        <v>4729</v>
      </c>
      <c r="B2707" t="str">
        <f>"001219"</f>
        <v>001219</v>
      </c>
      <c r="C2707" t="s">
        <v>5748</v>
      </c>
      <c r="D2707" t="s">
        <v>2488</v>
      </c>
      <c r="F2707">
        <v>857748232</v>
      </c>
      <c r="G2707">
        <v>465660487</v>
      </c>
      <c r="H2707">
        <v>419840301</v>
      </c>
      <c r="I2707">
        <v>383982974</v>
      </c>
      <c r="J2707">
        <v>337030049</v>
      </c>
      <c r="P2707">
        <v>33</v>
      </c>
      <c r="Q2707" t="s">
        <v>5749</v>
      </c>
    </row>
    <row r="2708" spans="1:17" x14ac:dyDescent="0.3">
      <c r="A2708" t="s">
        <v>4729</v>
      </c>
      <c r="B2708" t="str">
        <f>"001227"</f>
        <v>001227</v>
      </c>
      <c r="C2708" t="s">
        <v>5750</v>
      </c>
      <c r="D2708" t="s">
        <v>1842</v>
      </c>
      <c r="F2708">
        <v>23712930036</v>
      </c>
      <c r="G2708">
        <v>22153516816</v>
      </c>
      <c r="H2708">
        <v>21462684266</v>
      </c>
      <c r="I2708">
        <v>21014080402</v>
      </c>
      <c r="J2708">
        <v>18615671000</v>
      </c>
      <c r="K2708">
        <v>16252409000</v>
      </c>
      <c r="P2708">
        <v>31</v>
      </c>
      <c r="Q2708" t="s">
        <v>5751</v>
      </c>
    </row>
    <row r="2709" spans="1:17" x14ac:dyDescent="0.3">
      <c r="A2709" t="s">
        <v>4729</v>
      </c>
      <c r="B2709" t="str">
        <f>"001228"</f>
        <v>001228</v>
      </c>
      <c r="C2709" t="s">
        <v>5752</v>
      </c>
      <c r="F2709">
        <v>710535537</v>
      </c>
      <c r="G2709">
        <v>542992750</v>
      </c>
      <c r="H2709">
        <v>468784090</v>
      </c>
      <c r="I2709">
        <v>316233748</v>
      </c>
      <c r="J2709">
        <v>290281417</v>
      </c>
      <c r="P2709">
        <v>2</v>
      </c>
      <c r="Q2709" t="s">
        <v>5753</v>
      </c>
    </row>
    <row r="2710" spans="1:17" x14ac:dyDescent="0.3">
      <c r="A2710" t="s">
        <v>4729</v>
      </c>
      <c r="B2710" t="str">
        <f>"001234"</f>
        <v>001234</v>
      </c>
      <c r="C2710" t="s">
        <v>5754</v>
      </c>
      <c r="D2710" t="s">
        <v>366</v>
      </c>
      <c r="F2710">
        <v>476859982</v>
      </c>
      <c r="G2710">
        <v>378808360</v>
      </c>
      <c r="H2710">
        <v>296799454</v>
      </c>
      <c r="I2710">
        <v>263695155</v>
      </c>
      <c r="J2710">
        <v>165124054</v>
      </c>
      <c r="P2710">
        <v>16</v>
      </c>
      <c r="Q2710" t="s">
        <v>5755</v>
      </c>
    </row>
    <row r="2711" spans="1:17" x14ac:dyDescent="0.3">
      <c r="A2711" t="s">
        <v>4729</v>
      </c>
      <c r="B2711" t="str">
        <f>"001235"</f>
        <v>001235</v>
      </c>
      <c r="C2711" t="s">
        <v>5756</v>
      </c>
      <c r="F2711">
        <v>453334914</v>
      </c>
      <c r="G2711">
        <v>399838206</v>
      </c>
      <c r="H2711">
        <v>309457254</v>
      </c>
      <c r="I2711">
        <v>112237161</v>
      </c>
      <c r="Q2711" t="s">
        <v>5757</v>
      </c>
    </row>
    <row r="2712" spans="1:17" x14ac:dyDescent="0.3">
      <c r="A2712" t="s">
        <v>4729</v>
      </c>
      <c r="B2712" t="str">
        <f>"001266"</f>
        <v>001266</v>
      </c>
      <c r="C2712" t="s">
        <v>5758</v>
      </c>
      <c r="F2712">
        <v>398470568</v>
      </c>
      <c r="G2712">
        <v>268156930</v>
      </c>
      <c r="H2712">
        <v>117148578</v>
      </c>
      <c r="I2712">
        <v>57840100</v>
      </c>
      <c r="P2712">
        <v>8</v>
      </c>
      <c r="Q2712" t="s">
        <v>5759</v>
      </c>
    </row>
    <row r="2713" spans="1:17" x14ac:dyDescent="0.3">
      <c r="A2713" t="s">
        <v>4729</v>
      </c>
      <c r="B2713" t="str">
        <f>"001267"</f>
        <v>001267</v>
      </c>
      <c r="C2713" t="s">
        <v>5760</v>
      </c>
      <c r="D2713" t="s">
        <v>2417</v>
      </c>
      <c r="F2713">
        <v>1155031685</v>
      </c>
      <c r="G2713">
        <v>1110669479</v>
      </c>
      <c r="H2713">
        <v>1046744102</v>
      </c>
      <c r="I2713">
        <v>974371601</v>
      </c>
      <c r="P2713">
        <v>10</v>
      </c>
      <c r="Q2713" t="s">
        <v>5761</v>
      </c>
    </row>
    <row r="2714" spans="1:17" x14ac:dyDescent="0.3">
      <c r="A2714" t="s">
        <v>4729</v>
      </c>
      <c r="B2714" t="str">
        <f>"001288"</f>
        <v>001288</v>
      </c>
      <c r="C2714" t="s">
        <v>5762</v>
      </c>
      <c r="D2714" t="s">
        <v>395</v>
      </c>
      <c r="F2714">
        <v>1769989141</v>
      </c>
      <c r="G2714">
        <v>1162920796</v>
      </c>
      <c r="H2714">
        <v>1057007693</v>
      </c>
      <c r="I2714">
        <v>967039026</v>
      </c>
      <c r="J2714">
        <v>873715314</v>
      </c>
      <c r="P2714">
        <v>14</v>
      </c>
      <c r="Q2714" t="s">
        <v>5763</v>
      </c>
    </row>
    <row r="2715" spans="1:17" x14ac:dyDescent="0.3">
      <c r="A2715" t="s">
        <v>4729</v>
      </c>
      <c r="B2715" t="str">
        <f>"001289"</f>
        <v>001289</v>
      </c>
      <c r="C2715" t="s">
        <v>5764</v>
      </c>
      <c r="F2715">
        <v>57282641047</v>
      </c>
      <c r="P2715">
        <v>28</v>
      </c>
      <c r="Q2715" t="s">
        <v>5765</v>
      </c>
    </row>
    <row r="2716" spans="1:17" x14ac:dyDescent="0.3">
      <c r="A2716" t="s">
        <v>4729</v>
      </c>
      <c r="B2716" t="str">
        <f>"001296"</f>
        <v>001296</v>
      </c>
      <c r="C2716" t="s">
        <v>5766</v>
      </c>
      <c r="D2716" t="s">
        <v>2762</v>
      </c>
      <c r="F2716">
        <v>1530693481</v>
      </c>
      <c r="G2716">
        <v>979804407</v>
      </c>
      <c r="H2716">
        <v>860435686</v>
      </c>
      <c r="I2716">
        <v>755581500</v>
      </c>
      <c r="K2716">
        <v>663516970</v>
      </c>
      <c r="P2716">
        <v>15</v>
      </c>
      <c r="Q2716" t="s">
        <v>5767</v>
      </c>
    </row>
    <row r="2717" spans="1:17" x14ac:dyDescent="0.3">
      <c r="A2717" t="s">
        <v>4729</v>
      </c>
      <c r="B2717" t="str">
        <f>"001308"</f>
        <v>001308</v>
      </c>
      <c r="C2717" t="s">
        <v>5768</v>
      </c>
      <c r="F2717">
        <v>2683795638</v>
      </c>
      <c r="G2717">
        <v>2010728321</v>
      </c>
      <c r="H2717">
        <v>1793610676</v>
      </c>
      <c r="I2717">
        <v>1446520212</v>
      </c>
      <c r="P2717">
        <v>5</v>
      </c>
      <c r="Q2717" t="s">
        <v>5769</v>
      </c>
    </row>
    <row r="2718" spans="1:17" x14ac:dyDescent="0.3">
      <c r="A2718" t="s">
        <v>4729</v>
      </c>
      <c r="B2718" t="str">
        <f>"001313"</f>
        <v>001313</v>
      </c>
      <c r="C2718" t="s">
        <v>5770</v>
      </c>
      <c r="F2718">
        <v>2236302397</v>
      </c>
      <c r="G2718">
        <v>2098578049</v>
      </c>
      <c r="H2718">
        <v>2065836237</v>
      </c>
      <c r="I2718">
        <v>1933206361</v>
      </c>
      <c r="J2718">
        <v>1718884534</v>
      </c>
      <c r="P2718">
        <v>10</v>
      </c>
      <c r="Q2718" t="s">
        <v>5771</v>
      </c>
    </row>
    <row r="2719" spans="1:17" x14ac:dyDescent="0.3">
      <c r="A2719" t="s">
        <v>4729</v>
      </c>
      <c r="B2719" t="str">
        <f>"001317"</f>
        <v>001317</v>
      </c>
      <c r="C2719" t="s">
        <v>5772</v>
      </c>
      <c r="D2719" t="s">
        <v>301</v>
      </c>
      <c r="F2719">
        <v>812779798</v>
      </c>
      <c r="G2719">
        <v>490712532</v>
      </c>
      <c r="H2719">
        <v>445095817</v>
      </c>
      <c r="I2719">
        <v>375367162</v>
      </c>
      <c r="J2719">
        <v>352266889</v>
      </c>
      <c r="P2719">
        <v>23</v>
      </c>
      <c r="Q2719" t="s">
        <v>5773</v>
      </c>
    </row>
    <row r="2720" spans="1:17" x14ac:dyDescent="0.3">
      <c r="A2720" t="s">
        <v>4729</v>
      </c>
      <c r="B2720" t="str">
        <f>"001318"</f>
        <v>001318</v>
      </c>
      <c r="C2720" t="s">
        <v>5774</v>
      </c>
      <c r="F2720">
        <v>552333747</v>
      </c>
      <c r="G2720">
        <v>566629716</v>
      </c>
      <c r="H2720">
        <v>538515932</v>
      </c>
      <c r="I2720">
        <v>585624954</v>
      </c>
      <c r="Q2720" t="s">
        <v>5775</v>
      </c>
    </row>
    <row r="2721" spans="1:17" x14ac:dyDescent="0.3">
      <c r="A2721" t="s">
        <v>4729</v>
      </c>
      <c r="B2721" t="str">
        <f>"001319"</f>
        <v>001319</v>
      </c>
      <c r="C2721" t="s">
        <v>5776</v>
      </c>
      <c r="F2721">
        <v>656868085</v>
      </c>
      <c r="G2721">
        <v>605872008</v>
      </c>
      <c r="H2721">
        <v>441185569</v>
      </c>
      <c r="I2721">
        <v>325066542</v>
      </c>
      <c r="P2721">
        <v>0</v>
      </c>
      <c r="Q2721" t="s">
        <v>5777</v>
      </c>
    </row>
    <row r="2722" spans="1:17" x14ac:dyDescent="0.3">
      <c r="A2722" t="s">
        <v>4729</v>
      </c>
      <c r="B2722" t="str">
        <f>"001696"</f>
        <v>001696</v>
      </c>
      <c r="C2722" t="s">
        <v>5778</v>
      </c>
      <c r="D2722" t="s">
        <v>560</v>
      </c>
      <c r="F2722">
        <v>4618675875</v>
      </c>
      <c r="G2722">
        <v>4497745086</v>
      </c>
      <c r="H2722">
        <v>4262651393</v>
      </c>
      <c r="I2722">
        <v>4099893251</v>
      </c>
      <c r="J2722">
        <v>3763373074</v>
      </c>
      <c r="K2722">
        <v>3526024463</v>
      </c>
      <c r="L2722">
        <v>3646579412</v>
      </c>
      <c r="M2722">
        <v>3295896655</v>
      </c>
      <c r="N2722">
        <v>2955192237</v>
      </c>
      <c r="O2722">
        <v>2909088303</v>
      </c>
      <c r="P2722">
        <v>274</v>
      </c>
      <c r="Q2722" t="s">
        <v>5779</v>
      </c>
    </row>
    <row r="2723" spans="1:17" x14ac:dyDescent="0.3">
      <c r="A2723" t="s">
        <v>4729</v>
      </c>
      <c r="B2723" t="str">
        <f>"001872"</f>
        <v>001872</v>
      </c>
      <c r="C2723" t="s">
        <v>5780</v>
      </c>
      <c r="D2723" t="s">
        <v>51</v>
      </c>
      <c r="F2723">
        <v>39801188662</v>
      </c>
      <c r="G2723">
        <v>37117806052</v>
      </c>
      <c r="H2723">
        <v>35972804419</v>
      </c>
      <c r="I2723">
        <v>30760475413</v>
      </c>
      <c r="J2723">
        <v>4922969406</v>
      </c>
      <c r="K2723">
        <v>4709815553</v>
      </c>
      <c r="L2723">
        <v>4439600537</v>
      </c>
      <c r="M2723">
        <v>4115298832</v>
      </c>
      <c r="N2723">
        <v>3947846393</v>
      </c>
      <c r="O2723">
        <v>3678032083</v>
      </c>
      <c r="P2723">
        <v>254</v>
      </c>
      <c r="Q2723" t="s">
        <v>5781</v>
      </c>
    </row>
    <row r="2724" spans="1:17" x14ac:dyDescent="0.3">
      <c r="A2724" t="s">
        <v>4729</v>
      </c>
      <c r="B2724" t="str">
        <f>"001896"</f>
        <v>001896</v>
      </c>
      <c r="C2724" t="s">
        <v>5782</v>
      </c>
      <c r="D2724" t="s">
        <v>41</v>
      </c>
      <c r="F2724">
        <v>5052527542</v>
      </c>
      <c r="G2724">
        <v>6099024084</v>
      </c>
      <c r="H2724">
        <v>5804948531</v>
      </c>
      <c r="I2724">
        <v>5693179956</v>
      </c>
      <c r="J2724">
        <v>6353580503</v>
      </c>
      <c r="K2724">
        <v>4336920065</v>
      </c>
      <c r="L2724">
        <v>3882484250</v>
      </c>
      <c r="M2724">
        <v>3322998783</v>
      </c>
      <c r="N2724">
        <v>913169048</v>
      </c>
      <c r="O2724">
        <v>621894056</v>
      </c>
      <c r="P2724">
        <v>202</v>
      </c>
      <c r="Q2724" t="s">
        <v>5783</v>
      </c>
    </row>
    <row r="2725" spans="1:17" x14ac:dyDescent="0.3">
      <c r="A2725" t="s">
        <v>4729</v>
      </c>
      <c r="B2725" t="str">
        <f>"001914"</f>
        <v>001914</v>
      </c>
      <c r="C2725" t="s">
        <v>5784</v>
      </c>
      <c r="D2725" t="s">
        <v>2975</v>
      </c>
      <c r="F2725">
        <v>8660942150</v>
      </c>
      <c r="G2725">
        <v>8307076670</v>
      </c>
      <c r="H2725">
        <v>7983640524</v>
      </c>
      <c r="I2725">
        <v>4842025399</v>
      </c>
      <c r="J2725">
        <v>4178442529</v>
      </c>
      <c r="K2725">
        <v>4082597972</v>
      </c>
      <c r="L2725">
        <v>3957693680</v>
      </c>
      <c r="M2725">
        <v>3507327713</v>
      </c>
      <c r="N2725">
        <v>3241564237</v>
      </c>
      <c r="O2725">
        <v>2920046517</v>
      </c>
      <c r="P2725">
        <v>264</v>
      </c>
      <c r="Q2725" t="s">
        <v>5785</v>
      </c>
    </row>
    <row r="2726" spans="1:17" x14ac:dyDescent="0.3">
      <c r="A2726" t="s">
        <v>4729</v>
      </c>
      <c r="B2726" t="str">
        <f>"001965"</f>
        <v>001965</v>
      </c>
      <c r="C2726" t="s">
        <v>5786</v>
      </c>
      <c r="D2726" t="s">
        <v>44</v>
      </c>
      <c r="F2726">
        <v>52178129401</v>
      </c>
      <c r="G2726">
        <v>48801277562</v>
      </c>
      <c r="H2726">
        <v>48627942205</v>
      </c>
      <c r="I2726">
        <v>45462649575</v>
      </c>
      <c r="J2726">
        <v>43261899382</v>
      </c>
      <c r="K2726">
        <v>37307953000</v>
      </c>
      <c r="L2726">
        <v>25447032200</v>
      </c>
      <c r="M2726">
        <v>23577372800</v>
      </c>
      <c r="P2726">
        <v>359</v>
      </c>
      <c r="Q2726" t="s">
        <v>5787</v>
      </c>
    </row>
    <row r="2727" spans="1:17" x14ac:dyDescent="0.3">
      <c r="A2727" t="s">
        <v>4729</v>
      </c>
      <c r="B2727" t="str">
        <f>"001979"</f>
        <v>001979</v>
      </c>
      <c r="C2727" t="s">
        <v>5788</v>
      </c>
      <c r="D2727" t="s">
        <v>30</v>
      </c>
      <c r="F2727">
        <v>84572758617</v>
      </c>
      <c r="G2727">
        <v>80896365557</v>
      </c>
      <c r="H2727">
        <v>75845484318</v>
      </c>
      <c r="I2727">
        <v>68908704849</v>
      </c>
      <c r="J2727">
        <v>64368024923</v>
      </c>
      <c r="K2727">
        <v>56430293187</v>
      </c>
      <c r="L2727">
        <v>46628326410</v>
      </c>
      <c r="M2727">
        <v>16812104400</v>
      </c>
      <c r="N2727">
        <v>14063502200</v>
      </c>
      <c r="O2727">
        <v>12406813200</v>
      </c>
      <c r="P2727">
        <v>1456</v>
      </c>
      <c r="Q2727" t="s">
        <v>5789</v>
      </c>
    </row>
    <row r="2728" spans="1:17" x14ac:dyDescent="0.3">
      <c r="A2728" t="s">
        <v>4729</v>
      </c>
      <c r="B2728" t="str">
        <f>"002001"</f>
        <v>002001</v>
      </c>
      <c r="C2728" t="s">
        <v>5790</v>
      </c>
      <c r="D2728" t="s">
        <v>496</v>
      </c>
      <c r="F2728">
        <v>21799977646</v>
      </c>
      <c r="G2728">
        <v>19336254923</v>
      </c>
      <c r="H2728">
        <v>16848122324</v>
      </c>
      <c r="I2728">
        <v>16170396083</v>
      </c>
      <c r="J2728">
        <v>13956928416</v>
      </c>
      <c r="K2728">
        <v>8062567776</v>
      </c>
      <c r="L2728">
        <v>7048394121</v>
      </c>
      <c r="M2728">
        <v>7015166458</v>
      </c>
      <c r="N2728">
        <v>6570557702</v>
      </c>
      <c r="O2728">
        <v>6052329428</v>
      </c>
      <c r="P2728">
        <v>1984</v>
      </c>
      <c r="Q2728" t="s">
        <v>5791</v>
      </c>
    </row>
    <row r="2729" spans="1:17" x14ac:dyDescent="0.3">
      <c r="A2729" t="s">
        <v>4729</v>
      </c>
      <c r="B2729" t="str">
        <f>"002002"</f>
        <v>002002</v>
      </c>
      <c r="C2729" t="s">
        <v>5792</v>
      </c>
      <c r="D2729" t="s">
        <v>175</v>
      </c>
      <c r="F2729">
        <v>9882130110</v>
      </c>
      <c r="G2729">
        <v>6880357870</v>
      </c>
      <c r="H2729">
        <v>6696628751</v>
      </c>
      <c r="I2729">
        <v>6089950532</v>
      </c>
      <c r="J2729">
        <v>5790881553</v>
      </c>
      <c r="K2729">
        <v>3822638930</v>
      </c>
      <c r="L2729">
        <v>4154165507</v>
      </c>
      <c r="M2729">
        <v>2830244372</v>
      </c>
      <c r="N2729">
        <v>2478361009</v>
      </c>
      <c r="O2729">
        <v>97679652</v>
      </c>
      <c r="P2729">
        <v>451</v>
      </c>
      <c r="Q2729" t="s">
        <v>5793</v>
      </c>
    </row>
    <row r="2730" spans="1:17" x14ac:dyDescent="0.3">
      <c r="A2730" t="s">
        <v>4729</v>
      </c>
      <c r="B2730" t="str">
        <f>"002003"</f>
        <v>002003</v>
      </c>
      <c r="C2730" t="s">
        <v>5794</v>
      </c>
      <c r="D2730" t="s">
        <v>2956</v>
      </c>
      <c r="F2730">
        <v>2692738659</v>
      </c>
      <c r="G2730">
        <v>2517748442</v>
      </c>
      <c r="H2730">
        <v>2419160456</v>
      </c>
      <c r="I2730">
        <v>2366524110</v>
      </c>
      <c r="J2730">
        <v>2398853142</v>
      </c>
      <c r="K2730">
        <v>2210612025</v>
      </c>
      <c r="L2730">
        <v>1844261759</v>
      </c>
      <c r="M2730">
        <v>1787069701</v>
      </c>
      <c r="N2730">
        <v>1732650108</v>
      </c>
      <c r="O2730">
        <v>1649344423</v>
      </c>
      <c r="P2730">
        <v>761</v>
      </c>
      <c r="Q2730" t="s">
        <v>5795</v>
      </c>
    </row>
    <row r="2731" spans="1:17" x14ac:dyDescent="0.3">
      <c r="A2731" t="s">
        <v>4729</v>
      </c>
      <c r="B2731" t="str">
        <f>"002004"</f>
        <v>002004</v>
      </c>
      <c r="C2731" t="s">
        <v>5796</v>
      </c>
      <c r="D2731" t="s">
        <v>143</v>
      </c>
      <c r="F2731">
        <v>10109391327</v>
      </c>
      <c r="G2731">
        <v>9629493731</v>
      </c>
      <c r="H2731">
        <v>9340773415</v>
      </c>
      <c r="I2731">
        <v>9064945720</v>
      </c>
      <c r="J2731">
        <v>9492988894</v>
      </c>
      <c r="K2731">
        <v>9645235056</v>
      </c>
      <c r="L2731">
        <v>9523144458</v>
      </c>
      <c r="M2731">
        <v>5575699526</v>
      </c>
      <c r="N2731">
        <v>3797259475</v>
      </c>
      <c r="O2731">
        <v>2682686222</v>
      </c>
      <c r="P2731">
        <v>328</v>
      </c>
      <c r="Q2731" t="s">
        <v>5797</v>
      </c>
    </row>
    <row r="2732" spans="1:17" x14ac:dyDescent="0.3">
      <c r="A2732" t="s">
        <v>4729</v>
      </c>
      <c r="B2732" t="str">
        <f>"002005"</f>
        <v>002005</v>
      </c>
      <c r="C2732" t="s">
        <v>5798</v>
      </c>
      <c r="D2732" t="s">
        <v>5799</v>
      </c>
      <c r="F2732">
        <v>1405092374</v>
      </c>
      <c r="G2732">
        <v>1773284773</v>
      </c>
      <c r="H2732">
        <v>2489860904</v>
      </c>
      <c r="I2732">
        <v>2254473188</v>
      </c>
      <c r="J2732">
        <v>6175615703</v>
      </c>
      <c r="K2732">
        <v>5355552591</v>
      </c>
      <c r="L2732">
        <v>5524278183</v>
      </c>
      <c r="M2732">
        <v>5554758126</v>
      </c>
      <c r="N2732">
        <v>4227420406</v>
      </c>
      <c r="O2732">
        <v>4203132438</v>
      </c>
      <c r="P2732">
        <v>74</v>
      </c>
      <c r="Q2732" t="s">
        <v>5800</v>
      </c>
    </row>
    <row r="2733" spans="1:17" x14ac:dyDescent="0.3">
      <c r="A2733" t="s">
        <v>4729</v>
      </c>
      <c r="B2733" t="str">
        <f>"002006"</f>
        <v>002006</v>
      </c>
      <c r="C2733" t="s">
        <v>5801</v>
      </c>
      <c r="D2733" t="s">
        <v>741</v>
      </c>
      <c r="F2733">
        <v>1054535669</v>
      </c>
      <c r="G2733">
        <v>939754923</v>
      </c>
      <c r="H2733">
        <v>905730224</v>
      </c>
      <c r="I2733">
        <v>1023169484</v>
      </c>
      <c r="J2733">
        <v>1023047939</v>
      </c>
      <c r="K2733">
        <v>930797394</v>
      </c>
      <c r="L2733">
        <v>866337561</v>
      </c>
      <c r="M2733">
        <v>848854422</v>
      </c>
      <c r="N2733">
        <v>828806627</v>
      </c>
      <c r="O2733">
        <v>1024902444</v>
      </c>
      <c r="P2733">
        <v>127</v>
      </c>
      <c r="Q2733" t="s">
        <v>5802</v>
      </c>
    </row>
    <row r="2734" spans="1:17" x14ac:dyDescent="0.3">
      <c r="A2734" t="s">
        <v>4729</v>
      </c>
      <c r="B2734" t="str">
        <f>"002007"</f>
        <v>002007</v>
      </c>
      <c r="C2734" t="s">
        <v>5803</v>
      </c>
      <c r="D2734" t="s">
        <v>378</v>
      </c>
      <c r="F2734">
        <v>8336955957</v>
      </c>
      <c r="G2734">
        <v>7528539477</v>
      </c>
      <c r="H2734">
        <v>6543127593</v>
      </c>
      <c r="I2734">
        <v>5527197895</v>
      </c>
      <c r="J2734">
        <v>4666711262</v>
      </c>
      <c r="K2734">
        <v>4217922863</v>
      </c>
      <c r="L2734">
        <v>3657948450</v>
      </c>
      <c r="M2734">
        <v>3402382635</v>
      </c>
      <c r="N2734">
        <v>3077410569</v>
      </c>
      <c r="O2734">
        <v>2597709724</v>
      </c>
      <c r="P2734">
        <v>13194</v>
      </c>
      <c r="Q2734" t="s">
        <v>5804</v>
      </c>
    </row>
    <row r="2735" spans="1:17" x14ac:dyDescent="0.3">
      <c r="A2735" t="s">
        <v>4729</v>
      </c>
      <c r="B2735" t="str">
        <f>"002008"</f>
        <v>002008</v>
      </c>
      <c r="C2735" t="s">
        <v>5805</v>
      </c>
      <c r="D2735" t="s">
        <v>3811</v>
      </c>
      <c r="F2735">
        <v>11064208823</v>
      </c>
      <c r="G2735">
        <v>9191339825</v>
      </c>
      <c r="H2735">
        <v>8274613590</v>
      </c>
      <c r="I2735">
        <v>7771964367</v>
      </c>
      <c r="J2735">
        <v>6981452922</v>
      </c>
      <c r="K2735">
        <v>5306359146</v>
      </c>
      <c r="L2735">
        <v>4740106596</v>
      </c>
      <c r="M2735">
        <v>4124638410</v>
      </c>
      <c r="N2735">
        <v>3578978051</v>
      </c>
      <c r="O2735">
        <v>3380385516</v>
      </c>
      <c r="P2735">
        <v>4830</v>
      </c>
      <c r="Q2735" t="s">
        <v>5806</v>
      </c>
    </row>
    <row r="2736" spans="1:17" x14ac:dyDescent="0.3">
      <c r="A2736" t="s">
        <v>4729</v>
      </c>
      <c r="B2736" t="str">
        <f>"002009"</f>
        <v>002009</v>
      </c>
      <c r="C2736" t="s">
        <v>5807</v>
      </c>
      <c r="D2736" t="s">
        <v>741</v>
      </c>
      <c r="F2736">
        <v>2076363507</v>
      </c>
      <c r="G2736">
        <v>1932061291</v>
      </c>
      <c r="H2736">
        <v>2018915799</v>
      </c>
      <c r="I2736">
        <v>2089963597</v>
      </c>
      <c r="J2736">
        <v>1976603441</v>
      </c>
      <c r="K2736">
        <v>1911096978</v>
      </c>
      <c r="L2736">
        <v>1745749328</v>
      </c>
      <c r="M2736">
        <v>1425882169</v>
      </c>
      <c r="N2736">
        <v>1336360121</v>
      </c>
      <c r="O2736">
        <v>575113228</v>
      </c>
      <c r="P2736">
        <v>148</v>
      </c>
      <c r="Q2736" t="s">
        <v>5808</v>
      </c>
    </row>
    <row r="2737" spans="1:17" x14ac:dyDescent="0.3">
      <c r="A2737" t="s">
        <v>4729</v>
      </c>
      <c r="B2737" t="str">
        <f>"002010"</f>
        <v>002010</v>
      </c>
      <c r="C2737" t="s">
        <v>5809</v>
      </c>
      <c r="D2737" t="s">
        <v>2503</v>
      </c>
      <c r="F2737">
        <v>16883461751</v>
      </c>
      <c r="G2737">
        <v>15019328124</v>
      </c>
      <c r="H2737">
        <v>14626764265</v>
      </c>
      <c r="I2737">
        <v>12161580759</v>
      </c>
      <c r="J2737">
        <v>11435986021</v>
      </c>
      <c r="K2737">
        <v>11126638292</v>
      </c>
      <c r="L2737">
        <v>10872988648</v>
      </c>
      <c r="M2737">
        <v>1843266851</v>
      </c>
      <c r="N2737">
        <v>1760131382</v>
      </c>
      <c r="O2737">
        <v>1636355522</v>
      </c>
      <c r="P2737">
        <v>279</v>
      </c>
      <c r="Q2737" t="s">
        <v>5810</v>
      </c>
    </row>
    <row r="2738" spans="1:17" x14ac:dyDescent="0.3">
      <c r="A2738" t="s">
        <v>4729</v>
      </c>
      <c r="B2738" t="str">
        <f>"002011"</f>
        <v>002011</v>
      </c>
      <c r="C2738" t="s">
        <v>5811</v>
      </c>
      <c r="D2738" t="s">
        <v>1253</v>
      </c>
      <c r="F2738">
        <v>1735424596</v>
      </c>
      <c r="G2738">
        <v>1366040346</v>
      </c>
      <c r="H2738">
        <v>2381370325</v>
      </c>
      <c r="I2738">
        <v>2212678937</v>
      </c>
      <c r="J2738">
        <v>4395877949</v>
      </c>
      <c r="K2738">
        <v>4451978867</v>
      </c>
      <c r="L2738">
        <v>3703875819</v>
      </c>
      <c r="M2738">
        <v>3494325504</v>
      </c>
      <c r="N2738">
        <v>3382848202</v>
      </c>
      <c r="O2738">
        <v>3214378917</v>
      </c>
      <c r="P2738">
        <v>201</v>
      </c>
      <c r="Q2738" t="s">
        <v>5812</v>
      </c>
    </row>
    <row r="2739" spans="1:17" x14ac:dyDescent="0.3">
      <c r="A2739" t="s">
        <v>4729</v>
      </c>
      <c r="B2739" t="str">
        <f>"002012"</f>
        <v>002012</v>
      </c>
      <c r="C2739" t="s">
        <v>5813</v>
      </c>
      <c r="D2739" t="s">
        <v>244</v>
      </c>
      <c r="F2739">
        <v>1449322577</v>
      </c>
      <c r="G2739">
        <v>1369692643</v>
      </c>
      <c r="H2739">
        <v>1279540316</v>
      </c>
      <c r="I2739">
        <v>1235198439</v>
      </c>
      <c r="J2739">
        <v>1210138765</v>
      </c>
      <c r="K2739">
        <v>1188803215</v>
      </c>
      <c r="L2739">
        <v>1180050163</v>
      </c>
      <c r="M2739">
        <v>1160915720</v>
      </c>
      <c r="N2739">
        <v>1119797238</v>
      </c>
      <c r="O2739">
        <v>1119249764</v>
      </c>
      <c r="P2739">
        <v>131</v>
      </c>
      <c r="Q2739" t="s">
        <v>5814</v>
      </c>
    </row>
    <row r="2740" spans="1:17" x14ac:dyDescent="0.3">
      <c r="A2740" t="s">
        <v>4729</v>
      </c>
      <c r="B2740" t="str">
        <f>"002013"</f>
        <v>002013</v>
      </c>
      <c r="C2740" t="s">
        <v>5815</v>
      </c>
      <c r="D2740" t="s">
        <v>98</v>
      </c>
      <c r="F2740">
        <v>13991537679</v>
      </c>
      <c r="G2740">
        <v>12914360084</v>
      </c>
      <c r="H2740">
        <v>9422767255</v>
      </c>
      <c r="I2740">
        <v>8871854177</v>
      </c>
      <c r="J2740">
        <v>8532393939</v>
      </c>
      <c r="K2740">
        <v>7497117162</v>
      </c>
      <c r="L2740">
        <v>5182715926</v>
      </c>
      <c r="M2740">
        <v>4666529316</v>
      </c>
      <c r="N2740">
        <v>4332304764</v>
      </c>
      <c r="O2740">
        <v>3931386659</v>
      </c>
      <c r="P2740">
        <v>656</v>
      </c>
      <c r="Q2740" t="s">
        <v>5816</v>
      </c>
    </row>
    <row r="2741" spans="1:17" x14ac:dyDescent="0.3">
      <c r="A2741" t="s">
        <v>4729</v>
      </c>
      <c r="B2741" t="str">
        <f>"002014"</f>
        <v>002014</v>
      </c>
      <c r="C2741" t="s">
        <v>5817</v>
      </c>
      <c r="D2741" t="s">
        <v>485</v>
      </c>
      <c r="F2741">
        <v>2128623400</v>
      </c>
      <c r="G2741">
        <v>1991118467</v>
      </c>
      <c r="H2741">
        <v>1857985509</v>
      </c>
      <c r="I2741">
        <v>1838464715</v>
      </c>
      <c r="J2741">
        <v>1764264830</v>
      </c>
      <c r="K2741">
        <v>1726726742</v>
      </c>
      <c r="L2741">
        <v>1606368223</v>
      </c>
      <c r="M2741">
        <v>1538056589</v>
      </c>
      <c r="N2741">
        <v>1482696706</v>
      </c>
      <c r="O2741">
        <v>1390251520</v>
      </c>
      <c r="P2741">
        <v>467</v>
      </c>
      <c r="Q2741" t="s">
        <v>5818</v>
      </c>
    </row>
    <row r="2742" spans="1:17" x14ac:dyDescent="0.3">
      <c r="A2742" t="s">
        <v>4729</v>
      </c>
      <c r="B2742" t="str">
        <f>"002015"</f>
        <v>002015</v>
      </c>
      <c r="C2742" t="s">
        <v>5819</v>
      </c>
      <c r="D2742" t="s">
        <v>351</v>
      </c>
      <c r="F2742">
        <v>6216313669</v>
      </c>
      <c r="G2742">
        <v>5727844984</v>
      </c>
      <c r="H2742">
        <v>4831609793</v>
      </c>
      <c r="I2742">
        <v>534146392</v>
      </c>
      <c r="J2742">
        <v>297315923</v>
      </c>
      <c r="K2742">
        <v>289531845</v>
      </c>
      <c r="L2742">
        <v>329436210</v>
      </c>
      <c r="M2742">
        <v>-657036174</v>
      </c>
      <c r="N2742">
        <v>393742176</v>
      </c>
      <c r="O2742">
        <v>743311015</v>
      </c>
      <c r="P2742">
        <v>239</v>
      </c>
      <c r="Q2742" t="s">
        <v>5820</v>
      </c>
    </row>
    <row r="2743" spans="1:17" x14ac:dyDescent="0.3">
      <c r="A2743" t="s">
        <v>4729</v>
      </c>
      <c r="B2743" t="str">
        <f>"002016"</f>
        <v>002016</v>
      </c>
      <c r="C2743" t="s">
        <v>5821</v>
      </c>
      <c r="D2743" t="s">
        <v>104</v>
      </c>
      <c r="F2743">
        <v>4685336624</v>
      </c>
      <c r="G2743">
        <v>4058602429</v>
      </c>
      <c r="H2743">
        <v>3170308689</v>
      </c>
      <c r="I2743">
        <v>2692633077</v>
      </c>
      <c r="J2743">
        <v>2475531900</v>
      </c>
      <c r="K2743">
        <v>1789854511</v>
      </c>
      <c r="L2743">
        <v>1696223671</v>
      </c>
      <c r="M2743">
        <v>1560171896</v>
      </c>
      <c r="N2743">
        <v>1597158862</v>
      </c>
      <c r="O2743">
        <v>1111932629</v>
      </c>
      <c r="P2743">
        <v>457</v>
      </c>
      <c r="Q2743" t="s">
        <v>5822</v>
      </c>
    </row>
    <row r="2744" spans="1:17" x14ac:dyDescent="0.3">
      <c r="A2744" t="s">
        <v>4729</v>
      </c>
      <c r="B2744" t="str">
        <f>"002017"</f>
        <v>002017</v>
      </c>
      <c r="C2744" t="s">
        <v>5823</v>
      </c>
      <c r="D2744" t="s">
        <v>786</v>
      </c>
      <c r="F2744">
        <v>1441796871</v>
      </c>
      <c r="G2744">
        <v>1413101017</v>
      </c>
      <c r="H2744">
        <v>1395128687</v>
      </c>
      <c r="I2744">
        <v>972727450</v>
      </c>
      <c r="J2744">
        <v>940949804</v>
      </c>
      <c r="K2744">
        <v>911353941</v>
      </c>
      <c r="L2744">
        <v>822102754</v>
      </c>
      <c r="M2744">
        <v>759793057</v>
      </c>
      <c r="N2744">
        <v>715812992</v>
      </c>
      <c r="O2744">
        <v>680486575</v>
      </c>
      <c r="P2744">
        <v>216</v>
      </c>
      <c r="Q2744" t="s">
        <v>5824</v>
      </c>
    </row>
    <row r="2745" spans="1:17" x14ac:dyDescent="0.3">
      <c r="A2745" t="s">
        <v>4729</v>
      </c>
      <c r="B2745" t="str">
        <f>"002018"</f>
        <v>002018</v>
      </c>
      <c r="C2745" t="s">
        <v>5825</v>
      </c>
      <c r="H2745">
        <v>-1332848473</v>
      </c>
      <c r="I2745">
        <v>-1125779071</v>
      </c>
      <c r="J2745">
        <v>64354261</v>
      </c>
      <c r="K2745">
        <v>3160770024</v>
      </c>
      <c r="L2745">
        <v>2898098291</v>
      </c>
      <c r="M2745">
        <v>2698785469</v>
      </c>
      <c r="N2745">
        <v>2604685671</v>
      </c>
      <c r="O2745">
        <v>683381679</v>
      </c>
      <c r="P2745">
        <v>40</v>
      </c>
      <c r="Q2745" t="s">
        <v>5826</v>
      </c>
    </row>
    <row r="2746" spans="1:17" x14ac:dyDescent="0.3">
      <c r="A2746" t="s">
        <v>4729</v>
      </c>
      <c r="B2746" t="str">
        <f>"002019"</f>
        <v>002019</v>
      </c>
      <c r="C2746" t="s">
        <v>5827</v>
      </c>
      <c r="D2746" t="s">
        <v>143</v>
      </c>
      <c r="F2746">
        <v>8535174993</v>
      </c>
      <c r="G2746">
        <v>8439869310</v>
      </c>
      <c r="H2746">
        <v>7499564466</v>
      </c>
      <c r="I2746">
        <v>6623948506</v>
      </c>
      <c r="J2746">
        <v>6468495433</v>
      </c>
      <c r="K2746">
        <v>3524578525</v>
      </c>
      <c r="L2746">
        <v>2858084376</v>
      </c>
      <c r="M2746">
        <v>2544162931</v>
      </c>
      <c r="N2746">
        <v>507644568</v>
      </c>
      <c r="O2746">
        <v>480813200</v>
      </c>
      <c r="P2746">
        <v>974</v>
      </c>
      <c r="Q2746" t="s">
        <v>5828</v>
      </c>
    </row>
    <row r="2747" spans="1:17" x14ac:dyDescent="0.3">
      <c r="A2747" t="s">
        <v>4729</v>
      </c>
      <c r="B2747" t="str">
        <f>"002020"</f>
        <v>002020</v>
      </c>
      <c r="C2747" t="s">
        <v>5829</v>
      </c>
      <c r="D2747" t="s">
        <v>143</v>
      </c>
      <c r="F2747">
        <v>4817411307</v>
      </c>
      <c r="G2747">
        <v>3917602966</v>
      </c>
      <c r="H2747">
        <v>3696079802</v>
      </c>
      <c r="I2747">
        <v>3561772413</v>
      </c>
      <c r="J2747">
        <v>3920617698</v>
      </c>
      <c r="K2747">
        <v>2381007672</v>
      </c>
      <c r="L2747">
        <v>2216881980</v>
      </c>
      <c r="M2747">
        <v>1398538402</v>
      </c>
      <c r="N2747">
        <v>817978025</v>
      </c>
      <c r="O2747">
        <v>772579549</v>
      </c>
      <c r="P2747">
        <v>619</v>
      </c>
      <c r="Q2747" t="s">
        <v>5830</v>
      </c>
    </row>
    <row r="2748" spans="1:17" x14ac:dyDescent="0.3">
      <c r="A2748" t="s">
        <v>4729</v>
      </c>
      <c r="B2748" t="str">
        <f>"002021"</f>
        <v>002021</v>
      </c>
      <c r="C2748" t="s">
        <v>5831</v>
      </c>
      <c r="D2748" t="s">
        <v>534</v>
      </c>
      <c r="F2748">
        <v>112397133</v>
      </c>
      <c r="G2748">
        <v>630400431</v>
      </c>
      <c r="H2748">
        <v>708764995</v>
      </c>
      <c r="I2748">
        <v>699088548</v>
      </c>
      <c r="J2748">
        <v>936857867</v>
      </c>
      <c r="K2748">
        <v>1029579937</v>
      </c>
      <c r="L2748">
        <v>1017649598</v>
      </c>
      <c r="M2748">
        <v>1429975451</v>
      </c>
      <c r="N2748">
        <v>980583386</v>
      </c>
      <c r="O2748">
        <v>957758501</v>
      </c>
      <c r="P2748">
        <v>57</v>
      </c>
      <c r="Q2748" t="s">
        <v>5832</v>
      </c>
    </row>
    <row r="2749" spans="1:17" x14ac:dyDescent="0.3">
      <c r="A2749" t="s">
        <v>4729</v>
      </c>
      <c r="B2749" t="str">
        <f>"002022"</f>
        <v>002022</v>
      </c>
      <c r="C2749" t="s">
        <v>5833</v>
      </c>
      <c r="D2749" t="s">
        <v>1305</v>
      </c>
      <c r="F2749">
        <v>3611933452</v>
      </c>
      <c r="G2749">
        <v>2998371556</v>
      </c>
      <c r="H2749">
        <v>2357108235</v>
      </c>
      <c r="I2749">
        <v>2177228397</v>
      </c>
      <c r="J2749">
        <v>1997497248</v>
      </c>
      <c r="K2749">
        <v>1844832533</v>
      </c>
      <c r="L2749">
        <v>1674049528</v>
      </c>
      <c r="M2749">
        <v>1256741261</v>
      </c>
      <c r="N2749">
        <v>1132191911</v>
      </c>
      <c r="O2749">
        <v>1021082634</v>
      </c>
      <c r="P2749">
        <v>1024</v>
      </c>
      <c r="Q2749" t="s">
        <v>5834</v>
      </c>
    </row>
    <row r="2750" spans="1:17" x14ac:dyDescent="0.3">
      <c r="A2750" t="s">
        <v>4729</v>
      </c>
      <c r="B2750" t="str">
        <f>"002023"</f>
        <v>002023</v>
      </c>
      <c r="C2750" t="s">
        <v>5835</v>
      </c>
      <c r="D2750" t="s">
        <v>98</v>
      </c>
      <c r="F2750">
        <v>4102412789</v>
      </c>
      <c r="G2750">
        <v>3541644332</v>
      </c>
      <c r="H2750">
        <v>3566615335</v>
      </c>
      <c r="I2750">
        <v>3475249804</v>
      </c>
      <c r="J2750">
        <v>3489638893</v>
      </c>
      <c r="K2750">
        <v>3640486134</v>
      </c>
      <c r="L2750">
        <v>3287772066</v>
      </c>
      <c r="M2750">
        <v>1665346839</v>
      </c>
      <c r="N2750">
        <v>1544502837</v>
      </c>
      <c r="O2750">
        <v>1051725047</v>
      </c>
      <c r="P2750">
        <v>580</v>
      </c>
      <c r="Q2750" t="s">
        <v>5836</v>
      </c>
    </row>
    <row r="2751" spans="1:17" x14ac:dyDescent="0.3">
      <c r="A2751" t="s">
        <v>4729</v>
      </c>
      <c r="B2751" t="str">
        <f>"002024"</f>
        <v>002024</v>
      </c>
      <c r="C2751" t="s">
        <v>5837</v>
      </c>
      <c r="D2751" t="s">
        <v>3093</v>
      </c>
      <c r="F2751">
        <v>32098060000</v>
      </c>
      <c r="G2751">
        <v>76857447000</v>
      </c>
      <c r="H2751">
        <v>87921915000</v>
      </c>
      <c r="I2751">
        <v>80917098000</v>
      </c>
      <c r="J2751">
        <v>78958410000</v>
      </c>
      <c r="K2751">
        <v>65709680000</v>
      </c>
      <c r="L2751">
        <v>30482556000</v>
      </c>
      <c r="M2751">
        <v>29281855000</v>
      </c>
      <c r="N2751">
        <v>28369258000</v>
      </c>
      <c r="O2751">
        <v>28459130000</v>
      </c>
      <c r="P2751">
        <v>1902</v>
      </c>
      <c r="Q2751" t="s">
        <v>5838</v>
      </c>
    </row>
    <row r="2752" spans="1:17" x14ac:dyDescent="0.3">
      <c r="A2752" t="s">
        <v>4729</v>
      </c>
      <c r="B2752" t="str">
        <f>"002025"</f>
        <v>002025</v>
      </c>
      <c r="C2752" t="s">
        <v>5839</v>
      </c>
      <c r="D2752" t="s">
        <v>1136</v>
      </c>
      <c r="F2752">
        <v>5243399539</v>
      </c>
      <c r="G2752">
        <v>3406016533</v>
      </c>
      <c r="H2752">
        <v>3031782337</v>
      </c>
      <c r="I2752">
        <v>2691041806</v>
      </c>
      <c r="J2752">
        <v>2372023699</v>
      </c>
      <c r="K2752">
        <v>2155028285</v>
      </c>
      <c r="L2752">
        <v>1962422522</v>
      </c>
      <c r="M2752">
        <v>1784135945</v>
      </c>
      <c r="N2752">
        <v>1637589786</v>
      </c>
      <c r="O2752">
        <v>1506600642</v>
      </c>
      <c r="P2752">
        <v>468</v>
      </c>
      <c r="Q2752" t="s">
        <v>5840</v>
      </c>
    </row>
    <row r="2753" spans="1:17" x14ac:dyDescent="0.3">
      <c r="A2753" t="s">
        <v>4729</v>
      </c>
      <c r="B2753" t="str">
        <f>"002026"</f>
        <v>002026</v>
      </c>
      <c r="C2753" t="s">
        <v>5841</v>
      </c>
      <c r="D2753" t="s">
        <v>274</v>
      </c>
      <c r="F2753">
        <v>3099651369</v>
      </c>
      <c r="G2753">
        <v>2573196821</v>
      </c>
      <c r="H2753">
        <v>2328446798</v>
      </c>
      <c r="I2753">
        <v>2481249518</v>
      </c>
      <c r="J2753">
        <v>2344344204</v>
      </c>
      <c r="K2753">
        <v>2244097909</v>
      </c>
      <c r="L2753">
        <v>1634291385</v>
      </c>
      <c r="M2753">
        <v>1571506383</v>
      </c>
      <c r="N2753">
        <v>706681323</v>
      </c>
      <c r="O2753">
        <v>669572779</v>
      </c>
      <c r="P2753">
        <v>208</v>
      </c>
      <c r="Q2753" t="s">
        <v>5842</v>
      </c>
    </row>
    <row r="2754" spans="1:17" x14ac:dyDescent="0.3">
      <c r="A2754" t="s">
        <v>4729</v>
      </c>
      <c r="B2754" t="str">
        <f>"002027"</f>
        <v>002027</v>
      </c>
      <c r="C2754" t="s">
        <v>5843</v>
      </c>
      <c r="D2754" t="s">
        <v>5132</v>
      </c>
      <c r="F2754">
        <v>18379430977</v>
      </c>
      <c r="G2754">
        <v>17016986250</v>
      </c>
      <c r="H2754">
        <v>13778408777</v>
      </c>
      <c r="I2754">
        <v>14201141092</v>
      </c>
      <c r="J2754">
        <v>10372574414</v>
      </c>
      <c r="K2754">
        <v>7990926198</v>
      </c>
      <c r="L2754">
        <v>4598731084</v>
      </c>
      <c r="M2754">
        <v>495403426</v>
      </c>
      <c r="N2754">
        <v>488812145</v>
      </c>
      <c r="O2754">
        <v>612574086</v>
      </c>
      <c r="P2754">
        <v>5236</v>
      </c>
      <c r="Q2754" t="s">
        <v>5844</v>
      </c>
    </row>
    <row r="2755" spans="1:17" x14ac:dyDescent="0.3">
      <c r="A2755" t="s">
        <v>4729</v>
      </c>
      <c r="B2755" t="str">
        <f>"002028"</f>
        <v>002028</v>
      </c>
      <c r="C2755" t="s">
        <v>5845</v>
      </c>
      <c r="D2755" t="s">
        <v>210</v>
      </c>
      <c r="F2755">
        <v>8370468009</v>
      </c>
      <c r="G2755">
        <v>6521275318</v>
      </c>
      <c r="H2755">
        <v>5042214012</v>
      </c>
      <c r="I2755">
        <v>4569855450</v>
      </c>
      <c r="J2755">
        <v>4364325174</v>
      </c>
      <c r="K2755">
        <v>4196967249</v>
      </c>
      <c r="L2755">
        <v>3922813509</v>
      </c>
      <c r="M2755">
        <v>3566455633</v>
      </c>
      <c r="N2755">
        <v>3213822678</v>
      </c>
      <c r="O2755">
        <v>2864064196</v>
      </c>
      <c r="P2755">
        <v>603</v>
      </c>
      <c r="Q2755" t="s">
        <v>5846</v>
      </c>
    </row>
    <row r="2756" spans="1:17" x14ac:dyDescent="0.3">
      <c r="A2756" t="s">
        <v>4729</v>
      </c>
      <c r="B2756" t="str">
        <f>"002029"</f>
        <v>002029</v>
      </c>
      <c r="C2756" t="s">
        <v>5847</v>
      </c>
      <c r="D2756" t="s">
        <v>255</v>
      </c>
      <c r="F2756">
        <v>6006466630</v>
      </c>
      <c r="G2756">
        <v>5987778981</v>
      </c>
      <c r="H2756">
        <v>5998408708</v>
      </c>
      <c r="I2756">
        <v>5727637319</v>
      </c>
      <c r="J2756">
        <v>5452146572</v>
      </c>
      <c r="K2756">
        <v>5197755279</v>
      </c>
      <c r="L2756">
        <v>5021309292</v>
      </c>
      <c r="M2756">
        <v>4814751527</v>
      </c>
      <c r="N2756">
        <v>4581747607</v>
      </c>
      <c r="O2756">
        <v>4265636900</v>
      </c>
      <c r="P2756">
        <v>217</v>
      </c>
      <c r="Q2756" t="s">
        <v>5848</v>
      </c>
    </row>
    <row r="2757" spans="1:17" x14ac:dyDescent="0.3">
      <c r="A2757" t="s">
        <v>4729</v>
      </c>
      <c r="B2757" t="str">
        <f>"002030"</f>
        <v>002030</v>
      </c>
      <c r="C2757" t="s">
        <v>5849</v>
      </c>
      <c r="D2757" t="s">
        <v>1305</v>
      </c>
      <c r="F2757">
        <v>7351336362</v>
      </c>
      <c r="G2757">
        <v>4268624949</v>
      </c>
      <c r="H2757">
        <v>1841511884</v>
      </c>
      <c r="I2757">
        <v>1815789007</v>
      </c>
      <c r="J2757">
        <v>1680047076</v>
      </c>
      <c r="K2757">
        <v>1609421769</v>
      </c>
      <c r="L2757">
        <v>1327086473</v>
      </c>
      <c r="M2757">
        <v>851594704</v>
      </c>
      <c r="N2757">
        <v>701435655</v>
      </c>
      <c r="O2757">
        <v>573249190</v>
      </c>
      <c r="P2757">
        <v>1177</v>
      </c>
      <c r="Q2757" t="s">
        <v>5850</v>
      </c>
    </row>
    <row r="2758" spans="1:17" x14ac:dyDescent="0.3">
      <c r="A2758" t="s">
        <v>4729</v>
      </c>
      <c r="B2758" t="str">
        <f>"002031"</f>
        <v>002031</v>
      </c>
      <c r="C2758" t="s">
        <v>5851</v>
      </c>
      <c r="D2758" t="s">
        <v>741</v>
      </c>
      <c r="F2758">
        <v>2426886041</v>
      </c>
      <c r="G2758">
        <v>2907214999</v>
      </c>
      <c r="H2758">
        <v>3070692792</v>
      </c>
      <c r="I2758">
        <v>3056945027</v>
      </c>
      <c r="J2758">
        <v>3006144229</v>
      </c>
      <c r="K2758">
        <v>2948257780</v>
      </c>
      <c r="L2758">
        <v>2984090664</v>
      </c>
      <c r="M2758">
        <v>2881549054</v>
      </c>
      <c r="N2758">
        <v>1769958538</v>
      </c>
      <c r="O2758">
        <v>1373770124</v>
      </c>
      <c r="P2758">
        <v>137</v>
      </c>
      <c r="Q2758" t="s">
        <v>5852</v>
      </c>
    </row>
    <row r="2759" spans="1:17" x14ac:dyDescent="0.3">
      <c r="A2759" t="s">
        <v>4729</v>
      </c>
      <c r="B2759" t="str">
        <f>"002032"</f>
        <v>002032</v>
      </c>
      <c r="C2759" t="s">
        <v>5853</v>
      </c>
      <c r="D2759" t="s">
        <v>5799</v>
      </c>
      <c r="F2759">
        <v>7622639753</v>
      </c>
      <c r="G2759">
        <v>7200939909</v>
      </c>
      <c r="H2759">
        <v>6836417033</v>
      </c>
      <c r="I2759">
        <v>5907337462</v>
      </c>
      <c r="J2759">
        <v>5197666514</v>
      </c>
      <c r="K2759">
        <v>4540328598</v>
      </c>
      <c r="L2759">
        <v>4421103279</v>
      </c>
      <c r="M2759">
        <v>3788068077</v>
      </c>
      <c r="N2759">
        <v>3318850291</v>
      </c>
      <c r="O2759">
        <v>3032744003</v>
      </c>
      <c r="P2759">
        <v>52892</v>
      </c>
      <c r="Q2759" t="s">
        <v>5854</v>
      </c>
    </row>
    <row r="2760" spans="1:17" x14ac:dyDescent="0.3">
      <c r="A2760" t="s">
        <v>4729</v>
      </c>
      <c r="B2760" t="str">
        <f>"002033"</f>
        <v>002033</v>
      </c>
      <c r="C2760" t="s">
        <v>5855</v>
      </c>
      <c r="D2760" t="s">
        <v>119</v>
      </c>
      <c r="F2760">
        <v>2412031498</v>
      </c>
      <c r="G2760">
        <v>2559605759</v>
      </c>
      <c r="H2760">
        <v>2554809011</v>
      </c>
      <c r="I2760">
        <v>2433897022</v>
      </c>
      <c r="J2760">
        <v>2324628001</v>
      </c>
      <c r="K2760">
        <v>2170110430</v>
      </c>
      <c r="L2760">
        <v>2054269025</v>
      </c>
      <c r="M2760">
        <v>1900702384</v>
      </c>
      <c r="N2760">
        <v>1000310620</v>
      </c>
      <c r="O2760">
        <v>877076397</v>
      </c>
      <c r="P2760">
        <v>278</v>
      </c>
      <c r="Q2760" t="s">
        <v>5856</v>
      </c>
    </row>
    <row r="2761" spans="1:17" x14ac:dyDescent="0.3">
      <c r="A2761" t="s">
        <v>4729</v>
      </c>
      <c r="B2761" t="str">
        <f>"002034"</f>
        <v>002034</v>
      </c>
      <c r="C2761" t="s">
        <v>5857</v>
      </c>
      <c r="D2761" t="s">
        <v>499</v>
      </c>
      <c r="F2761">
        <v>5222531978</v>
      </c>
      <c r="G2761">
        <v>4587848716</v>
      </c>
      <c r="H2761">
        <v>4100500700</v>
      </c>
      <c r="I2761">
        <v>3635711534</v>
      </c>
      <c r="J2761">
        <v>3326523193</v>
      </c>
      <c r="K2761">
        <v>836588595</v>
      </c>
      <c r="L2761">
        <v>477875939</v>
      </c>
      <c r="M2761">
        <v>437345014</v>
      </c>
      <c r="N2761">
        <v>523711975</v>
      </c>
      <c r="O2761">
        <v>492802253</v>
      </c>
      <c r="P2761">
        <v>244</v>
      </c>
      <c r="Q2761" t="s">
        <v>5858</v>
      </c>
    </row>
    <row r="2762" spans="1:17" x14ac:dyDescent="0.3">
      <c r="A2762" t="s">
        <v>4729</v>
      </c>
      <c r="B2762" t="str">
        <f>"002035"</f>
        <v>002035</v>
      </c>
      <c r="C2762" t="s">
        <v>5859</v>
      </c>
      <c r="D2762" t="s">
        <v>3707</v>
      </c>
      <c r="F2762">
        <v>3242721960</v>
      </c>
      <c r="G2762">
        <v>3161245941</v>
      </c>
      <c r="H2762">
        <v>3007649565</v>
      </c>
      <c r="I2762">
        <v>2590418664</v>
      </c>
      <c r="J2762">
        <v>2186641097</v>
      </c>
      <c r="K2762">
        <v>1736351119</v>
      </c>
      <c r="L2762">
        <v>1526477343</v>
      </c>
      <c r="M2762">
        <v>1462387391</v>
      </c>
      <c r="N2762">
        <v>1241108338</v>
      </c>
      <c r="O2762">
        <v>988012362</v>
      </c>
      <c r="P2762">
        <v>1344</v>
      </c>
      <c r="Q2762" t="s">
        <v>5860</v>
      </c>
    </row>
    <row r="2763" spans="1:17" x14ac:dyDescent="0.3">
      <c r="A2763" t="s">
        <v>4729</v>
      </c>
      <c r="B2763" t="str">
        <f>"002036"</f>
        <v>002036</v>
      </c>
      <c r="C2763" t="s">
        <v>5861</v>
      </c>
      <c r="D2763" t="s">
        <v>164</v>
      </c>
      <c r="F2763">
        <v>3710400324</v>
      </c>
      <c r="G2763">
        <v>3595941539</v>
      </c>
      <c r="H2763">
        <v>2306640611</v>
      </c>
      <c r="I2763">
        <v>2064540430</v>
      </c>
      <c r="J2763">
        <v>1871569039</v>
      </c>
      <c r="K2763">
        <v>1605914272</v>
      </c>
      <c r="L2763">
        <v>1416162640</v>
      </c>
      <c r="M2763">
        <v>611552861</v>
      </c>
      <c r="N2763">
        <v>332134430</v>
      </c>
      <c r="O2763">
        <v>330765673</v>
      </c>
      <c r="P2763">
        <v>548</v>
      </c>
      <c r="Q2763" t="s">
        <v>5862</v>
      </c>
    </row>
    <row r="2764" spans="1:17" x14ac:dyDescent="0.3">
      <c r="A2764" t="s">
        <v>4729</v>
      </c>
      <c r="B2764" t="str">
        <f>"002037"</f>
        <v>002037</v>
      </c>
      <c r="C2764" t="s">
        <v>5863</v>
      </c>
      <c r="D2764" t="s">
        <v>2736</v>
      </c>
      <c r="F2764">
        <v>3627997067</v>
      </c>
      <c r="G2764">
        <v>3461234609</v>
      </c>
      <c r="H2764">
        <v>3369339533</v>
      </c>
      <c r="I2764">
        <v>3272724870</v>
      </c>
      <c r="J2764">
        <v>2063590387</v>
      </c>
      <c r="K2764">
        <v>2015193901</v>
      </c>
      <c r="L2764">
        <v>1972104137</v>
      </c>
      <c r="M2764">
        <v>1939433102</v>
      </c>
      <c r="N2764">
        <v>1765361834</v>
      </c>
      <c r="O2764">
        <v>1596596324</v>
      </c>
      <c r="P2764">
        <v>81</v>
      </c>
      <c r="Q2764" t="s">
        <v>5864</v>
      </c>
    </row>
    <row r="2765" spans="1:17" x14ac:dyDescent="0.3">
      <c r="A2765" t="s">
        <v>4729</v>
      </c>
      <c r="B2765" t="str">
        <f>"002038"</f>
        <v>002038</v>
      </c>
      <c r="C2765" t="s">
        <v>5865</v>
      </c>
      <c r="D2765" t="s">
        <v>1379</v>
      </c>
      <c r="F2765">
        <v>5311497706</v>
      </c>
      <c r="G2765">
        <v>4974606534</v>
      </c>
      <c r="H2765">
        <v>4808196813</v>
      </c>
      <c r="I2765">
        <v>4497846916</v>
      </c>
      <c r="J2765">
        <v>4270639327</v>
      </c>
      <c r="K2765">
        <v>3896512694</v>
      </c>
      <c r="L2765">
        <v>3577847732</v>
      </c>
      <c r="M2765">
        <v>3147943729</v>
      </c>
      <c r="N2765">
        <v>2565664376</v>
      </c>
      <c r="O2765">
        <v>2040118375</v>
      </c>
      <c r="P2765">
        <v>5163</v>
      </c>
      <c r="Q2765" t="s">
        <v>5866</v>
      </c>
    </row>
    <row r="2766" spans="1:17" x14ac:dyDescent="0.3">
      <c r="A2766" t="s">
        <v>4729</v>
      </c>
      <c r="B2766" t="str">
        <f>"002039"</f>
        <v>002039</v>
      </c>
      <c r="C2766" t="s">
        <v>5867</v>
      </c>
      <c r="D2766" t="s">
        <v>66</v>
      </c>
      <c r="F2766">
        <v>3303956819</v>
      </c>
      <c r="G2766">
        <v>3178727092</v>
      </c>
      <c r="H2766">
        <v>2834962900</v>
      </c>
      <c r="I2766">
        <v>2632767375</v>
      </c>
      <c r="J2766">
        <v>2356568373</v>
      </c>
      <c r="K2766">
        <v>2127838054</v>
      </c>
      <c r="L2766">
        <v>2149430377</v>
      </c>
      <c r="M2766">
        <v>1911138274</v>
      </c>
      <c r="N2766">
        <v>1614131527</v>
      </c>
      <c r="O2766">
        <v>1718649133</v>
      </c>
      <c r="P2766">
        <v>431</v>
      </c>
      <c r="Q2766" t="s">
        <v>5868</v>
      </c>
    </row>
    <row r="2767" spans="1:17" x14ac:dyDescent="0.3">
      <c r="A2767" t="s">
        <v>4729</v>
      </c>
      <c r="B2767" t="str">
        <f>"002040"</f>
        <v>002040</v>
      </c>
      <c r="C2767" t="s">
        <v>5869</v>
      </c>
      <c r="D2767" t="s">
        <v>51</v>
      </c>
      <c r="F2767">
        <v>2911533476</v>
      </c>
      <c r="G2767">
        <v>2787428734</v>
      </c>
      <c r="H2767">
        <v>2679413808</v>
      </c>
      <c r="I2767">
        <v>2566414617</v>
      </c>
      <c r="J2767">
        <v>2413574069</v>
      </c>
      <c r="K2767">
        <v>2314690212</v>
      </c>
      <c r="L2767">
        <v>666958083</v>
      </c>
      <c r="M2767">
        <v>635193845</v>
      </c>
      <c r="N2767">
        <v>619660449</v>
      </c>
      <c r="O2767">
        <v>600280860</v>
      </c>
      <c r="P2767">
        <v>100</v>
      </c>
      <c r="Q2767" t="s">
        <v>5870</v>
      </c>
    </row>
    <row r="2768" spans="1:17" x14ac:dyDescent="0.3">
      <c r="A2768" t="s">
        <v>4729</v>
      </c>
      <c r="B2768" t="str">
        <f>"002041"</f>
        <v>002041</v>
      </c>
      <c r="C2768" t="s">
        <v>5871</v>
      </c>
      <c r="D2768" t="s">
        <v>706</v>
      </c>
      <c r="F2768">
        <v>3091064026</v>
      </c>
      <c r="G2768">
        <v>2889065245</v>
      </c>
      <c r="H2768">
        <v>2839909730</v>
      </c>
      <c r="I2768">
        <v>2792129002</v>
      </c>
      <c r="J2768">
        <v>2805358143</v>
      </c>
      <c r="K2768">
        <v>2687935005</v>
      </c>
      <c r="L2768">
        <v>2245738223</v>
      </c>
      <c r="M2768">
        <v>2000550758</v>
      </c>
      <c r="N2768">
        <v>1655379062</v>
      </c>
      <c r="O2768">
        <v>1352902399</v>
      </c>
      <c r="P2768">
        <v>446</v>
      </c>
      <c r="Q2768" t="s">
        <v>5872</v>
      </c>
    </row>
    <row r="2769" spans="1:17" x14ac:dyDescent="0.3">
      <c r="A2769" t="s">
        <v>4729</v>
      </c>
      <c r="B2769" t="str">
        <f>"002042"</f>
        <v>002042</v>
      </c>
      <c r="C2769" t="s">
        <v>5873</v>
      </c>
      <c r="D2769" t="s">
        <v>1009</v>
      </c>
      <c r="F2769">
        <v>7009197204</v>
      </c>
      <c r="G2769">
        <v>5622219847</v>
      </c>
      <c r="H2769">
        <v>6300744090</v>
      </c>
      <c r="I2769">
        <v>6923921461</v>
      </c>
      <c r="J2769">
        <v>6883084099</v>
      </c>
      <c r="K2769">
        <v>3988680636</v>
      </c>
      <c r="L2769">
        <v>3657191802</v>
      </c>
      <c r="M2769">
        <v>3393468859</v>
      </c>
      <c r="N2769">
        <v>3241867331</v>
      </c>
      <c r="O2769">
        <v>3025655703</v>
      </c>
      <c r="P2769">
        <v>196</v>
      </c>
      <c r="Q2769" t="s">
        <v>5874</v>
      </c>
    </row>
    <row r="2770" spans="1:17" x14ac:dyDescent="0.3">
      <c r="A2770" t="s">
        <v>4729</v>
      </c>
      <c r="B2770" t="str">
        <f>"002043"</f>
        <v>002043</v>
      </c>
      <c r="C2770" t="s">
        <v>5875</v>
      </c>
      <c r="D2770" t="s">
        <v>722</v>
      </c>
      <c r="F2770">
        <v>2130138683</v>
      </c>
      <c r="G2770">
        <v>1860605612</v>
      </c>
      <c r="H2770">
        <v>1845058225</v>
      </c>
      <c r="I2770">
        <v>1657457933</v>
      </c>
      <c r="J2770">
        <v>1930789785</v>
      </c>
      <c r="K2770">
        <v>1580359993</v>
      </c>
      <c r="L2770">
        <v>892264557</v>
      </c>
      <c r="M2770">
        <v>798644592</v>
      </c>
      <c r="N2770">
        <v>766014899</v>
      </c>
      <c r="O2770">
        <v>757415270</v>
      </c>
      <c r="P2770">
        <v>665</v>
      </c>
      <c r="Q2770" t="s">
        <v>5876</v>
      </c>
    </row>
    <row r="2771" spans="1:17" x14ac:dyDescent="0.3">
      <c r="A2771" t="s">
        <v>4729</v>
      </c>
      <c r="B2771" t="str">
        <f>"002044"</f>
        <v>002044</v>
      </c>
      <c r="C2771" t="s">
        <v>5877</v>
      </c>
      <c r="D2771" t="s">
        <v>1147</v>
      </c>
      <c r="F2771">
        <v>8038762435</v>
      </c>
      <c r="G2771">
        <v>7972748914</v>
      </c>
      <c r="H2771">
        <v>7315633624</v>
      </c>
      <c r="I2771">
        <v>6566160265</v>
      </c>
      <c r="J2771">
        <v>6496527374</v>
      </c>
      <c r="K2771">
        <v>3312629053</v>
      </c>
      <c r="L2771">
        <v>3056391778</v>
      </c>
      <c r="M2771">
        <v>387299714</v>
      </c>
      <c r="N2771">
        <v>348857486</v>
      </c>
      <c r="O2771">
        <v>416504861</v>
      </c>
      <c r="P2771">
        <v>1237</v>
      </c>
      <c r="Q2771" t="s">
        <v>5878</v>
      </c>
    </row>
    <row r="2772" spans="1:17" x14ac:dyDescent="0.3">
      <c r="A2772" t="s">
        <v>4729</v>
      </c>
      <c r="B2772" t="str">
        <f>"002045"</f>
        <v>002045</v>
      </c>
      <c r="C2772" t="s">
        <v>5879</v>
      </c>
      <c r="D2772" t="s">
        <v>3526</v>
      </c>
      <c r="F2772">
        <v>1988566034</v>
      </c>
      <c r="G2772">
        <v>2037798978</v>
      </c>
      <c r="H2772">
        <v>1928503343</v>
      </c>
      <c r="I2772">
        <v>1656092345</v>
      </c>
      <c r="J2772">
        <v>1439163854</v>
      </c>
      <c r="K2772">
        <v>1343451859</v>
      </c>
      <c r="L2772">
        <v>1311864293</v>
      </c>
      <c r="M2772">
        <v>1294524129</v>
      </c>
      <c r="N2772">
        <v>1237626338</v>
      </c>
      <c r="O2772">
        <v>1190868652</v>
      </c>
      <c r="P2772">
        <v>216</v>
      </c>
      <c r="Q2772" t="s">
        <v>5880</v>
      </c>
    </row>
    <row r="2773" spans="1:17" x14ac:dyDescent="0.3">
      <c r="A2773" t="s">
        <v>4729</v>
      </c>
      <c r="B2773" t="str">
        <f>"002046"</f>
        <v>002046</v>
      </c>
      <c r="C2773" t="s">
        <v>5881</v>
      </c>
      <c r="D2773" t="s">
        <v>274</v>
      </c>
      <c r="F2773">
        <v>2884688856</v>
      </c>
      <c r="G2773">
        <v>2773783345</v>
      </c>
      <c r="H2773">
        <v>2704489729</v>
      </c>
      <c r="I2773">
        <v>2658386347</v>
      </c>
      <c r="J2773">
        <v>2101566074</v>
      </c>
      <c r="K2773">
        <v>1365457400</v>
      </c>
      <c r="L2773">
        <v>1216117925</v>
      </c>
      <c r="M2773">
        <v>1369676361</v>
      </c>
      <c r="N2773">
        <v>1059391920</v>
      </c>
      <c r="O2773">
        <v>1009930522</v>
      </c>
      <c r="P2773">
        <v>148</v>
      </c>
      <c r="Q2773" t="s">
        <v>5882</v>
      </c>
    </row>
    <row r="2774" spans="1:17" x14ac:dyDescent="0.3">
      <c r="A2774" t="s">
        <v>4729</v>
      </c>
      <c r="B2774" t="str">
        <f>"002047"</f>
        <v>002047</v>
      </c>
      <c r="C2774" t="s">
        <v>5883</v>
      </c>
      <c r="D2774" t="s">
        <v>450</v>
      </c>
      <c r="F2774">
        <v>2530183340</v>
      </c>
      <c r="G2774">
        <v>4180840101</v>
      </c>
      <c r="H2774">
        <v>4089100998</v>
      </c>
      <c r="I2774">
        <v>3955231423</v>
      </c>
      <c r="J2774">
        <v>3729618423</v>
      </c>
      <c r="K2774">
        <v>2706710518</v>
      </c>
      <c r="L2774">
        <v>2430402869</v>
      </c>
      <c r="M2774">
        <v>2072123104</v>
      </c>
      <c r="N2774">
        <v>1042369671</v>
      </c>
      <c r="O2774">
        <v>656015908</v>
      </c>
      <c r="P2774">
        <v>103</v>
      </c>
      <c r="Q2774" t="s">
        <v>5884</v>
      </c>
    </row>
    <row r="2775" spans="1:17" x14ac:dyDescent="0.3">
      <c r="A2775" t="s">
        <v>4729</v>
      </c>
      <c r="B2775" t="str">
        <f>"002048"</f>
        <v>002048</v>
      </c>
      <c r="C2775" t="s">
        <v>5885</v>
      </c>
      <c r="D2775" t="s">
        <v>191</v>
      </c>
      <c r="F2775">
        <v>10856373065</v>
      </c>
      <c r="G2775">
        <v>10329500076</v>
      </c>
      <c r="H2775">
        <v>9148951847</v>
      </c>
      <c r="I2775">
        <v>8112088046</v>
      </c>
      <c r="J2775">
        <v>7817962828</v>
      </c>
      <c r="K2775">
        <v>5176274917</v>
      </c>
      <c r="L2775">
        <v>4642446574</v>
      </c>
      <c r="M2775">
        <v>4294955580</v>
      </c>
      <c r="N2775">
        <v>3400646139</v>
      </c>
      <c r="O2775">
        <v>2665892656</v>
      </c>
      <c r="P2775">
        <v>645</v>
      </c>
      <c r="Q2775" t="s">
        <v>5886</v>
      </c>
    </row>
    <row r="2776" spans="1:17" x14ac:dyDescent="0.3">
      <c r="A2776" t="s">
        <v>4729</v>
      </c>
      <c r="B2776" t="str">
        <f>"002049"</f>
        <v>002049</v>
      </c>
      <c r="C2776" t="s">
        <v>5887</v>
      </c>
      <c r="D2776" t="s">
        <v>461</v>
      </c>
      <c r="F2776">
        <v>7067015491</v>
      </c>
      <c r="G2776">
        <v>4962143332</v>
      </c>
      <c r="H2776">
        <v>4188221621</v>
      </c>
      <c r="I2776">
        <v>3794380450</v>
      </c>
      <c r="J2776">
        <v>3494639840</v>
      </c>
      <c r="K2776">
        <v>3192844462</v>
      </c>
      <c r="L2776">
        <v>2875145130</v>
      </c>
      <c r="M2776">
        <v>2616396592</v>
      </c>
      <c r="N2776">
        <v>2351771878</v>
      </c>
      <c r="O2776">
        <v>1983851702</v>
      </c>
      <c r="P2776">
        <v>4605</v>
      </c>
      <c r="Q2776" t="s">
        <v>5888</v>
      </c>
    </row>
    <row r="2777" spans="1:17" x14ac:dyDescent="0.3">
      <c r="A2777" t="s">
        <v>4729</v>
      </c>
      <c r="B2777" t="str">
        <f>"002050"</f>
        <v>002050</v>
      </c>
      <c r="C2777" t="s">
        <v>5889</v>
      </c>
      <c r="D2777" t="s">
        <v>1253</v>
      </c>
      <c r="F2777">
        <v>10740623668</v>
      </c>
      <c r="G2777">
        <v>10064794520</v>
      </c>
      <c r="H2777">
        <v>9291632928</v>
      </c>
      <c r="I2777">
        <v>8614844555</v>
      </c>
      <c r="J2777">
        <v>7875367319</v>
      </c>
      <c r="K2777">
        <v>5322648506</v>
      </c>
      <c r="L2777">
        <v>4651986486</v>
      </c>
      <c r="M2777">
        <v>3532529543</v>
      </c>
      <c r="N2777">
        <v>3140210391</v>
      </c>
      <c r="O2777">
        <v>2894207495</v>
      </c>
      <c r="P2777">
        <v>2043</v>
      </c>
      <c r="Q2777" t="s">
        <v>5890</v>
      </c>
    </row>
    <row r="2778" spans="1:17" x14ac:dyDescent="0.3">
      <c r="A2778" t="s">
        <v>4729</v>
      </c>
      <c r="B2778" t="str">
        <f>"002051"</f>
        <v>002051</v>
      </c>
      <c r="C2778" t="s">
        <v>5891</v>
      </c>
      <c r="D2778" t="s">
        <v>1893</v>
      </c>
      <c r="F2778">
        <v>10706425266</v>
      </c>
      <c r="G2778">
        <v>10434377048</v>
      </c>
      <c r="H2778">
        <v>10737665100</v>
      </c>
      <c r="I2778">
        <v>9049243466</v>
      </c>
      <c r="J2778">
        <v>8289301487</v>
      </c>
      <c r="K2778">
        <v>7139134954</v>
      </c>
      <c r="L2778">
        <v>5952292854</v>
      </c>
      <c r="M2778">
        <v>5234639391</v>
      </c>
      <c r="N2778">
        <v>4681759973</v>
      </c>
      <c r="O2778">
        <v>4239239353</v>
      </c>
      <c r="P2778">
        <v>556</v>
      </c>
      <c r="Q2778" t="s">
        <v>5892</v>
      </c>
    </row>
    <row r="2779" spans="1:17" x14ac:dyDescent="0.3">
      <c r="A2779" t="s">
        <v>4729</v>
      </c>
      <c r="B2779" t="str">
        <f>"002052"</f>
        <v>002052</v>
      </c>
      <c r="C2779" t="s">
        <v>5893</v>
      </c>
      <c r="D2779" t="s">
        <v>4467</v>
      </c>
      <c r="F2779">
        <v>40560033</v>
      </c>
      <c r="G2779">
        <v>231107987</v>
      </c>
      <c r="H2779">
        <v>400629623</v>
      </c>
      <c r="I2779">
        <v>597533298</v>
      </c>
      <c r="J2779">
        <v>926946438</v>
      </c>
      <c r="K2779">
        <v>916664465</v>
      </c>
      <c r="L2779">
        <v>1539137119</v>
      </c>
      <c r="M2779">
        <v>843962573</v>
      </c>
      <c r="N2779">
        <v>1263250605</v>
      </c>
      <c r="O2779">
        <v>1263242053</v>
      </c>
      <c r="P2779">
        <v>76</v>
      </c>
      <c r="Q2779" t="s">
        <v>5894</v>
      </c>
    </row>
    <row r="2780" spans="1:17" x14ac:dyDescent="0.3">
      <c r="A2780" t="s">
        <v>4729</v>
      </c>
      <c r="B2780" t="str">
        <f>"002053"</f>
        <v>002053</v>
      </c>
      <c r="C2780" t="s">
        <v>5895</v>
      </c>
      <c r="D2780" t="s">
        <v>736</v>
      </c>
      <c r="F2780">
        <v>4415014990</v>
      </c>
      <c r="G2780">
        <v>4162424129</v>
      </c>
      <c r="H2780">
        <v>3991529487</v>
      </c>
      <c r="I2780">
        <v>2420222160</v>
      </c>
      <c r="J2780">
        <v>2361316684</v>
      </c>
      <c r="K2780">
        <v>2254586659</v>
      </c>
      <c r="L2780">
        <v>1894864610</v>
      </c>
      <c r="M2780">
        <v>909880743</v>
      </c>
      <c r="N2780">
        <v>854140472</v>
      </c>
      <c r="O2780">
        <v>816730464</v>
      </c>
      <c r="P2780">
        <v>105</v>
      </c>
      <c r="Q2780" t="s">
        <v>5896</v>
      </c>
    </row>
    <row r="2781" spans="1:17" x14ac:dyDescent="0.3">
      <c r="A2781" t="s">
        <v>4729</v>
      </c>
      <c r="B2781" t="str">
        <f>"002054"</f>
        <v>002054</v>
      </c>
      <c r="C2781" t="s">
        <v>5897</v>
      </c>
      <c r="D2781" t="s">
        <v>779</v>
      </c>
      <c r="F2781">
        <v>2417870165</v>
      </c>
      <c r="G2781">
        <v>1941172736</v>
      </c>
      <c r="H2781">
        <v>1865800196</v>
      </c>
      <c r="I2781">
        <v>1805821546</v>
      </c>
      <c r="J2781">
        <v>1781332422</v>
      </c>
      <c r="K2781">
        <v>1804159134</v>
      </c>
      <c r="L2781">
        <v>1774858587</v>
      </c>
      <c r="M2781">
        <v>1587966919</v>
      </c>
      <c r="N2781">
        <v>1532228121</v>
      </c>
      <c r="O2781">
        <v>1452212981</v>
      </c>
      <c r="P2781">
        <v>110</v>
      </c>
      <c r="Q2781" t="s">
        <v>5898</v>
      </c>
    </row>
    <row r="2782" spans="1:17" x14ac:dyDescent="0.3">
      <c r="A2782" t="s">
        <v>4729</v>
      </c>
      <c r="B2782" t="str">
        <f>"002055"</f>
        <v>002055</v>
      </c>
      <c r="C2782" t="s">
        <v>5899</v>
      </c>
      <c r="D2782" t="s">
        <v>313</v>
      </c>
      <c r="F2782">
        <v>3098820702</v>
      </c>
      <c r="G2782">
        <v>1971298369</v>
      </c>
      <c r="H2782">
        <v>1905387936</v>
      </c>
      <c r="I2782">
        <v>2696541029</v>
      </c>
      <c r="J2782">
        <v>2390982306</v>
      </c>
      <c r="K2782">
        <v>1735264318</v>
      </c>
      <c r="L2782">
        <v>1700090660</v>
      </c>
      <c r="M2782">
        <v>1368895122</v>
      </c>
      <c r="N2782">
        <v>1290035259</v>
      </c>
      <c r="O2782">
        <v>1175127588</v>
      </c>
      <c r="P2782">
        <v>245</v>
      </c>
      <c r="Q2782" t="s">
        <v>5900</v>
      </c>
    </row>
    <row r="2783" spans="1:17" x14ac:dyDescent="0.3">
      <c r="A2783" t="s">
        <v>4729</v>
      </c>
      <c r="B2783" t="str">
        <f>"002056"</f>
        <v>002056</v>
      </c>
      <c r="C2783" t="s">
        <v>5901</v>
      </c>
      <c r="D2783" t="s">
        <v>808</v>
      </c>
      <c r="F2783">
        <v>6729931946</v>
      </c>
      <c r="G2783">
        <v>6012049600</v>
      </c>
      <c r="H2783">
        <v>5319508544</v>
      </c>
      <c r="I2783">
        <v>4731984232</v>
      </c>
      <c r="J2783">
        <v>4560194320</v>
      </c>
      <c r="K2783">
        <v>3964751999</v>
      </c>
      <c r="L2783">
        <v>3537432603</v>
      </c>
      <c r="M2783">
        <v>3294140857</v>
      </c>
      <c r="N2783">
        <v>2947016122</v>
      </c>
      <c r="O2783">
        <v>2669030276</v>
      </c>
      <c r="P2783">
        <v>783</v>
      </c>
      <c r="Q2783" t="s">
        <v>5902</v>
      </c>
    </row>
    <row r="2784" spans="1:17" x14ac:dyDescent="0.3">
      <c r="A2784" t="s">
        <v>4729</v>
      </c>
      <c r="B2784" t="str">
        <f>"002057"</f>
        <v>002057</v>
      </c>
      <c r="C2784" t="s">
        <v>5903</v>
      </c>
      <c r="D2784" t="s">
        <v>808</v>
      </c>
      <c r="F2784">
        <v>2669605223</v>
      </c>
      <c r="G2784">
        <v>1603569402</v>
      </c>
      <c r="H2784">
        <v>1432294281</v>
      </c>
      <c r="I2784">
        <v>1331957777</v>
      </c>
      <c r="J2784">
        <v>1248942855</v>
      </c>
      <c r="K2784">
        <v>544007957</v>
      </c>
      <c r="L2784">
        <v>511508502</v>
      </c>
      <c r="M2784">
        <v>496707538</v>
      </c>
      <c r="N2784">
        <v>479525297</v>
      </c>
      <c r="O2784">
        <v>457934057</v>
      </c>
      <c r="P2784">
        <v>126</v>
      </c>
      <c r="Q2784" t="s">
        <v>5904</v>
      </c>
    </row>
    <row r="2785" spans="1:17" x14ac:dyDescent="0.3">
      <c r="A2785" t="s">
        <v>4729</v>
      </c>
      <c r="B2785" t="str">
        <f>"002058"</f>
        <v>002058</v>
      </c>
      <c r="C2785" t="s">
        <v>5905</v>
      </c>
      <c r="D2785" t="s">
        <v>2180</v>
      </c>
      <c r="F2785">
        <v>181005010</v>
      </c>
      <c r="G2785">
        <v>174680084</v>
      </c>
      <c r="H2785">
        <v>175327809</v>
      </c>
      <c r="I2785">
        <v>190713698</v>
      </c>
      <c r="J2785">
        <v>187581674</v>
      </c>
      <c r="K2785">
        <v>187634208</v>
      </c>
      <c r="L2785">
        <v>182390834</v>
      </c>
      <c r="M2785">
        <v>196393005</v>
      </c>
      <c r="N2785">
        <v>193427457</v>
      </c>
      <c r="O2785">
        <v>192441242</v>
      </c>
      <c r="P2785">
        <v>55</v>
      </c>
      <c r="Q2785" t="s">
        <v>5906</v>
      </c>
    </row>
    <row r="2786" spans="1:17" x14ac:dyDescent="0.3">
      <c r="A2786" t="s">
        <v>4729</v>
      </c>
      <c r="B2786" t="str">
        <f>"002059"</f>
        <v>002059</v>
      </c>
      <c r="C2786" t="s">
        <v>5907</v>
      </c>
      <c r="D2786" t="s">
        <v>333</v>
      </c>
      <c r="F2786">
        <v>2089289215</v>
      </c>
      <c r="G2786">
        <v>2431244517</v>
      </c>
      <c r="H2786">
        <v>2309451884</v>
      </c>
      <c r="I2786">
        <v>1984739127</v>
      </c>
      <c r="J2786">
        <v>1510999062</v>
      </c>
      <c r="K2786">
        <v>1494375743</v>
      </c>
      <c r="L2786">
        <v>1675578733</v>
      </c>
      <c r="M2786">
        <v>1590606687</v>
      </c>
      <c r="N2786">
        <v>1073834834</v>
      </c>
      <c r="O2786">
        <v>586967201</v>
      </c>
      <c r="P2786">
        <v>160</v>
      </c>
      <c r="Q2786" t="s">
        <v>5908</v>
      </c>
    </row>
    <row r="2787" spans="1:17" x14ac:dyDescent="0.3">
      <c r="A2787" t="s">
        <v>4729</v>
      </c>
      <c r="B2787" t="str">
        <f>"002060"</f>
        <v>002060</v>
      </c>
      <c r="C2787" t="s">
        <v>5909</v>
      </c>
      <c r="D2787" t="s">
        <v>101</v>
      </c>
      <c r="F2787">
        <v>3625406968</v>
      </c>
      <c r="G2787">
        <v>3371847689</v>
      </c>
      <c r="H2787">
        <v>3234933868</v>
      </c>
      <c r="I2787">
        <v>3044832834</v>
      </c>
      <c r="J2787">
        <v>2868313711</v>
      </c>
      <c r="K2787">
        <v>2736642939</v>
      </c>
      <c r="L2787">
        <v>2604533996</v>
      </c>
      <c r="M2787">
        <v>2495834892</v>
      </c>
      <c r="N2787">
        <v>2462047992</v>
      </c>
      <c r="O2787">
        <v>2379076518</v>
      </c>
      <c r="P2787">
        <v>169</v>
      </c>
      <c r="Q2787" t="s">
        <v>5910</v>
      </c>
    </row>
    <row r="2788" spans="1:17" x14ac:dyDescent="0.3">
      <c r="A2788" t="s">
        <v>4729</v>
      </c>
      <c r="B2788" t="str">
        <f>"002061"</f>
        <v>002061</v>
      </c>
      <c r="C2788" t="s">
        <v>5911</v>
      </c>
      <c r="D2788" t="s">
        <v>101</v>
      </c>
      <c r="F2788">
        <v>9294484014</v>
      </c>
      <c r="G2788">
        <v>8491519080</v>
      </c>
      <c r="H2788">
        <v>7724705140</v>
      </c>
      <c r="I2788">
        <v>7125201048</v>
      </c>
      <c r="J2788">
        <v>5404846408</v>
      </c>
      <c r="K2788">
        <v>1609156002</v>
      </c>
      <c r="L2788">
        <v>880545113</v>
      </c>
      <c r="M2788">
        <v>1063889383</v>
      </c>
      <c r="N2788">
        <v>1239153886</v>
      </c>
      <c r="O2788">
        <v>602606376</v>
      </c>
      <c r="P2788">
        <v>215</v>
      </c>
      <c r="Q2788" t="s">
        <v>5912</v>
      </c>
    </row>
    <row r="2789" spans="1:17" x14ac:dyDescent="0.3">
      <c r="A2789" t="s">
        <v>4729</v>
      </c>
      <c r="B2789" t="str">
        <f>"002062"</f>
        <v>002062</v>
      </c>
      <c r="C2789" t="s">
        <v>5913</v>
      </c>
      <c r="D2789" t="s">
        <v>101</v>
      </c>
      <c r="F2789">
        <v>3842851877</v>
      </c>
      <c r="G2789">
        <v>3574132155</v>
      </c>
      <c r="H2789">
        <v>3222278153</v>
      </c>
      <c r="I2789">
        <v>2991006470</v>
      </c>
      <c r="J2789">
        <v>2746829822</v>
      </c>
      <c r="K2789">
        <v>2528633147</v>
      </c>
      <c r="L2789">
        <v>2387303158</v>
      </c>
      <c r="M2789">
        <v>2247286834</v>
      </c>
      <c r="N2789">
        <v>2062910392</v>
      </c>
      <c r="O2789">
        <v>1942337412</v>
      </c>
      <c r="P2789">
        <v>145</v>
      </c>
      <c r="Q2789" t="s">
        <v>5914</v>
      </c>
    </row>
    <row r="2790" spans="1:17" x14ac:dyDescent="0.3">
      <c r="A2790" t="s">
        <v>4729</v>
      </c>
      <c r="B2790" t="str">
        <f>"002063"</f>
        <v>002063</v>
      </c>
      <c r="C2790" t="s">
        <v>5915</v>
      </c>
      <c r="D2790" t="s">
        <v>945</v>
      </c>
      <c r="F2790">
        <v>2873781892</v>
      </c>
      <c r="G2790">
        <v>2644533677</v>
      </c>
      <c r="H2790">
        <v>2477531654</v>
      </c>
      <c r="I2790">
        <v>2253857449</v>
      </c>
      <c r="J2790">
        <v>1992481875</v>
      </c>
      <c r="K2790">
        <v>1791480411</v>
      </c>
      <c r="L2790">
        <v>1684423489</v>
      </c>
      <c r="M2790">
        <v>1597553889</v>
      </c>
      <c r="N2790">
        <v>1646826200</v>
      </c>
      <c r="O2790">
        <v>1238675672</v>
      </c>
      <c r="P2790">
        <v>489</v>
      </c>
      <c r="Q2790" t="s">
        <v>5916</v>
      </c>
    </row>
    <row r="2791" spans="1:17" x14ac:dyDescent="0.3">
      <c r="A2791" t="s">
        <v>4729</v>
      </c>
      <c r="B2791" t="str">
        <f>"002064"</f>
        <v>002064</v>
      </c>
      <c r="C2791" t="s">
        <v>5917</v>
      </c>
      <c r="D2791" t="s">
        <v>5631</v>
      </c>
      <c r="F2791">
        <v>19008296883</v>
      </c>
      <c r="G2791">
        <v>11572189055</v>
      </c>
      <c r="H2791">
        <v>7760604437</v>
      </c>
      <c r="I2791">
        <v>3801235812</v>
      </c>
      <c r="J2791">
        <v>3400063103</v>
      </c>
      <c r="K2791">
        <v>3015584393</v>
      </c>
      <c r="L2791">
        <v>3354026376</v>
      </c>
      <c r="M2791">
        <v>3142023437</v>
      </c>
      <c r="N2791">
        <v>1859903195</v>
      </c>
      <c r="O2791">
        <v>1656980823</v>
      </c>
      <c r="P2791">
        <v>686</v>
      </c>
      <c r="Q2791" t="s">
        <v>5918</v>
      </c>
    </row>
    <row r="2792" spans="1:17" x14ac:dyDescent="0.3">
      <c r="A2792" t="s">
        <v>4729</v>
      </c>
      <c r="B2792" t="str">
        <f>"002065"</f>
        <v>002065</v>
      </c>
      <c r="C2792" t="s">
        <v>5919</v>
      </c>
      <c r="D2792" t="s">
        <v>316</v>
      </c>
      <c r="F2792">
        <v>10919267773</v>
      </c>
      <c r="G2792">
        <v>9914498620</v>
      </c>
      <c r="H2792">
        <v>9523851202</v>
      </c>
      <c r="I2792">
        <v>9175030210</v>
      </c>
      <c r="J2792">
        <v>8894807143</v>
      </c>
      <c r="K2792">
        <v>8782567391</v>
      </c>
      <c r="L2792">
        <v>8503772488</v>
      </c>
      <c r="M2792">
        <v>6287895827</v>
      </c>
      <c r="N2792">
        <v>3714425921</v>
      </c>
      <c r="O2792">
        <v>2765909113</v>
      </c>
      <c r="P2792">
        <v>942</v>
      </c>
      <c r="Q2792" t="s">
        <v>5920</v>
      </c>
    </row>
    <row r="2793" spans="1:17" x14ac:dyDescent="0.3">
      <c r="A2793" t="s">
        <v>4729</v>
      </c>
      <c r="B2793" t="str">
        <f>"002066"</f>
        <v>002066</v>
      </c>
      <c r="C2793" t="s">
        <v>5921</v>
      </c>
      <c r="D2793" t="s">
        <v>5922</v>
      </c>
      <c r="F2793">
        <v>537748010</v>
      </c>
      <c r="G2793">
        <v>480383639</v>
      </c>
      <c r="H2793">
        <v>451545368</v>
      </c>
      <c r="I2793">
        <v>425906935</v>
      </c>
      <c r="J2793">
        <v>408621611</v>
      </c>
      <c r="K2793">
        <v>395002537</v>
      </c>
      <c r="L2793">
        <v>369764155</v>
      </c>
      <c r="M2793">
        <v>449723994</v>
      </c>
      <c r="N2793">
        <v>443030092</v>
      </c>
      <c r="O2793">
        <v>592835371</v>
      </c>
      <c r="P2793">
        <v>74</v>
      </c>
      <c r="Q2793" t="s">
        <v>5923</v>
      </c>
    </row>
    <row r="2794" spans="1:17" x14ac:dyDescent="0.3">
      <c r="A2794" t="s">
        <v>4729</v>
      </c>
      <c r="B2794" t="str">
        <f>"002067"</f>
        <v>002067</v>
      </c>
      <c r="C2794" t="s">
        <v>5924</v>
      </c>
      <c r="D2794" t="s">
        <v>694</v>
      </c>
      <c r="F2794">
        <v>5319724767</v>
      </c>
      <c r="G2794">
        <v>4615021292</v>
      </c>
      <c r="H2794">
        <v>4368228069</v>
      </c>
      <c r="I2794">
        <v>4212698266</v>
      </c>
      <c r="J2794">
        <v>3855090285</v>
      </c>
      <c r="K2794">
        <v>3281950986</v>
      </c>
      <c r="L2794">
        <v>2932226046</v>
      </c>
      <c r="M2794">
        <v>2920512276</v>
      </c>
      <c r="N2794">
        <v>2882772776</v>
      </c>
      <c r="O2794">
        <v>2869854464</v>
      </c>
      <c r="P2794">
        <v>173</v>
      </c>
      <c r="Q2794" t="s">
        <v>5925</v>
      </c>
    </row>
    <row r="2795" spans="1:17" x14ac:dyDescent="0.3">
      <c r="A2795" t="s">
        <v>4729</v>
      </c>
      <c r="B2795" t="str">
        <f>"002068"</f>
        <v>002068</v>
      </c>
      <c r="C2795" t="s">
        <v>5926</v>
      </c>
      <c r="D2795" t="s">
        <v>3646</v>
      </c>
      <c r="F2795">
        <v>3254220137</v>
      </c>
      <c r="G2795">
        <v>2993735495</v>
      </c>
      <c r="H2795">
        <v>2876221655</v>
      </c>
      <c r="I2795">
        <v>3363575618</v>
      </c>
      <c r="J2795">
        <v>3175003138</v>
      </c>
      <c r="K2795">
        <v>2037810195</v>
      </c>
      <c r="L2795">
        <v>1953886324</v>
      </c>
      <c r="M2795">
        <v>1382160612</v>
      </c>
      <c r="N2795">
        <v>1285574296</v>
      </c>
      <c r="O2795">
        <v>1312222017</v>
      </c>
      <c r="P2795">
        <v>300</v>
      </c>
      <c r="Q2795" t="s">
        <v>5927</v>
      </c>
    </row>
    <row r="2796" spans="1:17" x14ac:dyDescent="0.3">
      <c r="A2796" t="s">
        <v>4729</v>
      </c>
      <c r="B2796" t="str">
        <f>"002069"</f>
        <v>002069</v>
      </c>
      <c r="C2796" t="s">
        <v>5928</v>
      </c>
      <c r="D2796" t="s">
        <v>587</v>
      </c>
      <c r="F2796">
        <v>43553280</v>
      </c>
      <c r="G2796">
        <v>12571333</v>
      </c>
      <c r="H2796">
        <v>1668185</v>
      </c>
      <c r="I2796">
        <v>385453919</v>
      </c>
      <c r="J2796">
        <v>349287592</v>
      </c>
      <c r="K2796">
        <v>794189116</v>
      </c>
      <c r="L2796">
        <v>885614926</v>
      </c>
      <c r="M2796">
        <v>1132215625</v>
      </c>
      <c r="N2796">
        <v>2413889454</v>
      </c>
      <c r="O2796">
        <v>2541120670</v>
      </c>
      <c r="P2796">
        <v>406</v>
      </c>
      <c r="Q2796" t="s">
        <v>5929</v>
      </c>
    </row>
    <row r="2797" spans="1:17" x14ac:dyDescent="0.3">
      <c r="A2797" t="s">
        <v>4729</v>
      </c>
      <c r="B2797" t="str">
        <f>"002070"</f>
        <v>002070</v>
      </c>
      <c r="C2797" t="s">
        <v>5930</v>
      </c>
      <c r="I2797">
        <v>-1103156381</v>
      </c>
      <c r="J2797">
        <v>-532685918</v>
      </c>
      <c r="K2797">
        <v>655978957</v>
      </c>
      <c r="L2797">
        <v>702578111</v>
      </c>
      <c r="M2797">
        <v>848156060.51999998</v>
      </c>
      <c r="N2797">
        <v>1219093377.6600001</v>
      </c>
      <c r="O2797">
        <v>1175993045.52</v>
      </c>
      <c r="P2797">
        <v>27</v>
      </c>
      <c r="Q2797" t="s">
        <v>5931</v>
      </c>
    </row>
    <row r="2798" spans="1:17" x14ac:dyDescent="0.3">
      <c r="A2798" t="s">
        <v>4729</v>
      </c>
      <c r="B2798" t="str">
        <f>"002071"</f>
        <v>002071</v>
      </c>
      <c r="C2798" t="s">
        <v>5932</v>
      </c>
      <c r="G2798">
        <v>-1022060081</v>
      </c>
      <c r="H2798">
        <v>-771844053</v>
      </c>
      <c r="I2798">
        <v>238432865</v>
      </c>
      <c r="J2798">
        <v>652062198</v>
      </c>
      <c r="K2798">
        <v>834221788</v>
      </c>
      <c r="L2798">
        <v>963974775</v>
      </c>
      <c r="M2798">
        <v>851128547</v>
      </c>
      <c r="N2798">
        <v>314290689</v>
      </c>
      <c r="O2798">
        <v>300042023</v>
      </c>
      <c r="P2798">
        <v>97</v>
      </c>
      <c r="Q2798" t="s">
        <v>5933</v>
      </c>
    </row>
    <row r="2799" spans="1:17" x14ac:dyDescent="0.3">
      <c r="A2799" t="s">
        <v>4729</v>
      </c>
      <c r="B2799" t="str">
        <f>"002072"</f>
        <v>002072</v>
      </c>
      <c r="C2799" t="s">
        <v>5934</v>
      </c>
      <c r="D2799" t="s">
        <v>110</v>
      </c>
      <c r="F2799">
        <v>63577038</v>
      </c>
      <c r="G2799">
        <v>-178902001</v>
      </c>
      <c r="H2799">
        <v>23584649</v>
      </c>
      <c r="I2799">
        <v>-189474492</v>
      </c>
      <c r="J2799">
        <v>60749997</v>
      </c>
      <c r="K2799">
        <v>95859557</v>
      </c>
      <c r="L2799">
        <v>81503197</v>
      </c>
      <c r="M2799">
        <v>187398865</v>
      </c>
      <c r="N2799">
        <v>182806670</v>
      </c>
      <c r="O2799">
        <v>229346684</v>
      </c>
      <c r="P2799">
        <v>64</v>
      </c>
      <c r="Q2799" t="s">
        <v>5935</v>
      </c>
    </row>
    <row r="2800" spans="1:17" x14ac:dyDescent="0.3">
      <c r="A2800" t="s">
        <v>4729</v>
      </c>
      <c r="B2800" t="str">
        <f>"002073"</f>
        <v>002073</v>
      </c>
      <c r="C2800" t="s">
        <v>5936</v>
      </c>
      <c r="D2800" t="s">
        <v>741</v>
      </c>
      <c r="F2800">
        <v>4453572239</v>
      </c>
      <c r="G2800">
        <v>4266754181</v>
      </c>
      <c r="H2800">
        <v>4212882257</v>
      </c>
      <c r="I2800">
        <v>4274406265</v>
      </c>
      <c r="J2800">
        <v>4584185817</v>
      </c>
      <c r="K2800">
        <v>4583534104</v>
      </c>
      <c r="L2800">
        <v>4268582455</v>
      </c>
      <c r="M2800">
        <v>3483974512</v>
      </c>
      <c r="N2800">
        <v>3292023817</v>
      </c>
      <c r="O2800">
        <v>3101210861</v>
      </c>
      <c r="P2800">
        <v>150</v>
      </c>
      <c r="Q2800" t="s">
        <v>5937</v>
      </c>
    </row>
    <row r="2801" spans="1:17" x14ac:dyDescent="0.3">
      <c r="A2801" t="s">
        <v>4729</v>
      </c>
      <c r="B2801" t="str">
        <f>"002074"</f>
        <v>002074</v>
      </c>
      <c r="C2801" t="s">
        <v>5938</v>
      </c>
      <c r="D2801" t="s">
        <v>359</v>
      </c>
      <c r="F2801">
        <v>18777723054</v>
      </c>
      <c r="G2801">
        <v>10906014480</v>
      </c>
      <c r="H2801">
        <v>8904033708</v>
      </c>
      <c r="I2801">
        <v>8526061311</v>
      </c>
      <c r="J2801">
        <v>8230405113</v>
      </c>
      <c r="K2801">
        <v>3935705608</v>
      </c>
      <c r="L2801">
        <v>3016056632</v>
      </c>
      <c r="M2801">
        <v>495026168</v>
      </c>
      <c r="N2801">
        <v>466702031</v>
      </c>
      <c r="O2801">
        <v>442757529</v>
      </c>
      <c r="P2801">
        <v>1003</v>
      </c>
      <c r="Q2801" t="s">
        <v>5939</v>
      </c>
    </row>
    <row r="2802" spans="1:17" x14ac:dyDescent="0.3">
      <c r="A2802" t="s">
        <v>4729</v>
      </c>
      <c r="B2802" t="str">
        <f>"002075"</f>
        <v>002075</v>
      </c>
      <c r="C2802" t="s">
        <v>5940</v>
      </c>
      <c r="D2802" t="s">
        <v>281</v>
      </c>
      <c r="F2802">
        <v>6129680887</v>
      </c>
      <c r="G2802">
        <v>5226047088</v>
      </c>
      <c r="H2802">
        <v>4968019071</v>
      </c>
      <c r="I2802">
        <v>4460867040</v>
      </c>
      <c r="J2802">
        <v>3387946836</v>
      </c>
      <c r="K2802">
        <v>2738158039</v>
      </c>
      <c r="L2802">
        <v>2306671938</v>
      </c>
      <c r="M2802">
        <v>2388563527</v>
      </c>
      <c r="N2802">
        <v>2351281925</v>
      </c>
      <c r="O2802">
        <v>2318865994</v>
      </c>
      <c r="P2802">
        <v>281</v>
      </c>
      <c r="Q2802" t="s">
        <v>5941</v>
      </c>
    </row>
    <row r="2803" spans="1:17" x14ac:dyDescent="0.3">
      <c r="A2803" t="s">
        <v>4729</v>
      </c>
      <c r="B2803" t="str">
        <f>"002076"</f>
        <v>002076</v>
      </c>
      <c r="C2803" t="s">
        <v>5942</v>
      </c>
      <c r="D2803" t="s">
        <v>598</v>
      </c>
      <c r="F2803">
        <v>-153189810</v>
      </c>
      <c r="G2803">
        <v>44371723</v>
      </c>
      <c r="H2803">
        <v>-108316177</v>
      </c>
      <c r="I2803">
        <v>490354296</v>
      </c>
      <c r="J2803">
        <v>1059319781</v>
      </c>
      <c r="K2803">
        <v>1013637521</v>
      </c>
      <c r="L2803">
        <v>985935688</v>
      </c>
      <c r="M2803">
        <v>412034111</v>
      </c>
      <c r="N2803">
        <v>403988427</v>
      </c>
      <c r="O2803">
        <v>418954081</v>
      </c>
      <c r="P2803">
        <v>100</v>
      </c>
      <c r="Q2803" t="s">
        <v>5943</v>
      </c>
    </row>
    <row r="2804" spans="1:17" x14ac:dyDescent="0.3">
      <c r="A2804" t="s">
        <v>4729</v>
      </c>
      <c r="B2804" t="str">
        <f>"002077"</f>
        <v>002077</v>
      </c>
      <c r="C2804" t="s">
        <v>5944</v>
      </c>
      <c r="D2804" t="s">
        <v>1180</v>
      </c>
      <c r="F2804">
        <v>3128312665</v>
      </c>
      <c r="G2804">
        <v>2969664636</v>
      </c>
      <c r="H2804">
        <v>2808243959</v>
      </c>
      <c r="I2804">
        <v>3292771615</v>
      </c>
      <c r="J2804">
        <v>3863253765</v>
      </c>
      <c r="K2804">
        <v>3829721594</v>
      </c>
      <c r="L2804">
        <v>1734255058</v>
      </c>
      <c r="M2804">
        <v>947764409</v>
      </c>
      <c r="N2804">
        <v>921325961</v>
      </c>
      <c r="O2804">
        <v>899249943</v>
      </c>
      <c r="P2804">
        <v>125</v>
      </c>
      <c r="Q2804" t="s">
        <v>5945</v>
      </c>
    </row>
    <row r="2805" spans="1:17" x14ac:dyDescent="0.3">
      <c r="A2805" t="s">
        <v>4729</v>
      </c>
      <c r="B2805" t="str">
        <f>"002078"</f>
        <v>002078</v>
      </c>
      <c r="C2805" t="s">
        <v>5946</v>
      </c>
      <c r="D2805" t="s">
        <v>694</v>
      </c>
      <c r="F2805">
        <v>18543608347</v>
      </c>
      <c r="G2805">
        <v>15921982099</v>
      </c>
      <c r="H2805">
        <v>14341579666</v>
      </c>
      <c r="I2805">
        <v>12322513271</v>
      </c>
      <c r="J2805">
        <v>10074437432</v>
      </c>
      <c r="K2805">
        <v>7963352648</v>
      </c>
      <c r="L2805">
        <v>6985960997</v>
      </c>
      <c r="M2805">
        <v>5421298818</v>
      </c>
      <c r="N2805">
        <v>5091351998</v>
      </c>
      <c r="O2805">
        <v>3947407007</v>
      </c>
      <c r="P2805">
        <v>1103</v>
      </c>
      <c r="Q2805" t="s">
        <v>5947</v>
      </c>
    </row>
    <row r="2806" spans="1:17" x14ac:dyDescent="0.3">
      <c r="A2806" t="s">
        <v>4729</v>
      </c>
      <c r="B2806" t="str">
        <f>"002079"</f>
        <v>002079</v>
      </c>
      <c r="C2806" t="s">
        <v>5948</v>
      </c>
      <c r="D2806" t="s">
        <v>795</v>
      </c>
      <c r="F2806">
        <v>2392273888</v>
      </c>
      <c r="G2806">
        <v>1904138845</v>
      </c>
      <c r="H2806">
        <v>1722576650</v>
      </c>
      <c r="I2806">
        <v>1613643258</v>
      </c>
      <c r="J2806">
        <v>1532231067</v>
      </c>
      <c r="K2806">
        <v>1464681121</v>
      </c>
      <c r="L2806">
        <v>1279487642</v>
      </c>
      <c r="M2806">
        <v>1271718121</v>
      </c>
      <c r="N2806">
        <v>1243845383</v>
      </c>
      <c r="O2806">
        <v>1200250235</v>
      </c>
      <c r="P2806">
        <v>372</v>
      </c>
      <c r="Q2806" t="s">
        <v>5949</v>
      </c>
    </row>
    <row r="2807" spans="1:17" x14ac:dyDescent="0.3">
      <c r="A2807" t="s">
        <v>4729</v>
      </c>
      <c r="B2807" t="str">
        <f>"002080"</f>
        <v>002080</v>
      </c>
      <c r="C2807" t="s">
        <v>5950</v>
      </c>
      <c r="D2807" t="s">
        <v>411</v>
      </c>
      <c r="F2807">
        <v>14169056318</v>
      </c>
      <c r="G2807">
        <v>12038882110</v>
      </c>
      <c r="H2807">
        <v>10625829623</v>
      </c>
      <c r="I2807">
        <v>9540143167</v>
      </c>
      <c r="J2807">
        <v>8772777833</v>
      </c>
      <c r="K2807">
        <v>7991116640</v>
      </c>
      <c r="L2807">
        <v>2828822031</v>
      </c>
      <c r="M2807">
        <v>2525403473</v>
      </c>
      <c r="N2807">
        <v>2306140628</v>
      </c>
      <c r="O2807">
        <v>2385066580</v>
      </c>
      <c r="P2807">
        <v>913</v>
      </c>
      <c r="Q2807" t="s">
        <v>5951</v>
      </c>
    </row>
    <row r="2808" spans="1:17" x14ac:dyDescent="0.3">
      <c r="A2808" t="s">
        <v>4729</v>
      </c>
      <c r="B2808" t="str">
        <f>"002081"</f>
        <v>002081</v>
      </c>
      <c r="C2808" t="s">
        <v>5952</v>
      </c>
      <c r="D2808" t="s">
        <v>450</v>
      </c>
      <c r="F2808">
        <v>11108240034</v>
      </c>
      <c r="G2808">
        <v>17008652024</v>
      </c>
      <c r="H2808">
        <v>15156092843</v>
      </c>
      <c r="I2808">
        <v>13233225824</v>
      </c>
      <c r="J2808">
        <v>11487456385</v>
      </c>
      <c r="K2808">
        <v>9968839620</v>
      </c>
      <c r="L2808">
        <v>8616975977.7999992</v>
      </c>
      <c r="M2808">
        <v>7177036825</v>
      </c>
      <c r="N2808">
        <v>5542884313</v>
      </c>
      <c r="O2808">
        <v>4144157692</v>
      </c>
      <c r="P2808">
        <v>18140</v>
      </c>
      <c r="Q2808" t="s">
        <v>5953</v>
      </c>
    </row>
    <row r="2809" spans="1:17" x14ac:dyDescent="0.3">
      <c r="A2809" t="s">
        <v>4729</v>
      </c>
      <c r="B2809" t="str">
        <f>"002082"</f>
        <v>002082</v>
      </c>
      <c r="C2809" t="s">
        <v>5954</v>
      </c>
      <c r="D2809" t="s">
        <v>504</v>
      </c>
      <c r="F2809">
        <v>2598357644</v>
      </c>
      <c r="G2809">
        <v>2621651855</v>
      </c>
      <c r="H2809">
        <v>1638323644</v>
      </c>
      <c r="I2809">
        <v>1492890468</v>
      </c>
      <c r="J2809">
        <v>1421513233</v>
      </c>
      <c r="K2809">
        <v>1382799784</v>
      </c>
      <c r="L2809">
        <v>1336864196</v>
      </c>
      <c r="M2809">
        <v>1285739599</v>
      </c>
      <c r="N2809">
        <v>1178208790</v>
      </c>
      <c r="O2809">
        <v>1085691224</v>
      </c>
      <c r="P2809">
        <v>135</v>
      </c>
      <c r="Q2809" t="s">
        <v>5955</v>
      </c>
    </row>
    <row r="2810" spans="1:17" x14ac:dyDescent="0.3">
      <c r="A2810" t="s">
        <v>4729</v>
      </c>
      <c r="B2810" t="str">
        <f>"002083"</f>
        <v>002083</v>
      </c>
      <c r="C2810" t="s">
        <v>5956</v>
      </c>
      <c r="D2810" t="s">
        <v>1009</v>
      </c>
      <c r="F2810">
        <v>3782164347</v>
      </c>
      <c r="G2810">
        <v>3657501673</v>
      </c>
      <c r="H2810">
        <v>3718210196</v>
      </c>
      <c r="I2810">
        <v>3413029009</v>
      </c>
      <c r="J2810">
        <v>3323253964</v>
      </c>
      <c r="K2810">
        <v>3185947980</v>
      </c>
      <c r="L2810">
        <v>2988645803</v>
      </c>
      <c r="M2810">
        <v>2768279475</v>
      </c>
      <c r="N2810">
        <v>2785904559</v>
      </c>
      <c r="O2810">
        <v>2806805764</v>
      </c>
      <c r="P2810">
        <v>283</v>
      </c>
      <c r="Q2810" t="s">
        <v>5957</v>
      </c>
    </row>
    <row r="2811" spans="1:17" x14ac:dyDescent="0.3">
      <c r="A2811" t="s">
        <v>4729</v>
      </c>
      <c r="B2811" t="str">
        <f>"002084"</f>
        <v>002084</v>
      </c>
      <c r="C2811" t="s">
        <v>5958</v>
      </c>
      <c r="D2811" t="s">
        <v>2912</v>
      </c>
      <c r="F2811">
        <v>1820357890</v>
      </c>
      <c r="G2811">
        <v>1769092397</v>
      </c>
      <c r="H2811">
        <v>1608769566</v>
      </c>
      <c r="I2811">
        <v>1588956943</v>
      </c>
      <c r="J2811">
        <v>1621264014</v>
      </c>
      <c r="K2811">
        <v>1184814566</v>
      </c>
      <c r="L2811">
        <v>1114917193</v>
      </c>
      <c r="M2811">
        <v>797443696</v>
      </c>
      <c r="N2811">
        <v>776650995</v>
      </c>
      <c r="O2811">
        <v>768360361</v>
      </c>
      <c r="P2811">
        <v>148</v>
      </c>
      <c r="Q2811" t="s">
        <v>5959</v>
      </c>
    </row>
    <row r="2812" spans="1:17" x14ac:dyDescent="0.3">
      <c r="A2812" t="s">
        <v>4729</v>
      </c>
      <c r="B2812" t="str">
        <f>"002085"</f>
        <v>002085</v>
      </c>
      <c r="C2812" t="s">
        <v>5960</v>
      </c>
      <c r="D2812" t="s">
        <v>422</v>
      </c>
      <c r="F2812">
        <v>5105557170</v>
      </c>
      <c r="G2812">
        <v>5353609030</v>
      </c>
      <c r="H2812">
        <v>6150821541</v>
      </c>
      <c r="I2812">
        <v>6330544402</v>
      </c>
      <c r="J2812">
        <v>6009167680</v>
      </c>
      <c r="K2812">
        <v>5303838079</v>
      </c>
      <c r="L2812">
        <v>4100979666</v>
      </c>
      <c r="M2812">
        <v>1957326503</v>
      </c>
      <c r="N2812">
        <v>1667196514</v>
      </c>
      <c r="O2812">
        <v>1538080403</v>
      </c>
      <c r="P2812">
        <v>1527</v>
      </c>
      <c r="Q2812" t="s">
        <v>5961</v>
      </c>
    </row>
    <row r="2813" spans="1:17" x14ac:dyDescent="0.3">
      <c r="A2813" t="s">
        <v>4729</v>
      </c>
      <c r="B2813" t="str">
        <f>"002086"</f>
        <v>002086</v>
      </c>
      <c r="C2813" t="s">
        <v>5962</v>
      </c>
      <c r="D2813" t="s">
        <v>587</v>
      </c>
      <c r="F2813">
        <v>410480874</v>
      </c>
      <c r="G2813">
        <v>1431266953</v>
      </c>
      <c r="H2813">
        <v>1735009406</v>
      </c>
      <c r="I2813">
        <v>2754599621</v>
      </c>
      <c r="J2813">
        <v>2973713617</v>
      </c>
      <c r="K2813">
        <v>2859890951</v>
      </c>
      <c r="L2813">
        <v>2800368122</v>
      </c>
      <c r="M2813">
        <v>1404042632</v>
      </c>
      <c r="N2813">
        <v>1362439311</v>
      </c>
      <c r="O2813">
        <v>1305474108</v>
      </c>
      <c r="P2813">
        <v>70</v>
      </c>
      <c r="Q2813" t="s">
        <v>5963</v>
      </c>
    </row>
    <row r="2814" spans="1:17" x14ac:dyDescent="0.3">
      <c r="A2814" t="s">
        <v>4729</v>
      </c>
      <c r="B2814" t="str">
        <f>"002087"</f>
        <v>002087</v>
      </c>
      <c r="C2814" t="s">
        <v>5964</v>
      </c>
      <c r="D2814" t="s">
        <v>1009</v>
      </c>
      <c r="F2814">
        <v>4300071036</v>
      </c>
      <c r="G2814">
        <v>4272226679</v>
      </c>
      <c r="H2814">
        <v>4128315908</v>
      </c>
      <c r="I2814">
        <v>3904870387</v>
      </c>
      <c r="J2814">
        <v>3251314156</v>
      </c>
      <c r="K2814">
        <v>2950909159</v>
      </c>
      <c r="L2814">
        <v>2023842943</v>
      </c>
      <c r="M2814">
        <v>1921171515</v>
      </c>
      <c r="N2814">
        <v>1870352218</v>
      </c>
      <c r="O2814">
        <v>1787672303</v>
      </c>
      <c r="P2814">
        <v>208</v>
      </c>
      <c r="Q2814" t="s">
        <v>5965</v>
      </c>
    </row>
    <row r="2815" spans="1:17" x14ac:dyDescent="0.3">
      <c r="A2815" t="s">
        <v>4729</v>
      </c>
      <c r="B2815" t="str">
        <f>"002088"</f>
        <v>002088</v>
      </c>
      <c r="C2815" t="s">
        <v>5966</v>
      </c>
      <c r="D2815" t="s">
        <v>5922</v>
      </c>
      <c r="F2815">
        <v>2634605020</v>
      </c>
      <c r="G2815">
        <v>2377586185</v>
      </c>
      <c r="H2815">
        <v>2204083012</v>
      </c>
      <c r="I2815">
        <v>2031593558</v>
      </c>
      <c r="J2815">
        <v>1874182127</v>
      </c>
      <c r="K2815">
        <v>1683828710</v>
      </c>
      <c r="L2815">
        <v>1602558344</v>
      </c>
      <c r="M2815">
        <v>1568410553</v>
      </c>
      <c r="N2815">
        <v>1513322995</v>
      </c>
      <c r="O2815">
        <v>1450251663</v>
      </c>
      <c r="P2815">
        <v>407</v>
      </c>
      <c r="Q2815" t="s">
        <v>5967</v>
      </c>
    </row>
    <row r="2816" spans="1:17" x14ac:dyDescent="0.3">
      <c r="A2816" t="s">
        <v>4729</v>
      </c>
      <c r="B2816" t="str">
        <f>"002089"</f>
        <v>002089</v>
      </c>
      <c r="C2816" t="s">
        <v>5968</v>
      </c>
      <c r="D2816" t="s">
        <v>1019</v>
      </c>
      <c r="F2816">
        <v>966233847</v>
      </c>
      <c r="G2816">
        <v>1023487858</v>
      </c>
      <c r="H2816">
        <v>1316802032</v>
      </c>
      <c r="I2816">
        <v>1182877671</v>
      </c>
      <c r="J2816">
        <v>1672089610</v>
      </c>
      <c r="K2816">
        <v>1896876875</v>
      </c>
      <c r="L2816">
        <v>1886580338</v>
      </c>
      <c r="M2816">
        <v>1765836020</v>
      </c>
      <c r="N2816">
        <v>1201006236</v>
      </c>
      <c r="O2816">
        <v>1063815807</v>
      </c>
      <c r="P2816">
        <v>175</v>
      </c>
      <c r="Q2816" t="s">
        <v>5969</v>
      </c>
    </row>
    <row r="2817" spans="1:17" x14ac:dyDescent="0.3">
      <c r="A2817" t="s">
        <v>4729</v>
      </c>
      <c r="B2817" t="str">
        <f>"002090"</f>
        <v>002090</v>
      </c>
      <c r="C2817" t="s">
        <v>5970</v>
      </c>
      <c r="D2817" t="s">
        <v>610</v>
      </c>
      <c r="F2817">
        <v>1254935009</v>
      </c>
      <c r="G2817">
        <v>1340014856</v>
      </c>
      <c r="H2817">
        <v>1302463372</v>
      </c>
      <c r="I2817">
        <v>1232442361</v>
      </c>
      <c r="J2817">
        <v>1175616544</v>
      </c>
      <c r="K2817">
        <v>1188142282</v>
      </c>
      <c r="L2817">
        <v>1074818457</v>
      </c>
      <c r="M2817">
        <v>721209003</v>
      </c>
      <c r="N2817">
        <v>597843718</v>
      </c>
      <c r="O2817">
        <v>551321169</v>
      </c>
      <c r="P2817">
        <v>229</v>
      </c>
      <c r="Q2817" t="s">
        <v>5971</v>
      </c>
    </row>
    <row r="2818" spans="1:17" x14ac:dyDescent="0.3">
      <c r="A2818" t="s">
        <v>4729</v>
      </c>
      <c r="B2818" t="str">
        <f>"002091"</f>
        <v>002091</v>
      </c>
      <c r="C2818" t="s">
        <v>5972</v>
      </c>
      <c r="D2818" t="s">
        <v>131</v>
      </c>
      <c r="F2818">
        <v>10024097565</v>
      </c>
      <c r="G2818">
        <v>9235467512</v>
      </c>
      <c r="H2818">
        <v>8458222044</v>
      </c>
      <c r="I2818">
        <v>7794923874</v>
      </c>
      <c r="J2818">
        <v>7095380120</v>
      </c>
      <c r="K2818">
        <v>3757417834</v>
      </c>
      <c r="L2818">
        <v>1736483518</v>
      </c>
      <c r="M2818">
        <v>1527886923</v>
      </c>
      <c r="N2818">
        <v>1357208848</v>
      </c>
      <c r="O2818">
        <v>1216857115</v>
      </c>
      <c r="P2818">
        <v>509</v>
      </c>
      <c r="Q2818" t="s">
        <v>5973</v>
      </c>
    </row>
    <row r="2819" spans="1:17" x14ac:dyDescent="0.3">
      <c r="A2819" t="s">
        <v>4729</v>
      </c>
      <c r="B2819" t="str">
        <f>"002092"</f>
        <v>002092</v>
      </c>
      <c r="C2819" t="s">
        <v>5974</v>
      </c>
      <c r="D2819" t="s">
        <v>175</v>
      </c>
      <c r="F2819">
        <v>25229690613</v>
      </c>
      <c r="G2819">
        <v>18863226964</v>
      </c>
      <c r="H2819">
        <v>18895319873</v>
      </c>
      <c r="I2819">
        <v>18921840487</v>
      </c>
      <c r="J2819">
        <v>16884051150</v>
      </c>
      <c r="K2819">
        <v>14787018357</v>
      </c>
      <c r="L2819">
        <v>8679927303</v>
      </c>
      <c r="M2819">
        <v>8708197510</v>
      </c>
      <c r="N2819">
        <v>8458431486</v>
      </c>
      <c r="O2819">
        <v>7147528925</v>
      </c>
      <c r="P2819">
        <v>521</v>
      </c>
      <c r="Q2819" t="s">
        <v>5975</v>
      </c>
    </row>
    <row r="2820" spans="1:17" x14ac:dyDescent="0.3">
      <c r="A2820" t="s">
        <v>4729</v>
      </c>
      <c r="B2820" t="str">
        <f>"002093"</f>
        <v>002093</v>
      </c>
      <c r="C2820" t="s">
        <v>5976</v>
      </c>
      <c r="D2820" t="s">
        <v>654</v>
      </c>
      <c r="F2820">
        <v>3489336213</v>
      </c>
      <c r="G2820">
        <v>3397620546</v>
      </c>
      <c r="H2820">
        <v>3327669460</v>
      </c>
      <c r="I2820">
        <v>3176353458</v>
      </c>
      <c r="J2820">
        <v>2997549678</v>
      </c>
      <c r="K2820">
        <v>2841551781</v>
      </c>
      <c r="L2820">
        <v>1339701176</v>
      </c>
      <c r="M2820">
        <v>1302239547</v>
      </c>
      <c r="N2820">
        <v>1262842143</v>
      </c>
      <c r="O2820">
        <v>1152975035</v>
      </c>
      <c r="P2820">
        <v>288</v>
      </c>
      <c r="Q2820" t="s">
        <v>5977</v>
      </c>
    </row>
    <row r="2821" spans="1:17" x14ac:dyDescent="0.3">
      <c r="A2821" t="s">
        <v>4729</v>
      </c>
      <c r="B2821" t="str">
        <f>"002094"</f>
        <v>002094</v>
      </c>
      <c r="C2821" t="s">
        <v>5978</v>
      </c>
      <c r="D2821" t="s">
        <v>5979</v>
      </c>
      <c r="F2821">
        <v>2223861567</v>
      </c>
      <c r="G2821">
        <v>2465427007</v>
      </c>
      <c r="H2821">
        <v>2899671015</v>
      </c>
      <c r="I2821">
        <v>2908486530</v>
      </c>
      <c r="J2821">
        <v>2506002367</v>
      </c>
      <c r="K2821">
        <v>1758823872</v>
      </c>
      <c r="L2821">
        <v>761894919</v>
      </c>
      <c r="M2821">
        <v>630522149</v>
      </c>
      <c r="N2821">
        <v>601335189</v>
      </c>
      <c r="O2821">
        <v>550574849</v>
      </c>
      <c r="P2821">
        <v>183</v>
      </c>
      <c r="Q2821" t="s">
        <v>5980</v>
      </c>
    </row>
    <row r="2822" spans="1:17" x14ac:dyDescent="0.3">
      <c r="A2822" t="s">
        <v>4729</v>
      </c>
      <c r="B2822" t="str">
        <f>"002095"</f>
        <v>002095</v>
      </c>
      <c r="C2822" t="s">
        <v>5981</v>
      </c>
      <c r="D2822" t="s">
        <v>522</v>
      </c>
      <c r="F2822">
        <v>906758620</v>
      </c>
      <c r="G2822">
        <v>911446603</v>
      </c>
      <c r="H2822">
        <v>886947497</v>
      </c>
      <c r="I2822">
        <v>850277771</v>
      </c>
      <c r="J2822">
        <v>828033757</v>
      </c>
      <c r="K2822">
        <v>821153093</v>
      </c>
      <c r="L2822">
        <v>494317837</v>
      </c>
      <c r="M2822">
        <v>486689232</v>
      </c>
      <c r="N2822">
        <v>486556726</v>
      </c>
      <c r="O2822">
        <v>469818621</v>
      </c>
      <c r="P2822">
        <v>97</v>
      </c>
      <c r="Q2822" t="s">
        <v>5982</v>
      </c>
    </row>
    <row r="2823" spans="1:17" x14ac:dyDescent="0.3">
      <c r="A2823" t="s">
        <v>4729</v>
      </c>
      <c r="B2823" t="str">
        <f>"002096"</f>
        <v>002096</v>
      </c>
      <c r="C2823" t="s">
        <v>5983</v>
      </c>
      <c r="D2823" t="s">
        <v>2736</v>
      </c>
      <c r="F2823">
        <v>1847257698</v>
      </c>
      <c r="G2823">
        <v>2029673413</v>
      </c>
      <c r="H2823">
        <v>2021343227</v>
      </c>
      <c r="I2823">
        <v>1990922753</v>
      </c>
      <c r="J2823">
        <v>2008847595</v>
      </c>
      <c r="K2823">
        <v>2047656592</v>
      </c>
      <c r="L2823">
        <v>2291325141</v>
      </c>
      <c r="M2823">
        <v>2005600751</v>
      </c>
      <c r="N2823">
        <v>1847479610</v>
      </c>
      <c r="O2823">
        <v>1689720483</v>
      </c>
      <c r="P2823">
        <v>79</v>
      </c>
      <c r="Q2823" t="s">
        <v>5984</v>
      </c>
    </row>
    <row r="2824" spans="1:17" x14ac:dyDescent="0.3">
      <c r="A2824" t="s">
        <v>4729</v>
      </c>
      <c r="B2824" t="str">
        <f>"002097"</f>
        <v>002097</v>
      </c>
      <c r="C2824" t="s">
        <v>5985</v>
      </c>
      <c r="D2824" t="s">
        <v>83</v>
      </c>
      <c r="F2824">
        <v>5511083779</v>
      </c>
      <c r="G2824">
        <v>5305456642</v>
      </c>
      <c r="H2824">
        <v>4975214562</v>
      </c>
      <c r="I2824">
        <v>4618425888</v>
      </c>
      <c r="J2824">
        <v>4282362569</v>
      </c>
      <c r="K2824">
        <v>2471806103</v>
      </c>
      <c r="L2824">
        <v>2379762107</v>
      </c>
      <c r="M2824">
        <v>2416783739</v>
      </c>
      <c r="N2824">
        <v>1681918760</v>
      </c>
      <c r="O2824">
        <v>1664630812</v>
      </c>
      <c r="P2824">
        <v>217</v>
      </c>
      <c r="Q2824" t="s">
        <v>5986</v>
      </c>
    </row>
    <row r="2825" spans="1:17" x14ac:dyDescent="0.3">
      <c r="A2825" t="s">
        <v>4729</v>
      </c>
      <c r="B2825" t="str">
        <f>"002098"</f>
        <v>002098</v>
      </c>
      <c r="C2825" t="s">
        <v>5987</v>
      </c>
      <c r="D2825" t="s">
        <v>2956</v>
      </c>
      <c r="F2825">
        <v>943793819</v>
      </c>
      <c r="G2825">
        <v>817058035</v>
      </c>
      <c r="H2825">
        <v>618242239</v>
      </c>
      <c r="I2825">
        <v>561423673</v>
      </c>
      <c r="J2825">
        <v>1219043386</v>
      </c>
      <c r="K2825">
        <v>1129939365</v>
      </c>
      <c r="L2825">
        <v>1041507196</v>
      </c>
      <c r="M2825">
        <v>687010575</v>
      </c>
      <c r="N2825">
        <v>640993537</v>
      </c>
      <c r="O2825">
        <v>597014834</v>
      </c>
      <c r="P2825">
        <v>111</v>
      </c>
      <c r="Q2825" t="s">
        <v>5988</v>
      </c>
    </row>
    <row r="2826" spans="1:17" x14ac:dyDescent="0.3">
      <c r="A2826" t="s">
        <v>4729</v>
      </c>
      <c r="B2826" t="str">
        <f>"002099"</f>
        <v>002099</v>
      </c>
      <c r="C2826" t="s">
        <v>5989</v>
      </c>
      <c r="D2826" t="s">
        <v>496</v>
      </c>
      <c r="F2826">
        <v>6115000722</v>
      </c>
      <c r="G2826">
        <v>5852085567</v>
      </c>
      <c r="H2826">
        <v>5724462096</v>
      </c>
      <c r="I2826">
        <v>5390549932</v>
      </c>
      <c r="J2826">
        <v>5142008177</v>
      </c>
      <c r="K2826">
        <v>4767696982</v>
      </c>
      <c r="L2826">
        <v>3585545502</v>
      </c>
      <c r="M2826">
        <v>3184356709</v>
      </c>
      <c r="N2826">
        <v>623112189</v>
      </c>
      <c r="O2826">
        <v>711721913</v>
      </c>
      <c r="P2826">
        <v>298</v>
      </c>
      <c r="Q2826" t="s">
        <v>5990</v>
      </c>
    </row>
    <row r="2827" spans="1:17" x14ac:dyDescent="0.3">
      <c r="A2827" t="s">
        <v>4729</v>
      </c>
      <c r="B2827" t="str">
        <f>"002100"</f>
        <v>002100</v>
      </c>
      <c r="C2827" t="s">
        <v>5991</v>
      </c>
      <c r="D2827" t="s">
        <v>2886</v>
      </c>
      <c r="F2827">
        <v>7144645315</v>
      </c>
      <c r="G2827">
        <v>6229293546</v>
      </c>
      <c r="H2827">
        <v>4585028038</v>
      </c>
      <c r="I2827">
        <v>3164435755</v>
      </c>
      <c r="J2827">
        <v>2940752333</v>
      </c>
      <c r="K2827">
        <v>2628995915</v>
      </c>
      <c r="L2827">
        <v>2351949250</v>
      </c>
      <c r="M2827">
        <v>1850149838</v>
      </c>
      <c r="N2827">
        <v>1694618653</v>
      </c>
      <c r="O2827">
        <v>1207819822</v>
      </c>
      <c r="P2827">
        <v>737</v>
      </c>
      <c r="Q2827" t="s">
        <v>5992</v>
      </c>
    </row>
    <row r="2828" spans="1:17" x14ac:dyDescent="0.3">
      <c r="A2828" t="s">
        <v>4729</v>
      </c>
      <c r="B2828" t="str">
        <f>"002101"</f>
        <v>002101</v>
      </c>
      <c r="C2828" t="s">
        <v>5993</v>
      </c>
      <c r="D2828" t="s">
        <v>985</v>
      </c>
      <c r="F2828">
        <v>4774129915</v>
      </c>
      <c r="G2828">
        <v>4561291592</v>
      </c>
      <c r="H2828">
        <v>4443847380</v>
      </c>
      <c r="I2828">
        <v>4575537067</v>
      </c>
      <c r="J2828">
        <v>4340541694</v>
      </c>
      <c r="K2828">
        <v>2149304079</v>
      </c>
      <c r="L2828">
        <v>1456458992</v>
      </c>
      <c r="M2828">
        <v>1349389088</v>
      </c>
      <c r="N2828">
        <v>1264341281</v>
      </c>
      <c r="O2828">
        <v>985617053</v>
      </c>
      <c r="P2828">
        <v>267</v>
      </c>
      <c r="Q2828" t="s">
        <v>5994</v>
      </c>
    </row>
    <row r="2829" spans="1:17" x14ac:dyDescent="0.3">
      <c r="A2829" t="s">
        <v>4729</v>
      </c>
      <c r="B2829" t="str">
        <f>"002102"</f>
        <v>002102</v>
      </c>
      <c r="C2829" t="s">
        <v>5995</v>
      </c>
      <c r="D2829" t="s">
        <v>496</v>
      </c>
      <c r="F2829">
        <v>3418813144</v>
      </c>
      <c r="G2829">
        <v>3317679893</v>
      </c>
      <c r="H2829">
        <v>3183885871</v>
      </c>
      <c r="I2829">
        <v>2464769641</v>
      </c>
      <c r="J2829">
        <v>5308945686</v>
      </c>
      <c r="K2829">
        <v>4549668191</v>
      </c>
      <c r="L2829">
        <v>2865971752</v>
      </c>
      <c r="M2829">
        <v>2031797561</v>
      </c>
      <c r="N2829">
        <v>654649814</v>
      </c>
      <c r="O2829">
        <v>624440636</v>
      </c>
      <c r="P2829">
        <v>119</v>
      </c>
      <c r="Q2829" t="s">
        <v>5996</v>
      </c>
    </row>
    <row r="2830" spans="1:17" x14ac:dyDescent="0.3">
      <c r="A2830" t="s">
        <v>4729</v>
      </c>
      <c r="B2830" t="str">
        <f>"002103"</f>
        <v>002103</v>
      </c>
      <c r="C2830" t="s">
        <v>5997</v>
      </c>
      <c r="D2830" t="s">
        <v>207</v>
      </c>
      <c r="F2830">
        <v>806433966</v>
      </c>
      <c r="G2830">
        <v>788022119</v>
      </c>
      <c r="H2830">
        <v>1026734647</v>
      </c>
      <c r="I2830">
        <v>1013688147</v>
      </c>
      <c r="J2830">
        <v>1778123329</v>
      </c>
      <c r="K2830">
        <v>1705770009</v>
      </c>
      <c r="L2830">
        <v>1620456659</v>
      </c>
      <c r="M2830">
        <v>739568392</v>
      </c>
      <c r="N2830">
        <v>741188390</v>
      </c>
      <c r="O2830">
        <v>735745348</v>
      </c>
      <c r="P2830">
        <v>108</v>
      </c>
      <c r="Q2830" t="s">
        <v>5998</v>
      </c>
    </row>
    <row r="2831" spans="1:17" x14ac:dyDescent="0.3">
      <c r="A2831" t="s">
        <v>4729</v>
      </c>
      <c r="B2831" t="str">
        <f>"002104"</f>
        <v>002104</v>
      </c>
      <c r="C2831" t="s">
        <v>5999</v>
      </c>
      <c r="D2831" t="s">
        <v>786</v>
      </c>
      <c r="F2831">
        <v>1844363713</v>
      </c>
      <c r="G2831">
        <v>1929301834</v>
      </c>
      <c r="H2831">
        <v>1928289809</v>
      </c>
      <c r="I2831">
        <v>1894006700</v>
      </c>
      <c r="J2831">
        <v>1794188026</v>
      </c>
      <c r="K2831">
        <v>1635809038</v>
      </c>
      <c r="L2831">
        <v>1557028976</v>
      </c>
      <c r="M2831">
        <v>1251233812</v>
      </c>
      <c r="N2831">
        <v>965066296</v>
      </c>
      <c r="O2831">
        <v>808606980</v>
      </c>
      <c r="P2831">
        <v>416</v>
      </c>
      <c r="Q2831" t="s">
        <v>6000</v>
      </c>
    </row>
    <row r="2832" spans="1:17" x14ac:dyDescent="0.3">
      <c r="A2832" t="s">
        <v>4729</v>
      </c>
      <c r="B2832" t="str">
        <f>"002105"</f>
        <v>002105</v>
      </c>
      <c r="C2832" t="s">
        <v>6001</v>
      </c>
      <c r="D2832" t="s">
        <v>233</v>
      </c>
      <c r="F2832">
        <v>852946415</v>
      </c>
      <c r="G2832">
        <v>654098081</v>
      </c>
      <c r="H2832">
        <v>548493856</v>
      </c>
      <c r="I2832">
        <v>509275196</v>
      </c>
      <c r="J2832">
        <v>527927858</v>
      </c>
      <c r="K2832">
        <v>483374867</v>
      </c>
      <c r="L2832">
        <v>453456929</v>
      </c>
      <c r="M2832">
        <v>524106753</v>
      </c>
      <c r="N2832">
        <v>524229158</v>
      </c>
      <c r="O2832">
        <v>531947493</v>
      </c>
      <c r="P2832">
        <v>217</v>
      </c>
      <c r="Q2832" t="s">
        <v>6002</v>
      </c>
    </row>
    <row r="2833" spans="1:17" x14ac:dyDescent="0.3">
      <c r="A2833" t="s">
        <v>4729</v>
      </c>
      <c r="B2833" t="str">
        <f>"002106"</f>
        <v>002106</v>
      </c>
      <c r="C2833" t="s">
        <v>6003</v>
      </c>
      <c r="D2833" t="s">
        <v>1117</v>
      </c>
      <c r="F2833">
        <v>4675682731</v>
      </c>
      <c r="G2833">
        <v>4417171480</v>
      </c>
      <c r="H2833">
        <v>4054289319</v>
      </c>
      <c r="I2833">
        <v>3841954455</v>
      </c>
      <c r="J2833">
        <v>3725051739</v>
      </c>
      <c r="K2833">
        <v>3657773682</v>
      </c>
      <c r="L2833">
        <v>3444809790</v>
      </c>
      <c r="M2833">
        <v>4055720262</v>
      </c>
      <c r="N2833">
        <v>4112634629</v>
      </c>
      <c r="O2833">
        <v>2452529518</v>
      </c>
      <c r="P2833">
        <v>296</v>
      </c>
      <c r="Q2833" t="s">
        <v>6004</v>
      </c>
    </row>
    <row r="2834" spans="1:17" x14ac:dyDescent="0.3">
      <c r="A2834" t="s">
        <v>4729</v>
      </c>
      <c r="B2834" t="str">
        <f>"002107"</f>
        <v>002107</v>
      </c>
      <c r="C2834" t="s">
        <v>6005</v>
      </c>
      <c r="D2834" t="s">
        <v>188</v>
      </c>
      <c r="F2834">
        <v>820716496</v>
      </c>
      <c r="G2834">
        <v>807398989</v>
      </c>
      <c r="H2834">
        <v>671978184</v>
      </c>
      <c r="I2834">
        <v>594045643</v>
      </c>
      <c r="J2834">
        <v>548394124</v>
      </c>
      <c r="K2834">
        <v>489016059</v>
      </c>
      <c r="L2834">
        <v>476282229</v>
      </c>
      <c r="M2834">
        <v>631744757</v>
      </c>
      <c r="N2834">
        <v>605035557</v>
      </c>
      <c r="O2834">
        <v>594414268</v>
      </c>
      <c r="P2834">
        <v>350</v>
      </c>
      <c r="Q2834" t="s">
        <v>6006</v>
      </c>
    </row>
    <row r="2835" spans="1:17" x14ac:dyDescent="0.3">
      <c r="A2835" t="s">
        <v>4729</v>
      </c>
      <c r="B2835" t="str">
        <f>"002108"</f>
        <v>002108</v>
      </c>
      <c r="C2835" t="s">
        <v>6007</v>
      </c>
      <c r="D2835" t="s">
        <v>1192</v>
      </c>
      <c r="F2835">
        <v>3696604259</v>
      </c>
      <c r="G2835">
        <v>3489150791</v>
      </c>
      <c r="H2835">
        <v>3266978200</v>
      </c>
      <c r="I2835">
        <v>3244274081</v>
      </c>
      <c r="J2835">
        <v>3156477805</v>
      </c>
      <c r="K2835">
        <v>2713852924</v>
      </c>
      <c r="L2835">
        <v>1791843320</v>
      </c>
      <c r="M2835">
        <v>1596194892</v>
      </c>
      <c r="N2835">
        <v>1171224280</v>
      </c>
      <c r="O2835">
        <v>1083096549</v>
      </c>
      <c r="P2835">
        <v>345</v>
      </c>
      <c r="Q2835" t="s">
        <v>6008</v>
      </c>
    </row>
    <row r="2836" spans="1:17" x14ac:dyDescent="0.3">
      <c r="A2836" t="s">
        <v>4729</v>
      </c>
      <c r="B2836" t="str">
        <f>"002109"</f>
        <v>002109</v>
      </c>
      <c r="C2836" t="s">
        <v>6009</v>
      </c>
      <c r="D2836" t="s">
        <v>1233</v>
      </c>
      <c r="F2836">
        <v>4464608377</v>
      </c>
      <c r="G2836">
        <v>3920578829</v>
      </c>
      <c r="H2836">
        <v>3723798697</v>
      </c>
      <c r="I2836">
        <v>3580550106</v>
      </c>
      <c r="J2836">
        <v>3335858051</v>
      </c>
      <c r="K2836">
        <v>3122480822</v>
      </c>
      <c r="L2836">
        <v>1024127324</v>
      </c>
      <c r="M2836">
        <v>1160383886</v>
      </c>
      <c r="N2836">
        <v>1312229481</v>
      </c>
      <c r="O2836">
        <v>1287168200</v>
      </c>
      <c r="P2836">
        <v>138</v>
      </c>
      <c r="Q2836" t="s">
        <v>6010</v>
      </c>
    </row>
    <row r="2837" spans="1:17" x14ac:dyDescent="0.3">
      <c r="A2837" t="s">
        <v>4729</v>
      </c>
      <c r="B2837" t="str">
        <f>"002110"</f>
        <v>002110</v>
      </c>
      <c r="C2837" t="s">
        <v>6011</v>
      </c>
      <c r="D2837" t="s">
        <v>531</v>
      </c>
      <c r="F2837">
        <v>23174535315</v>
      </c>
      <c r="G2837">
        <v>20361883344</v>
      </c>
      <c r="H2837">
        <v>18728248748</v>
      </c>
      <c r="I2837">
        <v>18329298870</v>
      </c>
      <c r="J2837">
        <v>11011080762</v>
      </c>
      <c r="K2837">
        <v>7297895852</v>
      </c>
      <c r="L2837">
        <v>1649021904</v>
      </c>
      <c r="M2837">
        <v>2593152146</v>
      </c>
      <c r="N2837">
        <v>2791747786</v>
      </c>
      <c r="O2837">
        <v>2737849475</v>
      </c>
      <c r="P2837">
        <v>1174</v>
      </c>
      <c r="Q2837" t="s">
        <v>6012</v>
      </c>
    </row>
    <row r="2838" spans="1:17" x14ac:dyDescent="0.3">
      <c r="A2838" t="s">
        <v>4729</v>
      </c>
      <c r="B2838" t="str">
        <f>"002111"</f>
        <v>002111</v>
      </c>
      <c r="C2838" t="s">
        <v>6013</v>
      </c>
      <c r="D2838" t="s">
        <v>741</v>
      </c>
      <c r="F2838">
        <v>3152002751</v>
      </c>
      <c r="G2838">
        <v>3225877629</v>
      </c>
      <c r="H2838">
        <v>2921599944</v>
      </c>
      <c r="I2838">
        <v>2755157138</v>
      </c>
      <c r="J2838">
        <v>2604799273</v>
      </c>
      <c r="K2838">
        <v>2651042498</v>
      </c>
      <c r="L2838">
        <v>1995554469</v>
      </c>
      <c r="M2838">
        <v>1254098710</v>
      </c>
      <c r="N2838">
        <v>1167563086</v>
      </c>
      <c r="O2838">
        <v>1098534221</v>
      </c>
      <c r="P2838">
        <v>214</v>
      </c>
      <c r="Q2838" t="s">
        <v>6014</v>
      </c>
    </row>
    <row r="2839" spans="1:17" x14ac:dyDescent="0.3">
      <c r="A2839" t="s">
        <v>4729</v>
      </c>
      <c r="B2839" t="str">
        <f>"002112"</f>
        <v>002112</v>
      </c>
      <c r="C2839" t="s">
        <v>6015</v>
      </c>
      <c r="D2839" t="s">
        <v>210</v>
      </c>
      <c r="F2839">
        <v>417097762</v>
      </c>
      <c r="G2839">
        <v>397399812</v>
      </c>
      <c r="H2839">
        <v>380271383</v>
      </c>
      <c r="I2839">
        <v>384502784</v>
      </c>
      <c r="J2839">
        <v>378216755</v>
      </c>
      <c r="K2839">
        <v>505410384</v>
      </c>
      <c r="L2839">
        <v>484406585</v>
      </c>
      <c r="M2839">
        <v>476760693</v>
      </c>
      <c r="N2839">
        <v>462066984</v>
      </c>
      <c r="O2839">
        <v>444772300</v>
      </c>
      <c r="P2839">
        <v>76</v>
      </c>
      <c r="Q2839" t="s">
        <v>6016</v>
      </c>
    </row>
    <row r="2840" spans="1:17" x14ac:dyDescent="0.3">
      <c r="A2840" t="s">
        <v>4729</v>
      </c>
      <c r="B2840" t="str">
        <f>"002113"</f>
        <v>002113</v>
      </c>
      <c r="C2840" t="s">
        <v>6017</v>
      </c>
      <c r="D2840" t="s">
        <v>517</v>
      </c>
      <c r="F2840">
        <v>168408095</v>
      </c>
      <c r="G2840">
        <v>381045810</v>
      </c>
      <c r="H2840">
        <v>145618571</v>
      </c>
      <c r="I2840">
        <v>2294469198</v>
      </c>
      <c r="J2840">
        <v>2671023082</v>
      </c>
      <c r="K2840">
        <v>948698304</v>
      </c>
      <c r="L2840">
        <v>90725160</v>
      </c>
      <c r="M2840">
        <v>94611095</v>
      </c>
      <c r="N2840">
        <v>93367415</v>
      </c>
      <c r="O2840">
        <v>89674892</v>
      </c>
      <c r="P2840">
        <v>77</v>
      </c>
      <c r="Q2840" t="s">
        <v>6018</v>
      </c>
    </row>
    <row r="2841" spans="1:17" x14ac:dyDescent="0.3">
      <c r="A2841" t="s">
        <v>4729</v>
      </c>
      <c r="B2841" t="str">
        <f>"002114"</f>
        <v>002114</v>
      </c>
      <c r="C2841" t="s">
        <v>6019</v>
      </c>
      <c r="D2841" t="s">
        <v>744</v>
      </c>
      <c r="F2841">
        <v>1468067740</v>
      </c>
      <c r="G2841">
        <v>1440651084</v>
      </c>
      <c r="H2841">
        <v>1566826413</v>
      </c>
      <c r="I2841">
        <v>1540020533</v>
      </c>
      <c r="J2841">
        <v>1801811297</v>
      </c>
      <c r="K2841">
        <v>899418270</v>
      </c>
      <c r="L2841">
        <v>817262521</v>
      </c>
      <c r="M2841">
        <v>796318516</v>
      </c>
      <c r="N2841">
        <v>767054245</v>
      </c>
      <c r="O2841">
        <v>198550691</v>
      </c>
      <c r="P2841">
        <v>73</v>
      </c>
      <c r="Q2841" t="s">
        <v>6020</v>
      </c>
    </row>
    <row r="2842" spans="1:17" x14ac:dyDescent="0.3">
      <c r="A2842" t="s">
        <v>4729</v>
      </c>
      <c r="B2842" t="str">
        <f>"002115"</f>
        <v>002115</v>
      </c>
      <c r="C2842" t="s">
        <v>6021</v>
      </c>
      <c r="D2842" t="s">
        <v>654</v>
      </c>
      <c r="F2842">
        <v>2265051918</v>
      </c>
      <c r="G2842">
        <v>2499368273</v>
      </c>
      <c r="H2842">
        <v>2505022555</v>
      </c>
      <c r="I2842">
        <v>2370490131</v>
      </c>
      <c r="J2842">
        <v>1837405097</v>
      </c>
      <c r="K2842">
        <v>933668512</v>
      </c>
      <c r="L2842">
        <v>934845161</v>
      </c>
      <c r="M2842">
        <v>913650818</v>
      </c>
      <c r="N2842">
        <v>899624096</v>
      </c>
      <c r="O2842">
        <v>1069203225</v>
      </c>
      <c r="P2842">
        <v>239</v>
      </c>
      <c r="Q2842" t="s">
        <v>6022</v>
      </c>
    </row>
    <row r="2843" spans="1:17" x14ac:dyDescent="0.3">
      <c r="A2843" t="s">
        <v>4729</v>
      </c>
      <c r="B2843" t="str">
        <f>"002116"</f>
        <v>002116</v>
      </c>
      <c r="C2843" t="s">
        <v>6023</v>
      </c>
      <c r="D2843" t="s">
        <v>1992</v>
      </c>
      <c r="F2843">
        <v>1501825427</v>
      </c>
      <c r="G2843">
        <v>1401774958</v>
      </c>
      <c r="H2843">
        <v>1390991744</v>
      </c>
      <c r="I2843">
        <v>1432705470</v>
      </c>
      <c r="J2843">
        <v>1318315735</v>
      </c>
      <c r="K2843">
        <v>1155582639</v>
      </c>
      <c r="L2843">
        <v>1101104337</v>
      </c>
      <c r="M2843">
        <v>885594357</v>
      </c>
      <c r="N2843">
        <v>709740227</v>
      </c>
      <c r="O2843">
        <v>588438536</v>
      </c>
      <c r="P2843">
        <v>176</v>
      </c>
      <c r="Q2843" t="s">
        <v>6024</v>
      </c>
    </row>
    <row r="2844" spans="1:17" x14ac:dyDescent="0.3">
      <c r="A2844" t="s">
        <v>4729</v>
      </c>
      <c r="B2844" t="str">
        <f>"002117"</f>
        <v>002117</v>
      </c>
      <c r="C2844" t="s">
        <v>6025</v>
      </c>
      <c r="D2844" t="s">
        <v>1694</v>
      </c>
      <c r="F2844">
        <v>1567128164</v>
      </c>
      <c r="G2844">
        <v>1583772965</v>
      </c>
      <c r="H2844">
        <v>1638709422</v>
      </c>
      <c r="I2844">
        <v>1626632075</v>
      </c>
      <c r="J2844">
        <v>1515375516</v>
      </c>
      <c r="K2844">
        <v>1522089832</v>
      </c>
      <c r="L2844">
        <v>1413163838</v>
      </c>
      <c r="M2844">
        <v>1302447619</v>
      </c>
      <c r="N2844">
        <v>1190215945</v>
      </c>
      <c r="O2844">
        <v>1106204827</v>
      </c>
      <c r="P2844">
        <v>392</v>
      </c>
      <c r="Q2844" t="s">
        <v>6026</v>
      </c>
    </row>
    <row r="2845" spans="1:17" x14ac:dyDescent="0.3">
      <c r="A2845" t="s">
        <v>4729</v>
      </c>
      <c r="B2845" t="str">
        <f>"002118"</f>
        <v>002118</v>
      </c>
      <c r="C2845" t="s">
        <v>6027</v>
      </c>
      <c r="D2845" t="s">
        <v>188</v>
      </c>
      <c r="G2845">
        <v>3737919418</v>
      </c>
      <c r="H2845">
        <v>4444025080</v>
      </c>
      <c r="I2845">
        <v>4307534262</v>
      </c>
      <c r="J2845">
        <v>4130820880</v>
      </c>
      <c r="K2845">
        <v>3743268487</v>
      </c>
      <c r="L2845">
        <v>2013306332</v>
      </c>
      <c r="M2845">
        <v>1993174757</v>
      </c>
      <c r="N2845">
        <v>1945947868</v>
      </c>
      <c r="O2845">
        <v>1895433846</v>
      </c>
      <c r="P2845">
        <v>226</v>
      </c>
      <c r="Q2845" t="s">
        <v>6028</v>
      </c>
    </row>
    <row r="2846" spans="1:17" x14ac:dyDescent="0.3">
      <c r="A2846" t="s">
        <v>4729</v>
      </c>
      <c r="B2846" t="str">
        <f>"002119"</f>
        <v>002119</v>
      </c>
      <c r="C2846" t="s">
        <v>6029</v>
      </c>
      <c r="D2846" t="s">
        <v>475</v>
      </c>
      <c r="F2846">
        <v>1142719341</v>
      </c>
      <c r="G2846">
        <v>971201122</v>
      </c>
      <c r="H2846">
        <v>892652230</v>
      </c>
      <c r="I2846">
        <v>807285818</v>
      </c>
      <c r="J2846">
        <v>739742021</v>
      </c>
      <c r="K2846">
        <v>696359210</v>
      </c>
      <c r="L2846">
        <v>652741312</v>
      </c>
      <c r="M2846">
        <v>710020921</v>
      </c>
      <c r="N2846">
        <v>712860443</v>
      </c>
      <c r="O2846">
        <v>614650290</v>
      </c>
      <c r="P2846">
        <v>214</v>
      </c>
      <c r="Q2846" t="s">
        <v>6030</v>
      </c>
    </row>
    <row r="2847" spans="1:17" x14ac:dyDescent="0.3">
      <c r="A2847" t="s">
        <v>4729</v>
      </c>
      <c r="B2847" t="str">
        <f>"002120"</f>
        <v>002120</v>
      </c>
      <c r="C2847" t="s">
        <v>6031</v>
      </c>
      <c r="D2847" t="s">
        <v>537</v>
      </c>
      <c r="F2847">
        <v>15790320330</v>
      </c>
      <c r="G2847">
        <v>14377889836</v>
      </c>
      <c r="H2847">
        <v>13462844670</v>
      </c>
      <c r="I2847">
        <v>11460426397</v>
      </c>
      <c r="J2847">
        <v>5211516859</v>
      </c>
      <c r="K2847">
        <v>3733089000</v>
      </c>
      <c r="L2847">
        <v>565823347</v>
      </c>
      <c r="M2847">
        <v>544537199</v>
      </c>
      <c r="N2847">
        <v>477319298</v>
      </c>
      <c r="O2847">
        <v>458172107</v>
      </c>
      <c r="P2847">
        <v>1163</v>
      </c>
      <c r="Q2847" t="s">
        <v>6032</v>
      </c>
    </row>
    <row r="2848" spans="1:17" x14ac:dyDescent="0.3">
      <c r="A2848" t="s">
        <v>4729</v>
      </c>
      <c r="B2848" t="str">
        <f>"002121"</f>
        <v>002121</v>
      </c>
      <c r="C2848" t="s">
        <v>6033</v>
      </c>
      <c r="D2848" t="s">
        <v>2180</v>
      </c>
      <c r="F2848">
        <v>766933758</v>
      </c>
      <c r="G2848">
        <v>1432255180</v>
      </c>
      <c r="H2848">
        <v>1221484369</v>
      </c>
      <c r="I2848">
        <v>3494788132</v>
      </c>
      <c r="J2848">
        <v>4750910623</v>
      </c>
      <c r="K2848">
        <v>2651628006</v>
      </c>
      <c r="L2848">
        <v>2322801417</v>
      </c>
      <c r="M2848">
        <v>1449308202</v>
      </c>
      <c r="N2848">
        <v>1331440645</v>
      </c>
      <c r="O2848">
        <v>1266032006</v>
      </c>
      <c r="P2848">
        <v>234</v>
      </c>
      <c r="Q2848" t="s">
        <v>6034</v>
      </c>
    </row>
    <row r="2849" spans="1:17" x14ac:dyDescent="0.3">
      <c r="A2849" t="s">
        <v>4729</v>
      </c>
      <c r="B2849" t="str">
        <f>"002122"</f>
        <v>002122</v>
      </c>
      <c r="C2849" t="s">
        <v>6035</v>
      </c>
      <c r="D2849" t="s">
        <v>274</v>
      </c>
      <c r="F2849">
        <v>735153932</v>
      </c>
      <c r="G2849">
        <v>1600963598</v>
      </c>
      <c r="H2849">
        <v>1554624942</v>
      </c>
      <c r="I2849">
        <v>3210964609</v>
      </c>
      <c r="J2849">
        <v>3854307629</v>
      </c>
      <c r="K2849">
        <v>4462068600</v>
      </c>
      <c r="L2849">
        <v>4750753305</v>
      </c>
      <c r="M2849">
        <v>4732446151</v>
      </c>
      <c r="N2849">
        <v>4716393994</v>
      </c>
      <c r="O2849">
        <v>4804127945</v>
      </c>
      <c r="P2849">
        <v>69</v>
      </c>
      <c r="Q2849" t="s">
        <v>6036</v>
      </c>
    </row>
    <row r="2850" spans="1:17" x14ac:dyDescent="0.3">
      <c r="A2850" t="s">
        <v>4729</v>
      </c>
      <c r="B2850" t="str">
        <f>"002123"</f>
        <v>002123</v>
      </c>
      <c r="C2850" t="s">
        <v>6037</v>
      </c>
      <c r="D2850" t="s">
        <v>5670</v>
      </c>
      <c r="F2850">
        <v>4208323049</v>
      </c>
      <c r="G2850">
        <v>4458843303</v>
      </c>
      <c r="H2850">
        <v>4176880415</v>
      </c>
      <c r="I2850">
        <v>4549414646</v>
      </c>
      <c r="J2850">
        <v>4901249711</v>
      </c>
      <c r="K2850">
        <v>5143798465</v>
      </c>
      <c r="L2850">
        <v>4822339437</v>
      </c>
      <c r="M2850">
        <v>1788690402</v>
      </c>
      <c r="N2850">
        <v>2056610625</v>
      </c>
      <c r="O2850">
        <v>2120142052</v>
      </c>
      <c r="P2850">
        <v>364</v>
      </c>
      <c r="Q2850" t="s">
        <v>6038</v>
      </c>
    </row>
    <row r="2851" spans="1:17" x14ac:dyDescent="0.3">
      <c r="A2851" t="s">
        <v>4729</v>
      </c>
      <c r="B2851" t="str">
        <f>"002124"</f>
        <v>002124</v>
      </c>
      <c r="C2851" t="s">
        <v>6039</v>
      </c>
      <c r="D2851" t="s">
        <v>1900</v>
      </c>
      <c r="F2851">
        <v>3453039815</v>
      </c>
      <c r="G2851">
        <v>8781208147</v>
      </c>
      <c r="H2851">
        <v>2881871431</v>
      </c>
      <c r="I2851">
        <v>2380518922</v>
      </c>
      <c r="J2851">
        <v>3029860939</v>
      </c>
      <c r="K2851">
        <v>1404379760</v>
      </c>
      <c r="L2851">
        <v>1089365151</v>
      </c>
      <c r="M2851">
        <v>554425780</v>
      </c>
      <c r="N2851">
        <v>467945292</v>
      </c>
      <c r="O2851">
        <v>426982603</v>
      </c>
      <c r="P2851">
        <v>922</v>
      </c>
      <c r="Q2851" t="s">
        <v>6040</v>
      </c>
    </row>
    <row r="2852" spans="1:17" x14ac:dyDescent="0.3">
      <c r="A2852" t="s">
        <v>4729</v>
      </c>
      <c r="B2852" t="str">
        <f>"002125"</f>
        <v>002125</v>
      </c>
      <c r="C2852" t="s">
        <v>6041</v>
      </c>
      <c r="D2852" t="s">
        <v>736</v>
      </c>
      <c r="F2852">
        <v>1994632131</v>
      </c>
      <c r="G2852">
        <v>1769679891</v>
      </c>
      <c r="H2852">
        <v>1198740847</v>
      </c>
      <c r="I2852">
        <v>1151570792</v>
      </c>
      <c r="J2852">
        <v>1101584592</v>
      </c>
      <c r="K2852">
        <v>1053811668</v>
      </c>
      <c r="L2852">
        <v>1031326916</v>
      </c>
      <c r="M2852">
        <v>262944316</v>
      </c>
      <c r="N2852">
        <v>326340708</v>
      </c>
      <c r="O2852">
        <v>315626167</v>
      </c>
      <c r="P2852">
        <v>157</v>
      </c>
      <c r="Q2852" t="s">
        <v>6042</v>
      </c>
    </row>
    <row r="2853" spans="1:17" x14ac:dyDescent="0.3">
      <c r="A2853" t="s">
        <v>4729</v>
      </c>
      <c r="B2853" t="str">
        <f>"002126"</f>
        <v>002126</v>
      </c>
      <c r="C2853" t="s">
        <v>6043</v>
      </c>
      <c r="D2853" t="s">
        <v>348</v>
      </c>
      <c r="F2853">
        <v>4277505006</v>
      </c>
      <c r="G2853">
        <v>3937786096</v>
      </c>
      <c r="H2853">
        <v>3729627296</v>
      </c>
      <c r="I2853">
        <v>3605604814</v>
      </c>
      <c r="J2853">
        <v>3367060151</v>
      </c>
      <c r="K2853">
        <v>2279332440</v>
      </c>
      <c r="L2853">
        <v>2039449852</v>
      </c>
      <c r="M2853">
        <v>1491968379</v>
      </c>
      <c r="N2853">
        <v>1339169455</v>
      </c>
      <c r="O2853">
        <v>1221412225</v>
      </c>
      <c r="P2853">
        <v>450</v>
      </c>
      <c r="Q2853" t="s">
        <v>6044</v>
      </c>
    </row>
    <row r="2854" spans="1:17" x14ac:dyDescent="0.3">
      <c r="A2854" t="s">
        <v>4729</v>
      </c>
      <c r="B2854" t="str">
        <f>"002127"</f>
        <v>002127</v>
      </c>
      <c r="C2854" t="s">
        <v>6045</v>
      </c>
      <c r="D2854" t="s">
        <v>3617</v>
      </c>
      <c r="F2854">
        <v>4861044428</v>
      </c>
      <c r="G2854">
        <v>5781923255</v>
      </c>
      <c r="H2854">
        <v>4858727121</v>
      </c>
      <c r="I2854">
        <v>3738582158</v>
      </c>
      <c r="J2854">
        <v>3021168578</v>
      </c>
      <c r="K2854">
        <v>1534382269</v>
      </c>
      <c r="L2854">
        <v>1233237597</v>
      </c>
      <c r="M2854">
        <v>442968103</v>
      </c>
      <c r="N2854">
        <v>441127439</v>
      </c>
      <c r="O2854">
        <v>953265609</v>
      </c>
      <c r="P2854">
        <v>1745</v>
      </c>
      <c r="Q2854" t="s">
        <v>6046</v>
      </c>
    </row>
    <row r="2855" spans="1:17" x14ac:dyDescent="0.3">
      <c r="A2855" t="s">
        <v>4729</v>
      </c>
      <c r="B2855" t="str">
        <f>"002128"</f>
        <v>002128</v>
      </c>
      <c r="C2855" t="s">
        <v>6047</v>
      </c>
      <c r="D2855" t="s">
        <v>292</v>
      </c>
      <c r="F2855">
        <v>20390074707</v>
      </c>
      <c r="G2855">
        <v>17590623853</v>
      </c>
      <c r="H2855">
        <v>16148331568</v>
      </c>
      <c r="I2855">
        <v>12294124523</v>
      </c>
      <c r="J2855">
        <v>10798544522</v>
      </c>
      <c r="K2855">
        <v>9503640432</v>
      </c>
      <c r="L2855">
        <v>8828388981</v>
      </c>
      <c r="M2855">
        <v>8381148527</v>
      </c>
      <c r="N2855">
        <v>6282403719</v>
      </c>
      <c r="O2855">
        <v>5631556797</v>
      </c>
      <c r="P2855">
        <v>1050</v>
      </c>
      <c r="Q2855" t="s">
        <v>6048</v>
      </c>
    </row>
    <row r="2856" spans="1:17" x14ac:dyDescent="0.3">
      <c r="A2856" t="s">
        <v>4729</v>
      </c>
      <c r="B2856" t="str">
        <f>"002129"</f>
        <v>002129</v>
      </c>
      <c r="C2856" t="s">
        <v>6049</v>
      </c>
      <c r="D2856" t="s">
        <v>929</v>
      </c>
      <c r="F2856">
        <v>31672286187</v>
      </c>
      <c r="G2856">
        <v>19207006077</v>
      </c>
      <c r="H2856">
        <v>13331828952</v>
      </c>
      <c r="I2856">
        <v>12558784829</v>
      </c>
      <c r="J2856">
        <v>11036656543</v>
      </c>
      <c r="K2856">
        <v>10545696703</v>
      </c>
      <c r="L2856">
        <v>10196575140</v>
      </c>
      <c r="M2856">
        <v>6547113302</v>
      </c>
      <c r="N2856">
        <v>3500303464</v>
      </c>
      <c r="O2856">
        <v>3431768740</v>
      </c>
      <c r="P2856">
        <v>1522</v>
      </c>
      <c r="Q2856" t="s">
        <v>6050</v>
      </c>
    </row>
    <row r="2857" spans="1:17" x14ac:dyDescent="0.3">
      <c r="A2857" t="s">
        <v>4729</v>
      </c>
      <c r="B2857" t="str">
        <f>"002130"</f>
        <v>002130</v>
      </c>
      <c r="C2857" t="s">
        <v>6051</v>
      </c>
      <c r="D2857" t="s">
        <v>651</v>
      </c>
      <c r="F2857">
        <v>3796219407</v>
      </c>
      <c r="G2857">
        <v>3273216347</v>
      </c>
      <c r="H2857">
        <v>2868640496</v>
      </c>
      <c r="I2857">
        <v>2583348642</v>
      </c>
      <c r="J2857">
        <v>2748569094</v>
      </c>
      <c r="K2857">
        <v>2620223041</v>
      </c>
      <c r="L2857">
        <v>1691896440</v>
      </c>
      <c r="M2857">
        <v>1181637129</v>
      </c>
      <c r="N2857">
        <v>1031600388</v>
      </c>
      <c r="O2857">
        <v>982675603</v>
      </c>
      <c r="P2857">
        <v>266</v>
      </c>
      <c r="Q2857" t="s">
        <v>6052</v>
      </c>
    </row>
    <row r="2858" spans="1:17" x14ac:dyDescent="0.3">
      <c r="A2858" t="s">
        <v>4729</v>
      </c>
      <c r="B2858" t="str">
        <f>"002131"</f>
        <v>002131</v>
      </c>
      <c r="C2858" t="s">
        <v>6053</v>
      </c>
      <c r="D2858" t="s">
        <v>207</v>
      </c>
      <c r="F2858">
        <v>11871558416</v>
      </c>
      <c r="G2858">
        <v>12977251808</v>
      </c>
      <c r="H2858">
        <v>8132631499</v>
      </c>
      <c r="I2858">
        <v>6887701119</v>
      </c>
      <c r="J2858">
        <v>7596224341</v>
      </c>
      <c r="K2858">
        <v>7370488300</v>
      </c>
      <c r="L2858">
        <v>5723784291</v>
      </c>
      <c r="M2858">
        <v>2003735843</v>
      </c>
      <c r="N2858">
        <v>1512294732</v>
      </c>
      <c r="O2858">
        <v>1062953532</v>
      </c>
      <c r="P2858">
        <v>417</v>
      </c>
      <c r="Q2858" t="s">
        <v>6054</v>
      </c>
    </row>
    <row r="2859" spans="1:17" x14ac:dyDescent="0.3">
      <c r="A2859" t="s">
        <v>4729</v>
      </c>
      <c r="B2859" t="str">
        <f>"002132"</f>
        <v>002132</v>
      </c>
      <c r="C2859" t="s">
        <v>6055</v>
      </c>
      <c r="D2859" t="s">
        <v>274</v>
      </c>
      <c r="F2859">
        <v>3496083588</v>
      </c>
      <c r="G2859">
        <v>2784517046</v>
      </c>
      <c r="H2859">
        <v>2723055488</v>
      </c>
      <c r="I2859">
        <v>2817001674</v>
      </c>
      <c r="J2859">
        <v>2815108541</v>
      </c>
      <c r="K2859">
        <v>2780066819</v>
      </c>
      <c r="L2859">
        <v>1783621782</v>
      </c>
      <c r="M2859">
        <v>1190001348</v>
      </c>
      <c r="N2859">
        <v>1144210532</v>
      </c>
      <c r="O2859">
        <v>1132481583</v>
      </c>
      <c r="P2859">
        <v>127</v>
      </c>
      <c r="Q2859" t="s">
        <v>6056</v>
      </c>
    </row>
    <row r="2860" spans="1:17" x14ac:dyDescent="0.3">
      <c r="A2860" t="s">
        <v>4729</v>
      </c>
      <c r="B2860" t="str">
        <f>"002133"</f>
        <v>002133</v>
      </c>
      <c r="C2860" t="s">
        <v>6057</v>
      </c>
      <c r="D2860" t="s">
        <v>104</v>
      </c>
      <c r="F2860">
        <v>3904235615</v>
      </c>
      <c r="G2860">
        <v>3639906103</v>
      </c>
      <c r="H2860">
        <v>3407518060</v>
      </c>
      <c r="I2860">
        <v>3228409421</v>
      </c>
      <c r="J2860">
        <v>2948591388</v>
      </c>
      <c r="K2860">
        <v>2820112960</v>
      </c>
      <c r="L2860">
        <v>2725699907</v>
      </c>
      <c r="M2860">
        <v>2851855526</v>
      </c>
      <c r="N2860">
        <v>1984023965</v>
      </c>
      <c r="O2860">
        <v>1812518763</v>
      </c>
      <c r="P2860">
        <v>132</v>
      </c>
      <c r="Q2860" t="s">
        <v>6058</v>
      </c>
    </row>
    <row r="2861" spans="1:17" x14ac:dyDescent="0.3">
      <c r="A2861" t="s">
        <v>4729</v>
      </c>
      <c r="B2861" t="str">
        <f>"002134"</f>
        <v>002134</v>
      </c>
      <c r="C2861" t="s">
        <v>6059</v>
      </c>
      <c r="D2861" t="s">
        <v>425</v>
      </c>
      <c r="F2861">
        <v>426036552</v>
      </c>
      <c r="G2861">
        <v>398204273</v>
      </c>
      <c r="H2861">
        <v>391755027</v>
      </c>
      <c r="I2861">
        <v>378511624</v>
      </c>
      <c r="J2861">
        <v>437768855</v>
      </c>
      <c r="K2861">
        <v>423578211</v>
      </c>
      <c r="L2861">
        <v>522404988</v>
      </c>
      <c r="M2861">
        <v>570662762</v>
      </c>
      <c r="N2861">
        <v>560914586</v>
      </c>
      <c r="O2861">
        <v>609186061</v>
      </c>
      <c r="P2861">
        <v>119</v>
      </c>
      <c r="Q2861" t="s">
        <v>6060</v>
      </c>
    </row>
    <row r="2862" spans="1:17" x14ac:dyDescent="0.3">
      <c r="A2862" t="s">
        <v>4729</v>
      </c>
      <c r="B2862" t="str">
        <f>"002135"</f>
        <v>002135</v>
      </c>
      <c r="C2862" t="s">
        <v>6061</v>
      </c>
      <c r="D2862" t="s">
        <v>978</v>
      </c>
      <c r="F2862">
        <v>6016742566</v>
      </c>
      <c r="G2862">
        <v>4375201817</v>
      </c>
      <c r="H2862">
        <v>4278260568</v>
      </c>
      <c r="I2862">
        <v>4033701501</v>
      </c>
      <c r="J2862">
        <v>3881367126</v>
      </c>
      <c r="K2862">
        <v>2426553377</v>
      </c>
      <c r="L2862">
        <v>2382555955</v>
      </c>
      <c r="M2862">
        <v>1863569351</v>
      </c>
      <c r="N2862">
        <v>1806536977</v>
      </c>
      <c r="O2862">
        <v>1757298470</v>
      </c>
      <c r="P2862">
        <v>163</v>
      </c>
      <c r="Q2862" t="s">
        <v>6062</v>
      </c>
    </row>
    <row r="2863" spans="1:17" x14ac:dyDescent="0.3">
      <c r="A2863" t="s">
        <v>4729</v>
      </c>
      <c r="B2863" t="str">
        <f>"002136"</f>
        <v>002136</v>
      </c>
      <c r="C2863" t="s">
        <v>6063</v>
      </c>
      <c r="D2863" t="s">
        <v>1474</v>
      </c>
      <c r="F2863">
        <v>918998438</v>
      </c>
      <c r="G2863">
        <v>757636391</v>
      </c>
      <c r="H2863">
        <v>703277010</v>
      </c>
      <c r="I2863">
        <v>691876006</v>
      </c>
      <c r="J2863">
        <v>667279000</v>
      </c>
      <c r="K2863">
        <v>503509806</v>
      </c>
      <c r="L2863">
        <v>460998724</v>
      </c>
      <c r="M2863">
        <v>594599998</v>
      </c>
      <c r="N2863">
        <v>591348046</v>
      </c>
      <c r="O2863">
        <v>637207962</v>
      </c>
      <c r="P2863">
        <v>131</v>
      </c>
      <c r="Q2863" t="s">
        <v>6064</v>
      </c>
    </row>
    <row r="2864" spans="1:17" x14ac:dyDescent="0.3">
      <c r="A2864" t="s">
        <v>4729</v>
      </c>
      <c r="B2864" t="str">
        <f>"002137"</f>
        <v>002137</v>
      </c>
      <c r="C2864" t="s">
        <v>6065</v>
      </c>
      <c r="D2864" t="s">
        <v>207</v>
      </c>
      <c r="F2864">
        <v>1356556272</v>
      </c>
      <c r="G2864">
        <v>1451407424</v>
      </c>
      <c r="H2864">
        <v>1427516390</v>
      </c>
      <c r="I2864">
        <v>1340084937</v>
      </c>
      <c r="J2864">
        <v>1697491329</v>
      </c>
      <c r="K2864">
        <v>1609240897</v>
      </c>
      <c r="L2864">
        <v>898091990</v>
      </c>
      <c r="M2864">
        <v>500172490</v>
      </c>
      <c r="N2864">
        <v>483682579</v>
      </c>
      <c r="O2864">
        <v>536992480</v>
      </c>
      <c r="P2864">
        <v>148</v>
      </c>
      <c r="Q2864" t="s">
        <v>6066</v>
      </c>
    </row>
    <row r="2865" spans="1:17" x14ac:dyDescent="0.3">
      <c r="A2865" t="s">
        <v>4729</v>
      </c>
      <c r="B2865" t="str">
        <f>"002138"</f>
        <v>002138</v>
      </c>
      <c r="C2865" t="s">
        <v>6067</v>
      </c>
      <c r="D2865" t="s">
        <v>546</v>
      </c>
      <c r="F2865">
        <v>5532038424</v>
      </c>
      <c r="G2865">
        <v>4845016553</v>
      </c>
      <c r="H2865">
        <v>4417726628</v>
      </c>
      <c r="I2865">
        <v>4298269302</v>
      </c>
      <c r="J2865">
        <v>4003490993</v>
      </c>
      <c r="K2865">
        <v>2667018766</v>
      </c>
      <c r="L2865">
        <v>2409162472</v>
      </c>
      <c r="M2865">
        <v>2114428880</v>
      </c>
      <c r="N2865">
        <v>1378882822</v>
      </c>
      <c r="O2865">
        <v>1190756706</v>
      </c>
      <c r="P2865">
        <v>1065</v>
      </c>
      <c r="Q2865" t="s">
        <v>6068</v>
      </c>
    </row>
    <row r="2866" spans="1:17" x14ac:dyDescent="0.3">
      <c r="A2866" t="s">
        <v>4729</v>
      </c>
      <c r="B2866" t="str">
        <f>"002139"</f>
        <v>002139</v>
      </c>
      <c r="C2866" t="s">
        <v>6069</v>
      </c>
      <c r="D2866" t="s">
        <v>313</v>
      </c>
      <c r="F2866">
        <v>5028315407</v>
      </c>
      <c r="G2866">
        <v>3463681981</v>
      </c>
      <c r="H2866">
        <v>2405848821</v>
      </c>
      <c r="I2866">
        <v>2134408675</v>
      </c>
      <c r="J2866">
        <v>1934972151</v>
      </c>
      <c r="K2866">
        <v>1713772389</v>
      </c>
      <c r="L2866">
        <v>968971295</v>
      </c>
      <c r="M2866">
        <v>554020303</v>
      </c>
      <c r="N2866">
        <v>508410000</v>
      </c>
      <c r="O2866">
        <v>495773969</v>
      </c>
      <c r="P2866">
        <v>919</v>
      </c>
      <c r="Q2866" t="s">
        <v>6070</v>
      </c>
    </row>
    <row r="2867" spans="1:17" x14ac:dyDescent="0.3">
      <c r="A2867" t="s">
        <v>4729</v>
      </c>
      <c r="B2867" t="str">
        <f>"002140"</f>
        <v>002140</v>
      </c>
      <c r="C2867" t="s">
        <v>6071</v>
      </c>
      <c r="D2867" t="s">
        <v>2025</v>
      </c>
      <c r="F2867">
        <v>2577209904</v>
      </c>
      <c r="G2867">
        <v>2370690923</v>
      </c>
      <c r="H2867">
        <v>2218921475</v>
      </c>
      <c r="I2867">
        <v>2104027959</v>
      </c>
      <c r="J2867">
        <v>1953682634</v>
      </c>
      <c r="K2867">
        <v>2039922776</v>
      </c>
      <c r="L2867">
        <v>1978390816</v>
      </c>
      <c r="M2867">
        <v>1839460556</v>
      </c>
      <c r="N2867">
        <v>1598596096</v>
      </c>
      <c r="O2867">
        <v>1385701826</v>
      </c>
      <c r="P2867">
        <v>129</v>
      </c>
      <c r="Q2867" t="s">
        <v>6072</v>
      </c>
    </row>
    <row r="2868" spans="1:17" x14ac:dyDescent="0.3">
      <c r="A2868" t="s">
        <v>4729</v>
      </c>
      <c r="B2868" t="str">
        <f>"002141"</f>
        <v>002141</v>
      </c>
      <c r="C2868" t="s">
        <v>6073</v>
      </c>
      <c r="D2868" t="s">
        <v>651</v>
      </c>
      <c r="F2868">
        <v>803637142</v>
      </c>
      <c r="G2868">
        <v>781105389</v>
      </c>
      <c r="H2868">
        <v>1432911950</v>
      </c>
      <c r="I2868">
        <v>1340643430</v>
      </c>
      <c r="J2868">
        <v>1307344537</v>
      </c>
      <c r="K2868">
        <v>1301403179</v>
      </c>
      <c r="L2868">
        <v>308110497</v>
      </c>
      <c r="M2868">
        <v>301180644</v>
      </c>
      <c r="N2868">
        <v>317124844</v>
      </c>
      <c r="O2868">
        <v>308642199</v>
      </c>
      <c r="P2868">
        <v>74</v>
      </c>
      <c r="Q2868" t="s">
        <v>6074</v>
      </c>
    </row>
    <row r="2869" spans="1:17" x14ac:dyDescent="0.3">
      <c r="A2869" t="s">
        <v>4729</v>
      </c>
      <c r="B2869" t="str">
        <f>"002142"</f>
        <v>002142</v>
      </c>
      <c r="C2869" t="s">
        <v>6075</v>
      </c>
      <c r="D2869" t="s">
        <v>1842</v>
      </c>
      <c r="F2869">
        <v>134614000000</v>
      </c>
      <c r="G2869">
        <v>103670000000</v>
      </c>
      <c r="H2869">
        <v>85498401000</v>
      </c>
      <c r="I2869">
        <v>64646233000</v>
      </c>
      <c r="J2869">
        <v>50369300000</v>
      </c>
      <c r="K2869">
        <v>45453311000</v>
      </c>
      <c r="L2869">
        <v>45001448000</v>
      </c>
      <c r="M2869">
        <v>34091097000</v>
      </c>
      <c r="N2869">
        <v>25506693000</v>
      </c>
      <c r="O2869">
        <v>22116960000</v>
      </c>
      <c r="P2869">
        <v>59332</v>
      </c>
      <c r="Q2869" t="s">
        <v>6076</v>
      </c>
    </row>
    <row r="2870" spans="1:17" x14ac:dyDescent="0.3">
      <c r="A2870" t="s">
        <v>4729</v>
      </c>
      <c r="B2870" t="str">
        <f>"002143"</f>
        <v>002143</v>
      </c>
      <c r="C2870" t="s">
        <v>6077</v>
      </c>
      <c r="I2870">
        <v>1198329312</v>
      </c>
      <c r="J2870">
        <v>2913528776</v>
      </c>
      <c r="K2870">
        <v>2279732354</v>
      </c>
      <c r="L2870">
        <v>1595944709</v>
      </c>
      <c r="M2870">
        <v>1060200265</v>
      </c>
      <c r="N2870">
        <v>467973519</v>
      </c>
      <c r="O2870">
        <v>495570353</v>
      </c>
      <c r="P2870">
        <v>59</v>
      </c>
      <c r="Q2870" t="s">
        <v>6078</v>
      </c>
    </row>
    <row r="2871" spans="1:17" x14ac:dyDescent="0.3">
      <c r="A2871" t="s">
        <v>4729</v>
      </c>
      <c r="B2871" t="str">
        <f>"002144"</f>
        <v>002144</v>
      </c>
      <c r="C2871" t="s">
        <v>6079</v>
      </c>
      <c r="D2871" t="s">
        <v>366</v>
      </c>
      <c r="F2871">
        <v>1859360967</v>
      </c>
      <c r="G2871">
        <v>1764321090</v>
      </c>
      <c r="H2871">
        <v>1724999481</v>
      </c>
      <c r="I2871">
        <v>1665041370</v>
      </c>
      <c r="J2871">
        <v>1687759220</v>
      </c>
      <c r="K2871">
        <v>1696197362</v>
      </c>
      <c r="L2871">
        <v>1705238468</v>
      </c>
      <c r="M2871">
        <v>1719132981</v>
      </c>
      <c r="N2871">
        <v>1858498243</v>
      </c>
      <c r="O2871">
        <v>1253668137</v>
      </c>
      <c r="P2871">
        <v>115</v>
      </c>
      <c r="Q2871" t="s">
        <v>6080</v>
      </c>
    </row>
    <row r="2872" spans="1:17" x14ac:dyDescent="0.3">
      <c r="A2872" t="s">
        <v>4729</v>
      </c>
      <c r="B2872" t="str">
        <f>"002145"</f>
        <v>002145</v>
      </c>
      <c r="C2872" t="s">
        <v>6081</v>
      </c>
      <c r="D2872" t="s">
        <v>1474</v>
      </c>
      <c r="F2872">
        <v>6959404060</v>
      </c>
      <c r="G2872">
        <v>5826830535</v>
      </c>
      <c r="H2872">
        <v>3279389773</v>
      </c>
      <c r="I2872">
        <v>3212001356</v>
      </c>
      <c r="J2872">
        <v>2996828195</v>
      </c>
      <c r="K2872">
        <v>2563814436</v>
      </c>
      <c r="L2872">
        <v>2357475337</v>
      </c>
      <c r="M2872">
        <v>1583636019</v>
      </c>
      <c r="N2872">
        <v>1160012719</v>
      </c>
      <c r="O2872">
        <v>175615509</v>
      </c>
      <c r="P2872">
        <v>284</v>
      </c>
      <c r="Q2872" t="s">
        <v>6082</v>
      </c>
    </row>
    <row r="2873" spans="1:17" x14ac:dyDescent="0.3">
      <c r="A2873" t="s">
        <v>4729</v>
      </c>
      <c r="B2873" t="str">
        <f>"002146"</f>
        <v>002146</v>
      </c>
      <c r="C2873" t="s">
        <v>6083</v>
      </c>
      <c r="D2873" t="s">
        <v>104</v>
      </c>
      <c r="F2873">
        <v>39842540207</v>
      </c>
      <c r="G2873">
        <v>46339529093</v>
      </c>
      <c r="H2873">
        <v>40887622226</v>
      </c>
      <c r="I2873">
        <v>33584401827</v>
      </c>
      <c r="J2873">
        <v>27510228169</v>
      </c>
      <c r="K2873">
        <v>23665422674</v>
      </c>
      <c r="L2873">
        <v>20635750991</v>
      </c>
      <c r="M2873">
        <v>13887703905</v>
      </c>
      <c r="N2873">
        <v>10958772320</v>
      </c>
      <c r="O2873">
        <v>8171636047</v>
      </c>
      <c r="P2873">
        <v>12588</v>
      </c>
      <c r="Q2873" t="s">
        <v>6084</v>
      </c>
    </row>
    <row r="2874" spans="1:17" x14ac:dyDescent="0.3">
      <c r="A2874" t="s">
        <v>4729</v>
      </c>
      <c r="B2874" t="str">
        <f>"002147"</f>
        <v>002147</v>
      </c>
      <c r="C2874" t="s">
        <v>6085</v>
      </c>
      <c r="D2874" t="s">
        <v>560</v>
      </c>
      <c r="F2874">
        <v>191951792</v>
      </c>
      <c r="G2874">
        <v>-527158418</v>
      </c>
      <c r="H2874">
        <v>2733656274</v>
      </c>
      <c r="I2874">
        <v>7819494287</v>
      </c>
      <c r="J2874">
        <v>8031920902</v>
      </c>
      <c r="K2874">
        <v>7367162666</v>
      </c>
      <c r="L2874">
        <v>830399793</v>
      </c>
      <c r="M2874">
        <v>826999801</v>
      </c>
      <c r="N2874">
        <v>825715430</v>
      </c>
      <c r="O2874">
        <v>886399154</v>
      </c>
      <c r="P2874">
        <v>94</v>
      </c>
      <c r="Q2874" t="s">
        <v>6086</v>
      </c>
    </row>
    <row r="2875" spans="1:17" x14ac:dyDescent="0.3">
      <c r="A2875" t="s">
        <v>4729</v>
      </c>
      <c r="B2875" t="str">
        <f>"002148"</f>
        <v>002148</v>
      </c>
      <c r="C2875" t="s">
        <v>6087</v>
      </c>
      <c r="D2875" t="s">
        <v>5670</v>
      </c>
      <c r="F2875">
        <v>1178791057</v>
      </c>
      <c r="G2875">
        <v>1123858033</v>
      </c>
      <c r="H2875">
        <v>1108294955</v>
      </c>
      <c r="I2875">
        <v>1152254268</v>
      </c>
      <c r="J2875">
        <v>1201102271</v>
      </c>
      <c r="K2875">
        <v>1091417838</v>
      </c>
      <c r="L2875">
        <v>1010350614</v>
      </c>
      <c r="M2875">
        <v>1026983496</v>
      </c>
      <c r="N2875">
        <v>541904701</v>
      </c>
      <c r="O2875">
        <v>496938113</v>
      </c>
      <c r="P2875">
        <v>103</v>
      </c>
      <c r="Q2875" t="s">
        <v>6088</v>
      </c>
    </row>
    <row r="2876" spans="1:17" x14ac:dyDescent="0.3">
      <c r="A2876" t="s">
        <v>4729</v>
      </c>
      <c r="B2876" t="str">
        <f>"002149"</f>
        <v>002149</v>
      </c>
      <c r="C2876" t="s">
        <v>6089</v>
      </c>
      <c r="D2876" t="s">
        <v>636</v>
      </c>
      <c r="F2876">
        <v>2629450287</v>
      </c>
      <c r="G2876">
        <v>2581954515</v>
      </c>
      <c r="H2876">
        <v>1798939411</v>
      </c>
      <c r="I2876">
        <v>1798468590</v>
      </c>
      <c r="J2876">
        <v>1775076352</v>
      </c>
      <c r="K2876">
        <v>1702864474</v>
      </c>
      <c r="L2876">
        <v>763749348</v>
      </c>
      <c r="M2876">
        <v>879618318</v>
      </c>
      <c r="N2876">
        <v>872043766</v>
      </c>
      <c r="O2876">
        <v>858312744</v>
      </c>
      <c r="P2876">
        <v>259</v>
      </c>
      <c r="Q2876" t="s">
        <v>6090</v>
      </c>
    </row>
    <row r="2877" spans="1:17" x14ac:dyDescent="0.3">
      <c r="A2877" t="s">
        <v>4729</v>
      </c>
      <c r="B2877" t="str">
        <f>"002150"</f>
        <v>002150</v>
      </c>
      <c r="C2877" t="s">
        <v>6091</v>
      </c>
      <c r="D2877" t="s">
        <v>274</v>
      </c>
      <c r="F2877">
        <v>1473711561</v>
      </c>
      <c r="G2877">
        <v>1386076625</v>
      </c>
      <c r="H2877">
        <v>1306770832</v>
      </c>
      <c r="I2877">
        <v>1194302705</v>
      </c>
      <c r="J2877">
        <v>1114097744</v>
      </c>
      <c r="K2877">
        <v>1053957145</v>
      </c>
      <c r="L2877">
        <v>620630572</v>
      </c>
      <c r="M2877">
        <v>579330119</v>
      </c>
      <c r="N2877">
        <v>543367568</v>
      </c>
      <c r="O2877">
        <v>520103250</v>
      </c>
      <c r="P2877">
        <v>103</v>
      </c>
      <c r="Q2877" t="s">
        <v>6092</v>
      </c>
    </row>
    <row r="2878" spans="1:17" x14ac:dyDescent="0.3">
      <c r="A2878" t="s">
        <v>4729</v>
      </c>
      <c r="B2878" t="str">
        <f>"002151"</f>
        <v>002151</v>
      </c>
      <c r="C2878" t="s">
        <v>6093</v>
      </c>
      <c r="D2878" t="s">
        <v>1136</v>
      </c>
      <c r="F2878">
        <v>4430843412</v>
      </c>
      <c r="G2878">
        <v>4228987896</v>
      </c>
      <c r="H2878">
        <v>3238739381</v>
      </c>
      <c r="I2878">
        <v>4033935895</v>
      </c>
      <c r="J2878">
        <v>4338621570</v>
      </c>
      <c r="K2878">
        <v>4308906282</v>
      </c>
      <c r="L2878">
        <v>2643890863</v>
      </c>
      <c r="M2878">
        <v>1175811506</v>
      </c>
      <c r="N2878">
        <v>707902745</v>
      </c>
      <c r="O2878">
        <v>673557043</v>
      </c>
      <c r="P2878">
        <v>3423</v>
      </c>
      <c r="Q2878" t="s">
        <v>6094</v>
      </c>
    </row>
    <row r="2879" spans="1:17" x14ac:dyDescent="0.3">
      <c r="A2879" t="s">
        <v>4729</v>
      </c>
      <c r="B2879" t="str">
        <f>"002152"</f>
        <v>002152</v>
      </c>
      <c r="C2879" t="s">
        <v>6095</v>
      </c>
      <c r="D2879" t="s">
        <v>236</v>
      </c>
      <c r="F2879">
        <v>10977778747</v>
      </c>
      <c r="G2879">
        <v>9957161543</v>
      </c>
      <c r="H2879">
        <v>9052927086</v>
      </c>
      <c r="I2879">
        <v>8686989441</v>
      </c>
      <c r="J2879">
        <v>8890909286</v>
      </c>
      <c r="K2879">
        <v>8375556541</v>
      </c>
      <c r="L2879">
        <v>4509953570</v>
      </c>
      <c r="M2879">
        <v>4147283509</v>
      </c>
      <c r="N2879">
        <v>3485408686</v>
      </c>
      <c r="O2879">
        <v>2968241852</v>
      </c>
      <c r="P2879">
        <v>16880</v>
      </c>
      <c r="Q2879" t="s">
        <v>6096</v>
      </c>
    </row>
    <row r="2880" spans="1:17" x14ac:dyDescent="0.3">
      <c r="A2880" t="s">
        <v>4729</v>
      </c>
      <c r="B2880" t="str">
        <f>"002153"</f>
        <v>002153</v>
      </c>
      <c r="C2880" t="s">
        <v>6097</v>
      </c>
      <c r="D2880" t="s">
        <v>945</v>
      </c>
      <c r="F2880">
        <v>8060550417</v>
      </c>
      <c r="G2880">
        <v>8403807599</v>
      </c>
      <c r="H2880">
        <v>8613959640</v>
      </c>
      <c r="I2880">
        <v>8309225315</v>
      </c>
      <c r="J2880">
        <v>5251402126</v>
      </c>
      <c r="K2880">
        <v>4939387705</v>
      </c>
      <c r="L2880">
        <v>4626952639</v>
      </c>
      <c r="M2880">
        <v>1884284375</v>
      </c>
      <c r="N2880">
        <v>1608547373</v>
      </c>
      <c r="O2880">
        <v>1286650815</v>
      </c>
      <c r="P2880">
        <v>679</v>
      </c>
      <c r="Q2880" t="s">
        <v>6098</v>
      </c>
    </row>
    <row r="2881" spans="1:17" x14ac:dyDescent="0.3">
      <c r="A2881" t="s">
        <v>4729</v>
      </c>
      <c r="B2881" t="str">
        <f>"002154"</f>
        <v>002154</v>
      </c>
      <c r="C2881" t="s">
        <v>6099</v>
      </c>
      <c r="D2881" t="s">
        <v>255</v>
      </c>
      <c r="F2881">
        <v>4161423488</v>
      </c>
      <c r="G2881">
        <v>3228461629</v>
      </c>
      <c r="H2881">
        <v>2818940686</v>
      </c>
      <c r="I2881">
        <v>2729020074</v>
      </c>
      <c r="J2881">
        <v>2465391699</v>
      </c>
      <c r="K2881">
        <v>2399000188</v>
      </c>
      <c r="L2881">
        <v>2797274258</v>
      </c>
      <c r="M2881">
        <v>2726552771</v>
      </c>
      <c r="N2881">
        <v>2621794596</v>
      </c>
      <c r="O2881">
        <v>2634838580</v>
      </c>
      <c r="P2881">
        <v>204</v>
      </c>
      <c r="Q2881" t="s">
        <v>6100</v>
      </c>
    </row>
    <row r="2882" spans="1:17" x14ac:dyDescent="0.3">
      <c r="A2882" t="s">
        <v>4729</v>
      </c>
      <c r="B2882" t="str">
        <f>"002155"</f>
        <v>002155</v>
      </c>
      <c r="C2882" t="s">
        <v>6101</v>
      </c>
      <c r="D2882" t="s">
        <v>701</v>
      </c>
      <c r="F2882">
        <v>5477733099</v>
      </c>
      <c r="G2882">
        <v>5116191505</v>
      </c>
      <c r="H2882">
        <v>4945427815</v>
      </c>
      <c r="I2882">
        <v>4832314175</v>
      </c>
      <c r="J2882">
        <v>4560850687</v>
      </c>
      <c r="K2882">
        <v>4319172132</v>
      </c>
      <c r="L2882">
        <v>3388783580</v>
      </c>
      <c r="M2882">
        <v>3170570344</v>
      </c>
      <c r="N2882">
        <v>3068343366</v>
      </c>
      <c r="O2882">
        <v>2918479510</v>
      </c>
      <c r="P2882">
        <v>219</v>
      </c>
      <c r="Q2882" t="s">
        <v>6102</v>
      </c>
    </row>
    <row r="2883" spans="1:17" x14ac:dyDescent="0.3">
      <c r="A2883" t="s">
        <v>4729</v>
      </c>
      <c r="B2883" t="str">
        <f>"002156"</f>
        <v>002156</v>
      </c>
      <c r="C2883" t="s">
        <v>6103</v>
      </c>
      <c r="D2883" t="s">
        <v>1180</v>
      </c>
      <c r="F2883">
        <v>10441986799</v>
      </c>
      <c r="G2883">
        <v>9578582586</v>
      </c>
      <c r="H2883">
        <v>6110947112</v>
      </c>
      <c r="I2883">
        <v>6134345314</v>
      </c>
      <c r="J2883">
        <v>5919382239</v>
      </c>
      <c r="K2883">
        <v>3918393476</v>
      </c>
      <c r="L2883">
        <v>3740388672</v>
      </c>
      <c r="M2883">
        <v>2364489471</v>
      </c>
      <c r="N2883">
        <v>2256122777</v>
      </c>
      <c r="O2883">
        <v>2208676174</v>
      </c>
      <c r="P2883">
        <v>770</v>
      </c>
      <c r="Q2883" t="s">
        <v>6104</v>
      </c>
    </row>
    <row r="2884" spans="1:17" x14ac:dyDescent="0.3">
      <c r="A2884" t="s">
        <v>4729</v>
      </c>
      <c r="B2884" t="str">
        <f>"002157"</f>
        <v>002157</v>
      </c>
      <c r="C2884" t="s">
        <v>6105</v>
      </c>
      <c r="D2884" t="s">
        <v>1900</v>
      </c>
      <c r="F2884">
        <v>1749452267</v>
      </c>
      <c r="G2884">
        <v>22962790396</v>
      </c>
      <c r="H2884">
        <v>9393269327</v>
      </c>
      <c r="I2884">
        <v>6478574058</v>
      </c>
      <c r="J2884">
        <v>6315732263</v>
      </c>
      <c r="K2884">
        <v>5809092982</v>
      </c>
      <c r="L2884">
        <v>3131244525</v>
      </c>
      <c r="M2884">
        <v>2010091630</v>
      </c>
      <c r="N2884">
        <v>973112594</v>
      </c>
      <c r="O2884">
        <v>1027490538</v>
      </c>
      <c r="P2884">
        <v>1128</v>
      </c>
      <c r="Q2884" t="s">
        <v>6106</v>
      </c>
    </row>
    <row r="2885" spans="1:17" x14ac:dyDescent="0.3">
      <c r="A2885" t="s">
        <v>4729</v>
      </c>
      <c r="B2885" t="str">
        <f>"002158"</f>
        <v>002158</v>
      </c>
      <c r="C2885" t="s">
        <v>6107</v>
      </c>
      <c r="D2885" t="s">
        <v>988</v>
      </c>
      <c r="F2885">
        <v>2613750868</v>
      </c>
      <c r="G2885">
        <v>2291814227</v>
      </c>
      <c r="H2885">
        <v>2040657973</v>
      </c>
      <c r="I2885">
        <v>1849701861</v>
      </c>
      <c r="J2885">
        <v>1770449337</v>
      </c>
      <c r="K2885">
        <v>1948497579</v>
      </c>
      <c r="L2885">
        <v>1840055968</v>
      </c>
      <c r="M2885">
        <v>966983120</v>
      </c>
      <c r="N2885">
        <v>867718020</v>
      </c>
      <c r="O2885">
        <v>773488442</v>
      </c>
      <c r="P2885">
        <v>478</v>
      </c>
      <c r="Q2885" t="s">
        <v>6108</v>
      </c>
    </row>
    <row r="2886" spans="1:17" x14ac:dyDescent="0.3">
      <c r="A2886" t="s">
        <v>4729</v>
      </c>
      <c r="B2886" t="str">
        <f>"002159"</f>
        <v>002159</v>
      </c>
      <c r="C2886" t="s">
        <v>6109</v>
      </c>
      <c r="D2886" t="s">
        <v>119</v>
      </c>
      <c r="F2886">
        <v>1221164851</v>
      </c>
      <c r="G2886">
        <v>1445849465</v>
      </c>
      <c r="H2886">
        <v>1065755896</v>
      </c>
      <c r="I2886">
        <v>960717663</v>
      </c>
      <c r="J2886">
        <v>825990941</v>
      </c>
      <c r="K2886">
        <v>822671289</v>
      </c>
      <c r="L2886">
        <v>957867080</v>
      </c>
      <c r="M2886">
        <v>914860014</v>
      </c>
      <c r="N2886">
        <v>576383349</v>
      </c>
      <c r="O2886">
        <v>531348923</v>
      </c>
      <c r="P2886">
        <v>119</v>
      </c>
      <c r="Q2886" t="s">
        <v>6110</v>
      </c>
    </row>
    <row r="2887" spans="1:17" x14ac:dyDescent="0.3">
      <c r="A2887" t="s">
        <v>4729</v>
      </c>
      <c r="B2887" t="str">
        <f>"002160"</f>
        <v>002160</v>
      </c>
      <c r="C2887" t="s">
        <v>6111</v>
      </c>
      <c r="D2887" t="s">
        <v>504</v>
      </c>
      <c r="F2887">
        <v>3149201327</v>
      </c>
      <c r="G2887">
        <v>3053765659</v>
      </c>
      <c r="H2887">
        <v>3026165804</v>
      </c>
      <c r="I2887">
        <v>2905065815</v>
      </c>
      <c r="J2887">
        <v>3283035250</v>
      </c>
      <c r="K2887">
        <v>3185604657</v>
      </c>
      <c r="L2887">
        <v>2359093502</v>
      </c>
      <c r="M2887">
        <v>901830909</v>
      </c>
      <c r="N2887">
        <v>527817298</v>
      </c>
      <c r="O2887">
        <v>586949712</v>
      </c>
      <c r="P2887">
        <v>166</v>
      </c>
      <c r="Q2887" t="s">
        <v>6112</v>
      </c>
    </row>
    <row r="2888" spans="1:17" x14ac:dyDescent="0.3">
      <c r="A2888" t="s">
        <v>4729</v>
      </c>
      <c r="B2888" t="str">
        <f>"002161"</f>
        <v>002161</v>
      </c>
      <c r="C2888" t="s">
        <v>6113</v>
      </c>
      <c r="D2888" t="s">
        <v>651</v>
      </c>
      <c r="F2888">
        <v>1456114249</v>
      </c>
      <c r="G2888">
        <v>1508902778</v>
      </c>
      <c r="H2888">
        <v>2013455909</v>
      </c>
      <c r="I2888">
        <v>1404206132</v>
      </c>
      <c r="J2888">
        <v>1603592768</v>
      </c>
      <c r="K2888">
        <v>1609396213</v>
      </c>
      <c r="L2888">
        <v>1602596135</v>
      </c>
      <c r="M2888">
        <v>1451262240</v>
      </c>
      <c r="N2888">
        <v>1413556894</v>
      </c>
      <c r="O2888">
        <v>1409957097</v>
      </c>
      <c r="P2888">
        <v>211</v>
      </c>
      <c r="Q2888" t="s">
        <v>6114</v>
      </c>
    </row>
    <row r="2889" spans="1:17" x14ac:dyDescent="0.3">
      <c r="A2889" t="s">
        <v>4729</v>
      </c>
      <c r="B2889" t="str">
        <f>"002162"</f>
        <v>002162</v>
      </c>
      <c r="C2889" t="s">
        <v>6115</v>
      </c>
      <c r="D2889" t="s">
        <v>178</v>
      </c>
      <c r="F2889">
        <v>1278519958</v>
      </c>
      <c r="G2889">
        <v>1034970311</v>
      </c>
      <c r="H2889">
        <v>977740693</v>
      </c>
      <c r="I2889">
        <v>933236725</v>
      </c>
      <c r="J2889">
        <v>875313611</v>
      </c>
      <c r="K2889">
        <v>843152626</v>
      </c>
      <c r="L2889">
        <v>816850537</v>
      </c>
      <c r="M2889">
        <v>804862089</v>
      </c>
      <c r="N2889">
        <v>601693570</v>
      </c>
      <c r="O2889">
        <v>516055962</v>
      </c>
      <c r="P2889">
        <v>137</v>
      </c>
      <c r="Q2889" t="s">
        <v>6116</v>
      </c>
    </row>
    <row r="2890" spans="1:17" x14ac:dyDescent="0.3">
      <c r="A2890" t="s">
        <v>4729</v>
      </c>
      <c r="B2890" t="str">
        <f>"002163"</f>
        <v>002163</v>
      </c>
      <c r="C2890" t="s">
        <v>6117</v>
      </c>
      <c r="D2890" t="s">
        <v>666</v>
      </c>
      <c r="F2890">
        <v>901251516</v>
      </c>
      <c r="G2890">
        <v>811617717</v>
      </c>
      <c r="H2890">
        <v>667727463</v>
      </c>
      <c r="I2890">
        <v>680632035</v>
      </c>
      <c r="J2890">
        <v>707297139</v>
      </c>
      <c r="K2890">
        <v>732205284</v>
      </c>
      <c r="L2890">
        <v>726744862</v>
      </c>
      <c r="M2890">
        <v>960571107</v>
      </c>
      <c r="N2890">
        <v>945371948</v>
      </c>
      <c r="O2890">
        <v>1362225432</v>
      </c>
      <c r="P2890">
        <v>170</v>
      </c>
      <c r="Q2890" t="s">
        <v>6118</v>
      </c>
    </row>
    <row r="2891" spans="1:17" x14ac:dyDescent="0.3">
      <c r="A2891" t="s">
        <v>4729</v>
      </c>
      <c r="B2891" t="str">
        <f>"002164"</f>
        <v>002164</v>
      </c>
      <c r="C2891" t="s">
        <v>6119</v>
      </c>
      <c r="D2891" t="s">
        <v>274</v>
      </c>
      <c r="F2891">
        <v>959380661</v>
      </c>
      <c r="G2891">
        <v>626537753</v>
      </c>
      <c r="H2891">
        <v>598163574</v>
      </c>
      <c r="I2891">
        <v>576302789</v>
      </c>
      <c r="J2891">
        <v>3411912093</v>
      </c>
      <c r="K2891">
        <v>1090786188</v>
      </c>
      <c r="L2891">
        <v>1079219015</v>
      </c>
      <c r="M2891">
        <v>1112628890</v>
      </c>
      <c r="N2891">
        <v>1088780181</v>
      </c>
      <c r="O2891">
        <v>1092911771</v>
      </c>
      <c r="P2891">
        <v>187</v>
      </c>
      <c r="Q2891" t="s">
        <v>6120</v>
      </c>
    </row>
    <row r="2892" spans="1:17" x14ac:dyDescent="0.3">
      <c r="A2892" t="s">
        <v>4729</v>
      </c>
      <c r="B2892" t="str">
        <f>"002165"</f>
        <v>002165</v>
      </c>
      <c r="C2892" t="s">
        <v>6121</v>
      </c>
      <c r="D2892" t="s">
        <v>528</v>
      </c>
      <c r="F2892">
        <v>2132833742</v>
      </c>
      <c r="G2892">
        <v>1662637042</v>
      </c>
      <c r="H2892">
        <v>1565864135</v>
      </c>
      <c r="I2892">
        <v>1500271420</v>
      </c>
      <c r="J2892">
        <v>1554134451</v>
      </c>
      <c r="K2892">
        <v>1561550700</v>
      </c>
      <c r="L2892">
        <v>1067176712</v>
      </c>
      <c r="M2892">
        <v>1010950191</v>
      </c>
      <c r="N2892">
        <v>971820637</v>
      </c>
      <c r="O2892">
        <v>974050335</v>
      </c>
      <c r="P2892">
        <v>100</v>
      </c>
      <c r="Q2892" t="s">
        <v>6122</v>
      </c>
    </row>
    <row r="2893" spans="1:17" x14ac:dyDescent="0.3">
      <c r="A2893" t="s">
        <v>4729</v>
      </c>
      <c r="B2893" t="str">
        <f>"002166"</f>
        <v>002166</v>
      </c>
      <c r="C2893" t="s">
        <v>6123</v>
      </c>
      <c r="D2893" t="s">
        <v>188</v>
      </c>
      <c r="F2893">
        <v>1868651254</v>
      </c>
      <c r="G2893">
        <v>1790411361</v>
      </c>
      <c r="H2893">
        <v>1758262222</v>
      </c>
      <c r="I2893">
        <v>1113665614</v>
      </c>
      <c r="J2893">
        <v>1050989341</v>
      </c>
      <c r="K2893">
        <v>845734727</v>
      </c>
      <c r="L2893">
        <v>795938195</v>
      </c>
      <c r="M2893">
        <v>238947083</v>
      </c>
      <c r="N2893">
        <v>197199527</v>
      </c>
      <c r="O2893">
        <v>163169200</v>
      </c>
      <c r="P2893">
        <v>200</v>
      </c>
      <c r="Q2893" t="s">
        <v>6124</v>
      </c>
    </row>
    <row r="2894" spans="1:17" x14ac:dyDescent="0.3">
      <c r="A2894" t="s">
        <v>4729</v>
      </c>
      <c r="B2894" t="str">
        <f>"002167"</f>
        <v>002167</v>
      </c>
      <c r="C2894" t="s">
        <v>6125</v>
      </c>
      <c r="D2894" t="s">
        <v>636</v>
      </c>
      <c r="F2894">
        <v>1269207027</v>
      </c>
      <c r="G2894">
        <v>1099830154</v>
      </c>
      <c r="H2894">
        <v>850555447</v>
      </c>
      <c r="I2894">
        <v>1042777181</v>
      </c>
      <c r="J2894">
        <v>1036412376</v>
      </c>
      <c r="K2894">
        <v>1074801073</v>
      </c>
      <c r="L2894">
        <v>1044251617</v>
      </c>
      <c r="M2894">
        <v>1327760202</v>
      </c>
      <c r="N2894">
        <v>1349456395</v>
      </c>
      <c r="O2894">
        <v>1470878688</v>
      </c>
      <c r="P2894">
        <v>111</v>
      </c>
      <c r="Q2894" t="s">
        <v>6126</v>
      </c>
    </row>
    <row r="2895" spans="1:17" x14ac:dyDescent="0.3">
      <c r="A2895" t="s">
        <v>4729</v>
      </c>
      <c r="B2895" t="str">
        <f>"002168"</f>
        <v>002168</v>
      </c>
      <c r="C2895" t="s">
        <v>6127</v>
      </c>
      <c r="D2895" t="s">
        <v>517</v>
      </c>
      <c r="F2895">
        <v>103276478</v>
      </c>
      <c r="G2895">
        <v>829526471</v>
      </c>
      <c r="H2895">
        <v>1923429540</v>
      </c>
      <c r="I2895">
        <v>1943899801</v>
      </c>
      <c r="J2895">
        <v>1349637157</v>
      </c>
      <c r="K2895">
        <v>1354350781</v>
      </c>
      <c r="L2895">
        <v>1160617683</v>
      </c>
      <c r="M2895">
        <v>1043574328</v>
      </c>
      <c r="N2895">
        <v>1119634337</v>
      </c>
      <c r="O2895">
        <v>1129756908</v>
      </c>
      <c r="P2895">
        <v>158</v>
      </c>
      <c r="Q2895" t="s">
        <v>6128</v>
      </c>
    </row>
    <row r="2896" spans="1:17" x14ac:dyDescent="0.3">
      <c r="A2896" t="s">
        <v>4729</v>
      </c>
      <c r="B2896" t="str">
        <f>"002169"</f>
        <v>002169</v>
      </c>
      <c r="C2896" t="s">
        <v>6129</v>
      </c>
      <c r="D2896" t="s">
        <v>610</v>
      </c>
      <c r="F2896">
        <v>3257854748</v>
      </c>
      <c r="G2896">
        <v>3047710012</v>
      </c>
      <c r="H2896">
        <v>2784017206</v>
      </c>
      <c r="I2896">
        <v>2806694301</v>
      </c>
      <c r="J2896">
        <v>2772165146</v>
      </c>
      <c r="K2896">
        <v>2717119060</v>
      </c>
      <c r="L2896">
        <v>1149287576</v>
      </c>
      <c r="M2896">
        <v>596168926</v>
      </c>
      <c r="N2896">
        <v>562415826</v>
      </c>
      <c r="O2896">
        <v>542261948</v>
      </c>
      <c r="P2896">
        <v>219</v>
      </c>
      <c r="Q2896" t="s">
        <v>6130</v>
      </c>
    </row>
    <row r="2897" spans="1:17" x14ac:dyDescent="0.3">
      <c r="A2897" t="s">
        <v>4729</v>
      </c>
      <c r="B2897" t="str">
        <f>"002170"</f>
        <v>002170</v>
      </c>
      <c r="C2897" t="s">
        <v>6131</v>
      </c>
      <c r="D2897" t="s">
        <v>5562</v>
      </c>
      <c r="F2897">
        <v>2064856005</v>
      </c>
      <c r="G2897">
        <v>1989936002</v>
      </c>
      <c r="H2897">
        <v>1917652448</v>
      </c>
      <c r="I2897">
        <v>1878292735</v>
      </c>
      <c r="J2897">
        <v>1880074537</v>
      </c>
      <c r="K2897">
        <v>2019377959</v>
      </c>
      <c r="L2897">
        <v>1897046823</v>
      </c>
      <c r="M2897">
        <v>1574435740</v>
      </c>
      <c r="N2897">
        <v>1439396398</v>
      </c>
      <c r="O2897">
        <v>1371281572</v>
      </c>
      <c r="P2897">
        <v>103</v>
      </c>
      <c r="Q2897" t="s">
        <v>6132</v>
      </c>
    </row>
    <row r="2898" spans="1:17" x14ac:dyDescent="0.3">
      <c r="A2898" t="s">
        <v>4729</v>
      </c>
      <c r="B2898" t="str">
        <f>"002171"</f>
        <v>002171</v>
      </c>
      <c r="C2898" t="s">
        <v>6133</v>
      </c>
      <c r="D2898" t="s">
        <v>263</v>
      </c>
      <c r="F2898">
        <v>5967963051</v>
      </c>
      <c r="G2898">
        <v>5552786313</v>
      </c>
      <c r="H2898">
        <v>5476837497</v>
      </c>
      <c r="I2898">
        <v>4471770295</v>
      </c>
      <c r="J2898">
        <v>3433971162</v>
      </c>
      <c r="K2898">
        <v>3180263700</v>
      </c>
      <c r="L2898">
        <v>1662496538</v>
      </c>
      <c r="M2898">
        <v>1096604166</v>
      </c>
      <c r="N2898">
        <v>616177169</v>
      </c>
      <c r="O2898">
        <v>604707747</v>
      </c>
      <c r="P2898">
        <v>237</v>
      </c>
      <c r="Q2898" t="s">
        <v>6134</v>
      </c>
    </row>
    <row r="2899" spans="1:17" x14ac:dyDescent="0.3">
      <c r="A2899" t="s">
        <v>4729</v>
      </c>
      <c r="B2899" t="str">
        <f>"002172"</f>
        <v>002172</v>
      </c>
      <c r="C2899" t="s">
        <v>6135</v>
      </c>
      <c r="D2899" t="s">
        <v>888</v>
      </c>
      <c r="F2899">
        <v>63155722</v>
      </c>
      <c r="G2899">
        <v>952334702</v>
      </c>
      <c r="H2899">
        <v>1411327392</v>
      </c>
      <c r="I2899">
        <v>1868592335</v>
      </c>
      <c r="J2899">
        <v>1497828047</v>
      </c>
      <c r="K2899">
        <v>1190427820</v>
      </c>
      <c r="L2899">
        <v>1018986643</v>
      </c>
      <c r="M2899">
        <v>517573621</v>
      </c>
      <c r="N2899">
        <v>637616165</v>
      </c>
      <c r="O2899">
        <v>589861278</v>
      </c>
      <c r="P2899">
        <v>141</v>
      </c>
      <c r="Q2899" t="s">
        <v>6136</v>
      </c>
    </row>
    <row r="2900" spans="1:17" x14ac:dyDescent="0.3">
      <c r="A2900" t="s">
        <v>4729</v>
      </c>
      <c r="B2900" t="str">
        <f>"002173"</f>
        <v>002173</v>
      </c>
      <c r="C2900" t="s">
        <v>6137</v>
      </c>
      <c r="D2900" t="s">
        <v>1147</v>
      </c>
      <c r="F2900">
        <v>1989808179</v>
      </c>
      <c r="G2900">
        <v>2143437757</v>
      </c>
      <c r="H2900">
        <v>2469026820</v>
      </c>
      <c r="I2900">
        <v>3615857428</v>
      </c>
      <c r="J2900">
        <v>3655510765</v>
      </c>
      <c r="K2900">
        <v>3531572236</v>
      </c>
      <c r="L2900">
        <v>413372174</v>
      </c>
      <c r="M2900">
        <v>478621732</v>
      </c>
      <c r="N2900">
        <v>501530183</v>
      </c>
      <c r="O2900">
        <v>478179176</v>
      </c>
      <c r="P2900">
        <v>125</v>
      </c>
      <c r="Q2900" t="s">
        <v>6138</v>
      </c>
    </row>
    <row r="2901" spans="1:17" x14ac:dyDescent="0.3">
      <c r="A2901" t="s">
        <v>4729</v>
      </c>
      <c r="B2901" t="str">
        <f>"002174"</f>
        <v>002174</v>
      </c>
      <c r="C2901" t="s">
        <v>6139</v>
      </c>
      <c r="D2901" t="s">
        <v>517</v>
      </c>
      <c r="F2901">
        <v>5017449088</v>
      </c>
      <c r="G2901">
        <v>4944499448</v>
      </c>
      <c r="H2901">
        <v>4786368629</v>
      </c>
      <c r="I2901">
        <v>4509617206</v>
      </c>
      <c r="J2901">
        <v>4051162418</v>
      </c>
      <c r="K2901">
        <v>2711477778</v>
      </c>
      <c r="L2901">
        <v>2188211216</v>
      </c>
      <c r="M2901">
        <v>904467219</v>
      </c>
      <c r="N2901">
        <v>219356290</v>
      </c>
      <c r="O2901">
        <v>234173039</v>
      </c>
      <c r="P2901">
        <v>736</v>
      </c>
      <c r="Q2901" t="s">
        <v>6140</v>
      </c>
    </row>
    <row r="2902" spans="1:17" x14ac:dyDescent="0.3">
      <c r="A2902" t="s">
        <v>4729</v>
      </c>
      <c r="B2902" t="str">
        <f>"002175"</f>
        <v>002175</v>
      </c>
      <c r="C2902" t="s">
        <v>6141</v>
      </c>
      <c r="D2902" t="s">
        <v>110</v>
      </c>
      <c r="F2902">
        <v>324880753</v>
      </c>
      <c r="G2902">
        <v>-904426428</v>
      </c>
      <c r="H2902">
        <v>170725360</v>
      </c>
      <c r="I2902">
        <v>17610433</v>
      </c>
      <c r="J2902">
        <v>1035606567</v>
      </c>
      <c r="K2902">
        <v>1446638780</v>
      </c>
      <c r="L2902">
        <v>856147401</v>
      </c>
      <c r="M2902">
        <v>802782537</v>
      </c>
      <c r="N2902">
        <v>528125802</v>
      </c>
      <c r="O2902">
        <v>265899297</v>
      </c>
      <c r="P2902">
        <v>79</v>
      </c>
      <c r="Q2902" t="s">
        <v>6142</v>
      </c>
    </row>
    <row r="2903" spans="1:17" x14ac:dyDescent="0.3">
      <c r="A2903" t="s">
        <v>4729</v>
      </c>
      <c r="B2903" t="str">
        <f>"002176"</f>
        <v>002176</v>
      </c>
      <c r="C2903" t="s">
        <v>6143</v>
      </c>
      <c r="D2903" t="s">
        <v>1171</v>
      </c>
      <c r="F2903">
        <v>1953425726</v>
      </c>
      <c r="G2903">
        <v>1569540078</v>
      </c>
      <c r="H2903">
        <v>1554681425</v>
      </c>
      <c r="I2903">
        <v>3602026440</v>
      </c>
      <c r="J2903">
        <v>4035351407</v>
      </c>
      <c r="K2903">
        <v>3726240583</v>
      </c>
      <c r="L2903">
        <v>2443390917</v>
      </c>
      <c r="M2903">
        <v>1913656451</v>
      </c>
      <c r="N2903">
        <v>893530140</v>
      </c>
      <c r="O2903">
        <v>833629718</v>
      </c>
      <c r="P2903">
        <v>317</v>
      </c>
      <c r="Q2903" t="s">
        <v>6144</v>
      </c>
    </row>
    <row r="2904" spans="1:17" x14ac:dyDescent="0.3">
      <c r="A2904" t="s">
        <v>4729</v>
      </c>
      <c r="B2904" t="str">
        <f>"002177"</f>
        <v>002177</v>
      </c>
      <c r="C2904" t="s">
        <v>6145</v>
      </c>
      <c r="D2904" t="s">
        <v>236</v>
      </c>
      <c r="F2904">
        <v>1635712890</v>
      </c>
      <c r="G2904">
        <v>1705140161</v>
      </c>
      <c r="H2904">
        <v>1637254325</v>
      </c>
      <c r="I2904">
        <v>1584364353</v>
      </c>
      <c r="J2904">
        <v>1690511646</v>
      </c>
      <c r="K2904">
        <v>1676861541</v>
      </c>
      <c r="L2904">
        <v>1653524381</v>
      </c>
      <c r="M2904">
        <v>1609149489</v>
      </c>
      <c r="N2904">
        <v>1501285027</v>
      </c>
      <c r="O2904">
        <v>1376090039</v>
      </c>
      <c r="P2904">
        <v>3025</v>
      </c>
      <c r="Q2904" t="s">
        <v>6146</v>
      </c>
    </row>
    <row r="2905" spans="1:17" x14ac:dyDescent="0.3">
      <c r="A2905" t="s">
        <v>4729</v>
      </c>
      <c r="B2905" t="str">
        <f>"002178"</f>
        <v>002178</v>
      </c>
      <c r="C2905" t="s">
        <v>6147</v>
      </c>
      <c r="D2905" t="s">
        <v>945</v>
      </c>
      <c r="F2905">
        <v>571384460</v>
      </c>
      <c r="G2905">
        <v>565578862</v>
      </c>
      <c r="H2905">
        <v>863536115</v>
      </c>
      <c r="I2905">
        <v>841632794</v>
      </c>
      <c r="J2905">
        <v>1154273303</v>
      </c>
      <c r="K2905">
        <v>1161746848</v>
      </c>
      <c r="L2905">
        <v>1153479557</v>
      </c>
      <c r="M2905">
        <v>758031762</v>
      </c>
      <c r="N2905">
        <v>665624843</v>
      </c>
      <c r="O2905">
        <v>318216719</v>
      </c>
      <c r="P2905">
        <v>89</v>
      </c>
      <c r="Q2905" t="s">
        <v>6148</v>
      </c>
    </row>
    <row r="2906" spans="1:17" x14ac:dyDescent="0.3">
      <c r="A2906" t="s">
        <v>4729</v>
      </c>
      <c r="B2906" t="str">
        <f>"002179"</f>
        <v>002179</v>
      </c>
      <c r="C2906" t="s">
        <v>6149</v>
      </c>
      <c r="D2906" t="s">
        <v>1136</v>
      </c>
      <c r="F2906">
        <v>14924496191</v>
      </c>
      <c r="G2906">
        <v>9738984388</v>
      </c>
      <c r="H2906">
        <v>8163577289</v>
      </c>
      <c r="I2906">
        <v>5781263066</v>
      </c>
      <c r="J2906">
        <v>4889575297</v>
      </c>
      <c r="K2906">
        <v>4107090737</v>
      </c>
      <c r="L2906">
        <v>3397466001</v>
      </c>
      <c r="M2906">
        <v>2860927616</v>
      </c>
      <c r="N2906">
        <v>2572393811</v>
      </c>
      <c r="O2906">
        <v>1553232291</v>
      </c>
      <c r="P2906">
        <v>1738</v>
      </c>
      <c r="Q2906" t="s">
        <v>6150</v>
      </c>
    </row>
    <row r="2907" spans="1:17" x14ac:dyDescent="0.3">
      <c r="A2907" t="s">
        <v>4729</v>
      </c>
      <c r="B2907" t="str">
        <f>"002180"</f>
        <v>002180</v>
      </c>
      <c r="C2907" t="s">
        <v>6151</v>
      </c>
      <c r="D2907" t="s">
        <v>461</v>
      </c>
      <c r="F2907">
        <v>14293384020</v>
      </c>
      <c r="G2907">
        <v>8140997990</v>
      </c>
      <c r="H2907">
        <v>5770194301</v>
      </c>
      <c r="I2907">
        <v>5117183482</v>
      </c>
      <c r="J2907">
        <v>4061385856</v>
      </c>
      <c r="K2907">
        <v>1777981703</v>
      </c>
      <c r="L2907">
        <v>1896309842</v>
      </c>
      <c r="M2907">
        <v>563507505</v>
      </c>
      <c r="N2907">
        <v>372002694</v>
      </c>
      <c r="O2907">
        <v>374291678</v>
      </c>
      <c r="P2907">
        <v>472</v>
      </c>
      <c r="Q2907" t="s">
        <v>6152</v>
      </c>
    </row>
    <row r="2908" spans="1:17" x14ac:dyDescent="0.3">
      <c r="A2908" t="s">
        <v>4729</v>
      </c>
      <c r="B2908" t="str">
        <f>"002181"</f>
        <v>002181</v>
      </c>
      <c r="C2908" t="s">
        <v>6153</v>
      </c>
      <c r="D2908" t="s">
        <v>525</v>
      </c>
      <c r="F2908">
        <v>4290991790</v>
      </c>
      <c r="G2908">
        <v>4255945650</v>
      </c>
      <c r="H2908">
        <v>4032606676</v>
      </c>
      <c r="I2908">
        <v>3965540638</v>
      </c>
      <c r="J2908">
        <v>3917280601</v>
      </c>
      <c r="K2908">
        <v>3782781465</v>
      </c>
      <c r="L2908">
        <v>3592983502</v>
      </c>
      <c r="M2908">
        <v>3667230768</v>
      </c>
      <c r="N2908">
        <v>3841032200</v>
      </c>
      <c r="O2908">
        <v>3602226270</v>
      </c>
      <c r="P2908">
        <v>107</v>
      </c>
      <c r="Q2908" t="s">
        <v>6154</v>
      </c>
    </row>
    <row r="2909" spans="1:17" x14ac:dyDescent="0.3">
      <c r="A2909" t="s">
        <v>4729</v>
      </c>
      <c r="B2909" t="str">
        <f>"002182"</f>
        <v>002182</v>
      </c>
      <c r="C2909" t="s">
        <v>6155</v>
      </c>
      <c r="D2909" t="s">
        <v>636</v>
      </c>
      <c r="F2909">
        <v>3388192673</v>
      </c>
      <c r="G2909">
        <v>2818720238</v>
      </c>
      <c r="H2909">
        <v>2672462154</v>
      </c>
      <c r="I2909">
        <v>1826743948</v>
      </c>
      <c r="J2909">
        <v>1548955270</v>
      </c>
      <c r="K2909">
        <v>1426452687</v>
      </c>
      <c r="L2909">
        <v>915111895</v>
      </c>
      <c r="M2909">
        <v>912915177</v>
      </c>
      <c r="N2909">
        <v>916773523</v>
      </c>
      <c r="O2909">
        <v>900412074</v>
      </c>
      <c r="P2909">
        <v>372</v>
      </c>
      <c r="Q2909" t="s">
        <v>6156</v>
      </c>
    </row>
    <row r="2910" spans="1:17" x14ac:dyDescent="0.3">
      <c r="A2910" t="s">
        <v>4729</v>
      </c>
      <c r="B2910" t="str">
        <f>"002183"</f>
        <v>002183</v>
      </c>
      <c r="C2910" t="s">
        <v>6157</v>
      </c>
      <c r="D2910" t="s">
        <v>3125</v>
      </c>
      <c r="F2910">
        <v>8575360783</v>
      </c>
      <c r="G2910">
        <v>5973449389</v>
      </c>
      <c r="H2910">
        <v>5931423055</v>
      </c>
      <c r="I2910">
        <v>5911802160</v>
      </c>
      <c r="J2910">
        <v>5954163492</v>
      </c>
      <c r="K2910">
        <v>5489219274</v>
      </c>
      <c r="L2910">
        <v>5044346292</v>
      </c>
      <c r="M2910">
        <v>3167978800</v>
      </c>
      <c r="N2910">
        <v>2673651963</v>
      </c>
      <c r="O2910">
        <v>1482849042</v>
      </c>
      <c r="P2910">
        <v>261</v>
      </c>
      <c r="Q2910" t="s">
        <v>6158</v>
      </c>
    </row>
    <row r="2911" spans="1:17" x14ac:dyDescent="0.3">
      <c r="A2911" t="s">
        <v>4729</v>
      </c>
      <c r="B2911" t="str">
        <f>"002184"</f>
        <v>002184</v>
      </c>
      <c r="C2911" t="s">
        <v>6159</v>
      </c>
      <c r="D2911" t="s">
        <v>2432</v>
      </c>
      <c r="F2911">
        <v>1184601965</v>
      </c>
      <c r="G2911">
        <v>1074899101</v>
      </c>
      <c r="H2911">
        <v>967973544</v>
      </c>
      <c r="I2911">
        <v>923118289</v>
      </c>
      <c r="J2911">
        <v>1110484303</v>
      </c>
      <c r="K2911">
        <v>1110155496</v>
      </c>
      <c r="L2911">
        <v>813143339</v>
      </c>
      <c r="M2911">
        <v>768282912</v>
      </c>
      <c r="N2911">
        <v>735424191</v>
      </c>
      <c r="O2911">
        <v>715497440</v>
      </c>
      <c r="P2911">
        <v>186</v>
      </c>
      <c r="Q2911" t="s">
        <v>6160</v>
      </c>
    </row>
    <row r="2912" spans="1:17" x14ac:dyDescent="0.3">
      <c r="A2912" t="s">
        <v>4729</v>
      </c>
      <c r="B2912" t="str">
        <f>"002185"</f>
        <v>002185</v>
      </c>
      <c r="C2912" t="s">
        <v>6161</v>
      </c>
      <c r="D2912" t="s">
        <v>1180</v>
      </c>
      <c r="F2912">
        <v>15049446789</v>
      </c>
      <c r="G2912">
        <v>8506631615</v>
      </c>
      <c r="H2912">
        <v>7768107632</v>
      </c>
      <c r="I2912">
        <v>5694557263</v>
      </c>
      <c r="J2912">
        <v>5346960276</v>
      </c>
      <c r="K2912">
        <v>4908081904</v>
      </c>
      <c r="L2912">
        <v>4648763471</v>
      </c>
      <c r="M2912">
        <v>2407254104</v>
      </c>
      <c r="N2912">
        <v>1775685711</v>
      </c>
      <c r="O2912">
        <v>1523632824</v>
      </c>
      <c r="P2912">
        <v>1176</v>
      </c>
      <c r="Q2912" t="s">
        <v>6162</v>
      </c>
    </row>
    <row r="2913" spans="1:17" x14ac:dyDescent="0.3">
      <c r="A2913" t="s">
        <v>4729</v>
      </c>
      <c r="B2913" t="str">
        <f>"002186"</f>
        <v>002186</v>
      </c>
      <c r="C2913" t="s">
        <v>6163</v>
      </c>
      <c r="D2913" t="s">
        <v>3598</v>
      </c>
      <c r="F2913">
        <v>1021255789</v>
      </c>
      <c r="G2913">
        <v>1216235240</v>
      </c>
      <c r="H2913">
        <v>1501657734</v>
      </c>
      <c r="I2913">
        <v>1502696713</v>
      </c>
      <c r="J2913">
        <v>1509855144</v>
      </c>
      <c r="K2913">
        <v>1447890498</v>
      </c>
      <c r="L2913">
        <v>1376162773</v>
      </c>
      <c r="M2913">
        <v>1307333965</v>
      </c>
      <c r="N2913">
        <v>912612392</v>
      </c>
      <c r="O2913">
        <v>873328630</v>
      </c>
      <c r="P2913">
        <v>179</v>
      </c>
      <c r="Q2913" t="s">
        <v>6164</v>
      </c>
    </row>
    <row r="2914" spans="1:17" x14ac:dyDescent="0.3">
      <c r="A2914" t="s">
        <v>4729</v>
      </c>
      <c r="B2914" t="str">
        <f>"002187"</f>
        <v>002187</v>
      </c>
      <c r="C2914" t="s">
        <v>6165</v>
      </c>
      <c r="D2914" t="s">
        <v>633</v>
      </c>
      <c r="F2914">
        <v>3694595926</v>
      </c>
      <c r="G2914">
        <v>2787781312</v>
      </c>
      <c r="H2914">
        <v>2755335218</v>
      </c>
      <c r="I2914">
        <v>2744846991</v>
      </c>
      <c r="J2914">
        <v>2646483891</v>
      </c>
      <c r="K2914">
        <v>2575338150</v>
      </c>
      <c r="L2914">
        <v>2534333879</v>
      </c>
      <c r="M2914">
        <v>2386423344</v>
      </c>
      <c r="N2914">
        <v>2253750064</v>
      </c>
      <c r="O2914">
        <v>2100095432</v>
      </c>
      <c r="P2914">
        <v>147</v>
      </c>
      <c r="Q2914" t="s">
        <v>6166</v>
      </c>
    </row>
    <row r="2915" spans="1:17" x14ac:dyDescent="0.3">
      <c r="A2915" t="s">
        <v>4729</v>
      </c>
      <c r="B2915" t="str">
        <f>"002188"</f>
        <v>002188</v>
      </c>
      <c r="C2915" t="s">
        <v>6167</v>
      </c>
      <c r="D2915" t="s">
        <v>207</v>
      </c>
      <c r="F2915">
        <v>51576427</v>
      </c>
      <c r="G2915">
        <v>-113223326</v>
      </c>
      <c r="H2915">
        <v>12480693</v>
      </c>
      <c r="I2915">
        <v>-630041820</v>
      </c>
      <c r="J2915">
        <v>10537088</v>
      </c>
      <c r="K2915">
        <v>2090884889</v>
      </c>
      <c r="L2915">
        <v>1997273231</v>
      </c>
      <c r="M2915">
        <v>301149079</v>
      </c>
      <c r="N2915">
        <v>321116577</v>
      </c>
      <c r="O2915">
        <v>313274310</v>
      </c>
      <c r="P2915">
        <v>69</v>
      </c>
      <c r="Q2915" t="s">
        <v>6168</v>
      </c>
    </row>
    <row r="2916" spans="1:17" x14ac:dyDescent="0.3">
      <c r="A2916" t="s">
        <v>4729</v>
      </c>
      <c r="B2916" t="str">
        <f>"002189"</f>
        <v>002189</v>
      </c>
      <c r="C2916" t="s">
        <v>6169</v>
      </c>
      <c r="D2916" t="s">
        <v>1136</v>
      </c>
      <c r="F2916">
        <v>1590081211</v>
      </c>
      <c r="G2916">
        <v>1484298588</v>
      </c>
      <c r="H2916">
        <v>1356436014</v>
      </c>
      <c r="I2916">
        <v>923756707</v>
      </c>
      <c r="J2916">
        <v>554503165</v>
      </c>
      <c r="K2916">
        <v>536732824</v>
      </c>
      <c r="L2916">
        <v>522997107</v>
      </c>
      <c r="M2916">
        <v>510599572</v>
      </c>
      <c r="N2916">
        <v>500032868</v>
      </c>
      <c r="O2916">
        <v>493040869</v>
      </c>
      <c r="P2916">
        <v>221</v>
      </c>
      <c r="Q2916" t="s">
        <v>6170</v>
      </c>
    </row>
    <row r="2917" spans="1:17" x14ac:dyDescent="0.3">
      <c r="A2917" t="s">
        <v>4729</v>
      </c>
      <c r="B2917" t="str">
        <f>"002190"</f>
        <v>002190</v>
      </c>
      <c r="C2917" t="s">
        <v>6171</v>
      </c>
      <c r="D2917" t="s">
        <v>98</v>
      </c>
      <c r="F2917">
        <v>5424385495</v>
      </c>
      <c r="G2917">
        <v>2542818054</v>
      </c>
      <c r="H2917">
        <v>2510289808</v>
      </c>
      <c r="I2917">
        <v>1797462823</v>
      </c>
      <c r="J2917">
        <v>1670233525</v>
      </c>
      <c r="K2917">
        <v>1800530185</v>
      </c>
      <c r="L2917">
        <v>1710835105</v>
      </c>
      <c r="M2917">
        <v>1631830282</v>
      </c>
      <c r="N2917">
        <v>1601607713</v>
      </c>
      <c r="O2917">
        <v>1575710298</v>
      </c>
      <c r="P2917">
        <v>184</v>
      </c>
      <c r="Q2917" t="s">
        <v>6172</v>
      </c>
    </row>
    <row r="2918" spans="1:17" x14ac:dyDescent="0.3">
      <c r="A2918" t="s">
        <v>4729</v>
      </c>
      <c r="B2918" t="str">
        <f>"002191"</f>
        <v>002191</v>
      </c>
      <c r="C2918" t="s">
        <v>6173</v>
      </c>
      <c r="D2918" t="s">
        <v>2165</v>
      </c>
      <c r="F2918">
        <v>7846674919</v>
      </c>
      <c r="G2918">
        <v>7425915335</v>
      </c>
      <c r="H2918">
        <v>6926088152</v>
      </c>
      <c r="I2918">
        <v>6492800613</v>
      </c>
      <c r="J2918">
        <v>6448893067</v>
      </c>
      <c r="K2918">
        <v>4493801642</v>
      </c>
      <c r="L2918">
        <v>4147309221</v>
      </c>
      <c r="M2918">
        <v>3467876554</v>
      </c>
      <c r="N2918">
        <v>2931221119</v>
      </c>
      <c r="O2918">
        <v>2367334165</v>
      </c>
      <c r="P2918">
        <v>6347</v>
      </c>
      <c r="Q2918" t="s">
        <v>6174</v>
      </c>
    </row>
    <row r="2919" spans="1:17" x14ac:dyDescent="0.3">
      <c r="A2919" t="s">
        <v>4729</v>
      </c>
      <c r="B2919" t="str">
        <f>"002192"</f>
        <v>002192</v>
      </c>
      <c r="C2919" t="s">
        <v>6175</v>
      </c>
      <c r="D2919" t="s">
        <v>3776</v>
      </c>
      <c r="F2919">
        <v>635187082</v>
      </c>
      <c r="G2919">
        <v>569591224</v>
      </c>
      <c r="H2919">
        <v>546754204</v>
      </c>
      <c r="I2919">
        <v>762622998</v>
      </c>
      <c r="J2919">
        <v>769568782</v>
      </c>
      <c r="K2919">
        <v>733938969</v>
      </c>
      <c r="L2919">
        <v>728847832</v>
      </c>
      <c r="M2919">
        <v>281584414</v>
      </c>
      <c r="N2919">
        <v>364230150</v>
      </c>
      <c r="O2919">
        <v>267907079</v>
      </c>
      <c r="P2919">
        <v>230</v>
      </c>
      <c r="Q2919" t="s">
        <v>6176</v>
      </c>
    </row>
    <row r="2920" spans="1:17" x14ac:dyDescent="0.3">
      <c r="A2920" t="s">
        <v>4729</v>
      </c>
      <c r="B2920" t="str">
        <f>"002193"</f>
        <v>002193</v>
      </c>
      <c r="C2920" t="s">
        <v>6177</v>
      </c>
      <c r="D2920" t="s">
        <v>366</v>
      </c>
      <c r="F2920">
        <v>2703218202</v>
      </c>
      <c r="G2920">
        <v>2662307755</v>
      </c>
      <c r="H2920">
        <v>2654972110</v>
      </c>
      <c r="I2920">
        <v>2605648307</v>
      </c>
      <c r="J2920">
        <v>2532952524</v>
      </c>
      <c r="K2920">
        <v>2484273567</v>
      </c>
      <c r="L2920">
        <v>685662106</v>
      </c>
      <c r="M2920">
        <v>670587614</v>
      </c>
      <c r="N2920">
        <v>672963322</v>
      </c>
      <c r="O2920">
        <v>670947249</v>
      </c>
      <c r="P2920">
        <v>93</v>
      </c>
      <c r="Q2920" t="s">
        <v>6178</v>
      </c>
    </row>
    <row r="2921" spans="1:17" x14ac:dyDescent="0.3">
      <c r="A2921" t="s">
        <v>4729</v>
      </c>
      <c r="B2921" t="str">
        <f>"002194"</f>
        <v>002194</v>
      </c>
      <c r="C2921" t="s">
        <v>6179</v>
      </c>
      <c r="D2921" t="s">
        <v>1019</v>
      </c>
      <c r="F2921">
        <v>2315114671</v>
      </c>
      <c r="G2921">
        <v>2129701646</v>
      </c>
      <c r="H2921">
        <v>1890696383</v>
      </c>
      <c r="I2921">
        <v>1632679391</v>
      </c>
      <c r="J2921">
        <v>1483173679</v>
      </c>
      <c r="K2921">
        <v>1997693977</v>
      </c>
      <c r="L2921">
        <v>2042486335</v>
      </c>
      <c r="M2921">
        <v>2023040239</v>
      </c>
      <c r="N2921">
        <v>1941993405</v>
      </c>
      <c r="O2921">
        <v>1976585565</v>
      </c>
      <c r="P2921">
        <v>906</v>
      </c>
      <c r="Q2921" t="s">
        <v>6180</v>
      </c>
    </row>
    <row r="2922" spans="1:17" x14ac:dyDescent="0.3">
      <c r="A2922" t="s">
        <v>4729</v>
      </c>
      <c r="B2922" t="str">
        <f>"002195"</f>
        <v>002195</v>
      </c>
      <c r="C2922" t="s">
        <v>6181</v>
      </c>
      <c r="D2922" t="s">
        <v>316</v>
      </c>
      <c r="F2922">
        <v>9275672615</v>
      </c>
      <c r="G2922">
        <v>9135051423</v>
      </c>
      <c r="H2922">
        <v>10159214361</v>
      </c>
      <c r="I2922">
        <v>9315673779</v>
      </c>
      <c r="J2922">
        <v>7631856615</v>
      </c>
      <c r="K2922">
        <v>6639561403</v>
      </c>
      <c r="L2922">
        <v>4443062824</v>
      </c>
      <c r="M2922">
        <v>4060814673</v>
      </c>
      <c r="N2922">
        <v>449900722</v>
      </c>
      <c r="O2922">
        <v>441849686</v>
      </c>
      <c r="P2922">
        <v>558</v>
      </c>
      <c r="Q2922" t="s">
        <v>6182</v>
      </c>
    </row>
    <row r="2923" spans="1:17" x14ac:dyDescent="0.3">
      <c r="A2923" t="s">
        <v>4729</v>
      </c>
      <c r="B2923" t="str">
        <f>"002196"</f>
        <v>002196</v>
      </c>
      <c r="C2923" t="s">
        <v>6183</v>
      </c>
      <c r="D2923" t="s">
        <v>1171</v>
      </c>
      <c r="F2923">
        <v>1495086769</v>
      </c>
      <c r="G2923">
        <v>1460226364</v>
      </c>
      <c r="H2923">
        <v>2103610793</v>
      </c>
      <c r="I2923">
        <v>1959923275</v>
      </c>
      <c r="J2923">
        <v>2464755571</v>
      </c>
      <c r="K2923">
        <v>2341578868</v>
      </c>
      <c r="L2923">
        <v>2212507352</v>
      </c>
      <c r="M2923">
        <v>806259270</v>
      </c>
      <c r="N2923">
        <v>616795375</v>
      </c>
      <c r="O2923">
        <v>299431123</v>
      </c>
      <c r="P2923">
        <v>163</v>
      </c>
      <c r="Q2923" t="s">
        <v>6184</v>
      </c>
    </row>
    <row r="2924" spans="1:17" x14ac:dyDescent="0.3">
      <c r="A2924" t="s">
        <v>4729</v>
      </c>
      <c r="B2924" t="str">
        <f>"002197"</f>
        <v>002197</v>
      </c>
      <c r="C2924" t="s">
        <v>6185</v>
      </c>
      <c r="D2924" t="s">
        <v>236</v>
      </c>
      <c r="F2924">
        <v>3047848114</v>
      </c>
      <c r="G2924">
        <v>2417099818</v>
      </c>
      <c r="H2924">
        <v>2393768842</v>
      </c>
      <c r="I2924">
        <v>2407493875</v>
      </c>
      <c r="J2924">
        <v>2766860849</v>
      </c>
      <c r="K2924">
        <v>2733712276</v>
      </c>
      <c r="L2924">
        <v>1204777203</v>
      </c>
      <c r="M2924">
        <v>1128956858</v>
      </c>
      <c r="N2924">
        <v>1082543440</v>
      </c>
      <c r="O2924">
        <v>542792035</v>
      </c>
      <c r="P2924">
        <v>230</v>
      </c>
      <c r="Q2924" t="s">
        <v>6186</v>
      </c>
    </row>
    <row r="2925" spans="1:17" x14ac:dyDescent="0.3">
      <c r="A2925" t="s">
        <v>4729</v>
      </c>
      <c r="B2925" t="str">
        <f>"002198"</f>
        <v>002198</v>
      </c>
      <c r="C2925" t="s">
        <v>6187</v>
      </c>
      <c r="D2925" t="s">
        <v>188</v>
      </c>
      <c r="F2925">
        <v>684483311</v>
      </c>
      <c r="G2925">
        <v>683006041</v>
      </c>
      <c r="H2925">
        <v>663167693</v>
      </c>
      <c r="I2925">
        <v>785352171</v>
      </c>
      <c r="J2925">
        <v>749810781</v>
      </c>
      <c r="K2925">
        <v>984872498</v>
      </c>
      <c r="L2925">
        <v>929700456</v>
      </c>
      <c r="M2925">
        <v>863345535</v>
      </c>
      <c r="N2925">
        <v>809656594</v>
      </c>
      <c r="O2925">
        <v>278077666</v>
      </c>
      <c r="P2925">
        <v>120</v>
      </c>
      <c r="Q2925" t="s">
        <v>6188</v>
      </c>
    </row>
    <row r="2926" spans="1:17" x14ac:dyDescent="0.3">
      <c r="A2926" t="s">
        <v>4729</v>
      </c>
      <c r="B2926" t="str">
        <f>"002199"</f>
        <v>002199</v>
      </c>
      <c r="C2926" t="s">
        <v>6189</v>
      </c>
      <c r="D2926" t="s">
        <v>546</v>
      </c>
      <c r="F2926">
        <v>435459963</v>
      </c>
      <c r="G2926">
        <v>404521454</v>
      </c>
      <c r="H2926">
        <v>396545977</v>
      </c>
      <c r="I2926">
        <v>381752539</v>
      </c>
      <c r="J2926">
        <v>460381363</v>
      </c>
      <c r="K2926">
        <v>458891334</v>
      </c>
      <c r="L2926">
        <v>442694586</v>
      </c>
      <c r="M2926">
        <v>717380376</v>
      </c>
      <c r="N2926">
        <v>578690980</v>
      </c>
      <c r="O2926">
        <v>546799157</v>
      </c>
      <c r="P2926">
        <v>111</v>
      </c>
      <c r="Q2926" t="s">
        <v>6190</v>
      </c>
    </row>
    <row r="2927" spans="1:17" x14ac:dyDescent="0.3">
      <c r="A2927" t="s">
        <v>4729</v>
      </c>
      <c r="B2927" t="str">
        <f>"002200"</f>
        <v>002200</v>
      </c>
      <c r="C2927" t="s">
        <v>6191</v>
      </c>
      <c r="D2927" t="s">
        <v>2417</v>
      </c>
      <c r="F2927">
        <v>39397177</v>
      </c>
      <c r="G2927">
        <v>101421146</v>
      </c>
      <c r="H2927">
        <v>197476389</v>
      </c>
      <c r="I2927">
        <v>158535950</v>
      </c>
      <c r="J2927">
        <v>413936153</v>
      </c>
      <c r="K2927">
        <v>849976361</v>
      </c>
      <c r="L2927">
        <v>816540700</v>
      </c>
      <c r="M2927">
        <v>806111757</v>
      </c>
      <c r="N2927">
        <v>345183483</v>
      </c>
      <c r="O2927">
        <v>329313366</v>
      </c>
      <c r="P2927">
        <v>53</v>
      </c>
      <c r="Q2927" t="s">
        <v>6192</v>
      </c>
    </row>
    <row r="2928" spans="1:17" x14ac:dyDescent="0.3">
      <c r="A2928" t="s">
        <v>4729</v>
      </c>
      <c r="B2928" t="str">
        <f>"002201"</f>
        <v>002201</v>
      </c>
      <c r="C2928" t="s">
        <v>6193</v>
      </c>
      <c r="D2928" t="s">
        <v>411</v>
      </c>
      <c r="F2928">
        <v>1015412846</v>
      </c>
      <c r="G2928">
        <v>976237795</v>
      </c>
      <c r="H2928">
        <v>946052163</v>
      </c>
      <c r="I2928">
        <v>898722224</v>
      </c>
      <c r="J2928">
        <v>880118424</v>
      </c>
      <c r="K2928">
        <v>882211364</v>
      </c>
      <c r="L2928">
        <v>880488832</v>
      </c>
      <c r="M2928">
        <v>428080699</v>
      </c>
      <c r="N2928">
        <v>420162278</v>
      </c>
      <c r="O2928">
        <v>417535428</v>
      </c>
      <c r="P2928">
        <v>132</v>
      </c>
      <c r="Q2928" t="s">
        <v>6194</v>
      </c>
    </row>
    <row r="2929" spans="1:17" x14ac:dyDescent="0.3">
      <c r="A2929" t="s">
        <v>4729</v>
      </c>
      <c r="B2929" t="str">
        <f>"002202"</f>
        <v>002202</v>
      </c>
      <c r="C2929" t="s">
        <v>6195</v>
      </c>
      <c r="D2929" t="s">
        <v>895</v>
      </c>
      <c r="F2929">
        <v>33544782534</v>
      </c>
      <c r="G2929">
        <v>31177633551</v>
      </c>
      <c r="H2929">
        <v>28681503009</v>
      </c>
      <c r="I2929">
        <v>22967599131</v>
      </c>
      <c r="J2929">
        <v>21191575003</v>
      </c>
      <c r="K2929">
        <v>18481033544</v>
      </c>
      <c r="L2929">
        <v>16761446096</v>
      </c>
      <c r="M2929">
        <v>14767789158</v>
      </c>
      <c r="N2929">
        <v>13367526133</v>
      </c>
      <c r="O2929">
        <v>12902652726</v>
      </c>
      <c r="P2929">
        <v>1283</v>
      </c>
      <c r="Q2929" t="s">
        <v>6196</v>
      </c>
    </row>
    <row r="2930" spans="1:17" x14ac:dyDescent="0.3">
      <c r="A2930" t="s">
        <v>4729</v>
      </c>
      <c r="B2930" t="str">
        <f>"002203"</f>
        <v>002203</v>
      </c>
      <c r="C2930" t="s">
        <v>6197</v>
      </c>
      <c r="D2930" t="s">
        <v>263</v>
      </c>
      <c r="F2930">
        <v>10415755389</v>
      </c>
      <c r="G2930">
        <v>9163598497</v>
      </c>
      <c r="H2930">
        <v>8721663804</v>
      </c>
      <c r="I2930">
        <v>8029373851</v>
      </c>
      <c r="J2930">
        <v>5177759390</v>
      </c>
      <c r="K2930">
        <v>4312079176</v>
      </c>
      <c r="L2930">
        <v>3810624743</v>
      </c>
      <c r="M2930">
        <v>3242348872</v>
      </c>
      <c r="N2930">
        <v>2885402708</v>
      </c>
      <c r="O2930">
        <v>2693651607</v>
      </c>
      <c r="P2930">
        <v>239</v>
      </c>
      <c r="Q2930" t="s">
        <v>6198</v>
      </c>
    </row>
    <row r="2931" spans="1:17" x14ac:dyDescent="0.3">
      <c r="A2931" t="s">
        <v>4729</v>
      </c>
      <c r="B2931" t="str">
        <f>"002204"</f>
        <v>002204</v>
      </c>
      <c r="C2931" t="s">
        <v>6199</v>
      </c>
      <c r="D2931" t="s">
        <v>395</v>
      </c>
      <c r="F2931">
        <v>6560768223</v>
      </c>
      <c r="G2931">
        <v>6600538020</v>
      </c>
      <c r="H2931">
        <v>6665129803</v>
      </c>
      <c r="I2931">
        <v>6591639905</v>
      </c>
      <c r="J2931">
        <v>6596692379</v>
      </c>
      <c r="K2931">
        <v>6572973677</v>
      </c>
      <c r="L2931">
        <v>6537498830</v>
      </c>
      <c r="M2931">
        <v>6504312168</v>
      </c>
      <c r="N2931">
        <v>6521209855</v>
      </c>
      <c r="O2931">
        <v>6221734374</v>
      </c>
      <c r="P2931">
        <v>137</v>
      </c>
      <c r="Q2931" t="s">
        <v>6200</v>
      </c>
    </row>
    <row r="2932" spans="1:17" x14ac:dyDescent="0.3">
      <c r="A2932" t="s">
        <v>4729</v>
      </c>
      <c r="B2932" t="str">
        <f>"002205"</f>
        <v>002205</v>
      </c>
      <c r="C2932" t="s">
        <v>6201</v>
      </c>
      <c r="D2932" t="s">
        <v>3575</v>
      </c>
      <c r="F2932">
        <v>874939230</v>
      </c>
      <c r="G2932">
        <v>864532491</v>
      </c>
      <c r="H2932">
        <v>850415473</v>
      </c>
      <c r="I2932">
        <v>935425770</v>
      </c>
      <c r="J2932">
        <v>931611949</v>
      </c>
      <c r="K2932">
        <v>915708922</v>
      </c>
      <c r="L2932">
        <v>902380291</v>
      </c>
      <c r="M2932">
        <v>976211740</v>
      </c>
      <c r="N2932">
        <v>932177712</v>
      </c>
      <c r="O2932">
        <v>867195941</v>
      </c>
      <c r="P2932">
        <v>86</v>
      </c>
      <c r="Q2932" t="s">
        <v>6202</v>
      </c>
    </row>
    <row r="2933" spans="1:17" x14ac:dyDescent="0.3">
      <c r="A2933" t="s">
        <v>4729</v>
      </c>
      <c r="B2933" t="str">
        <f>"002206"</f>
        <v>002206</v>
      </c>
      <c r="C2933" t="s">
        <v>6203</v>
      </c>
      <c r="D2933" t="s">
        <v>2731</v>
      </c>
      <c r="F2933">
        <v>3251157406</v>
      </c>
      <c r="G2933">
        <v>2896432820</v>
      </c>
      <c r="H2933">
        <v>2797043478</v>
      </c>
      <c r="I2933">
        <v>2915181719</v>
      </c>
      <c r="J2933">
        <v>2861670682</v>
      </c>
      <c r="K2933">
        <v>2779952210</v>
      </c>
      <c r="L2933">
        <v>2115288226</v>
      </c>
      <c r="M2933">
        <v>2037359552</v>
      </c>
      <c r="N2933">
        <v>1987047006</v>
      </c>
      <c r="O2933">
        <v>1961939712</v>
      </c>
      <c r="P2933">
        <v>369</v>
      </c>
      <c r="Q2933" t="s">
        <v>6204</v>
      </c>
    </row>
    <row r="2934" spans="1:17" x14ac:dyDescent="0.3">
      <c r="A2934" t="s">
        <v>4729</v>
      </c>
      <c r="B2934" t="str">
        <f>"002207"</f>
        <v>002207</v>
      </c>
      <c r="C2934" t="s">
        <v>6205</v>
      </c>
      <c r="D2934" t="s">
        <v>1762</v>
      </c>
      <c r="F2934">
        <v>155857802</v>
      </c>
      <c r="G2934">
        <v>147059753</v>
      </c>
      <c r="H2934">
        <v>71972065</v>
      </c>
      <c r="I2934">
        <v>19011238</v>
      </c>
      <c r="J2934">
        <v>350770795</v>
      </c>
      <c r="K2934">
        <v>342527866</v>
      </c>
      <c r="L2934">
        <v>435872811</v>
      </c>
      <c r="M2934">
        <v>588700736</v>
      </c>
      <c r="N2934">
        <v>586519322</v>
      </c>
      <c r="O2934">
        <v>370643263</v>
      </c>
      <c r="P2934">
        <v>73</v>
      </c>
      <c r="Q2934" t="s">
        <v>6206</v>
      </c>
    </row>
    <row r="2935" spans="1:17" x14ac:dyDescent="0.3">
      <c r="A2935" t="s">
        <v>4729</v>
      </c>
      <c r="B2935" t="str">
        <f>"002208"</f>
        <v>002208</v>
      </c>
      <c r="C2935" t="s">
        <v>6207</v>
      </c>
      <c r="D2935" t="s">
        <v>104</v>
      </c>
      <c r="F2935">
        <v>6159715503</v>
      </c>
      <c r="G2935">
        <v>5365232375</v>
      </c>
      <c r="H2935">
        <v>2154295302</v>
      </c>
      <c r="I2935">
        <v>1862713768</v>
      </c>
      <c r="J2935">
        <v>1743219863</v>
      </c>
      <c r="K2935">
        <v>1642464267</v>
      </c>
      <c r="L2935">
        <v>1549709900</v>
      </c>
      <c r="M2935">
        <v>1490200346</v>
      </c>
      <c r="N2935">
        <v>1349580466</v>
      </c>
      <c r="O2935">
        <v>1207631017</v>
      </c>
      <c r="P2935">
        <v>198</v>
      </c>
      <c r="Q2935" t="s">
        <v>6208</v>
      </c>
    </row>
    <row r="2936" spans="1:17" x14ac:dyDescent="0.3">
      <c r="A2936" t="s">
        <v>4729</v>
      </c>
      <c r="B2936" t="str">
        <f>"002209"</f>
        <v>002209</v>
      </c>
      <c r="C2936" t="s">
        <v>6209</v>
      </c>
      <c r="D2936" t="s">
        <v>3415</v>
      </c>
      <c r="F2936">
        <v>569356896</v>
      </c>
      <c r="G2936">
        <v>623155214</v>
      </c>
      <c r="H2936">
        <v>605335962</v>
      </c>
      <c r="I2936">
        <v>643496976</v>
      </c>
      <c r="J2936">
        <v>634281512</v>
      </c>
      <c r="K2936">
        <v>612468039</v>
      </c>
      <c r="L2936">
        <v>661465371</v>
      </c>
      <c r="M2936">
        <v>650913731</v>
      </c>
      <c r="N2936">
        <v>641619391</v>
      </c>
      <c r="O2936">
        <v>627107323</v>
      </c>
      <c r="P2936">
        <v>75</v>
      </c>
      <c r="Q2936" t="s">
        <v>6210</v>
      </c>
    </row>
    <row r="2937" spans="1:17" x14ac:dyDescent="0.3">
      <c r="A2937" t="s">
        <v>4729</v>
      </c>
      <c r="B2937" t="str">
        <f>"002210"</f>
        <v>002210</v>
      </c>
      <c r="C2937" t="s">
        <v>6211</v>
      </c>
      <c r="D2937" t="s">
        <v>128</v>
      </c>
      <c r="F2937">
        <v>148076805</v>
      </c>
      <c r="G2937">
        <v>129282061</v>
      </c>
      <c r="H2937">
        <v>-10297572525</v>
      </c>
      <c r="I2937">
        <v>1993395856</v>
      </c>
      <c r="J2937">
        <v>4136842259</v>
      </c>
      <c r="K2937">
        <v>3946745105</v>
      </c>
      <c r="L2937">
        <v>2398225565</v>
      </c>
      <c r="M2937">
        <v>804573624</v>
      </c>
      <c r="N2937">
        <v>696696816</v>
      </c>
      <c r="O2937">
        <v>591259757</v>
      </c>
      <c r="P2937">
        <v>83</v>
      </c>
      <c r="Q2937" t="s">
        <v>6212</v>
      </c>
    </row>
    <row r="2938" spans="1:17" x14ac:dyDescent="0.3">
      <c r="A2938" t="s">
        <v>4729</v>
      </c>
      <c r="B2938" t="str">
        <f>"002211"</f>
        <v>002211</v>
      </c>
      <c r="C2938" t="s">
        <v>6213</v>
      </c>
      <c r="D2938" t="s">
        <v>1205</v>
      </c>
      <c r="F2938">
        <v>53027225</v>
      </c>
      <c r="G2938">
        <v>759118557</v>
      </c>
      <c r="H2938">
        <v>706422773</v>
      </c>
      <c r="I2938">
        <v>794419702</v>
      </c>
      <c r="J2938">
        <v>793819087</v>
      </c>
      <c r="K2938">
        <v>774991587</v>
      </c>
      <c r="L2938">
        <v>764302126</v>
      </c>
      <c r="M2938">
        <v>825238459</v>
      </c>
      <c r="N2938">
        <v>813510983</v>
      </c>
      <c r="O2938">
        <v>1689817039</v>
      </c>
      <c r="P2938">
        <v>85</v>
      </c>
      <c r="Q2938" t="s">
        <v>6214</v>
      </c>
    </row>
    <row r="2939" spans="1:17" x14ac:dyDescent="0.3">
      <c r="A2939" t="s">
        <v>4729</v>
      </c>
      <c r="B2939" t="str">
        <f>"002212"</f>
        <v>002212</v>
      </c>
      <c r="C2939" t="s">
        <v>6215</v>
      </c>
      <c r="D2939" t="s">
        <v>1189</v>
      </c>
      <c r="F2939">
        <v>9477132607</v>
      </c>
      <c r="G2939">
        <v>9585715260</v>
      </c>
      <c r="H2939">
        <v>8895935773</v>
      </c>
      <c r="I2939">
        <v>8205706027</v>
      </c>
      <c r="J2939">
        <v>8028418103</v>
      </c>
      <c r="K2939">
        <v>5526140740</v>
      </c>
      <c r="L2939">
        <v>1798252009</v>
      </c>
      <c r="M2939">
        <v>1750452742</v>
      </c>
      <c r="N2939">
        <v>1706743108</v>
      </c>
      <c r="O2939">
        <v>1697758296</v>
      </c>
      <c r="P2939">
        <v>249</v>
      </c>
      <c r="Q2939" t="s">
        <v>6216</v>
      </c>
    </row>
    <row r="2940" spans="1:17" x14ac:dyDescent="0.3">
      <c r="A2940" t="s">
        <v>4729</v>
      </c>
      <c r="B2940" t="str">
        <f>"002213"</f>
        <v>002213</v>
      </c>
      <c r="C2940" t="s">
        <v>6217</v>
      </c>
      <c r="D2940" t="s">
        <v>348</v>
      </c>
      <c r="F2940">
        <v>346743991</v>
      </c>
      <c r="G2940">
        <v>377011416</v>
      </c>
      <c r="H2940">
        <v>368014926</v>
      </c>
      <c r="I2940">
        <v>366414405</v>
      </c>
      <c r="J2940">
        <v>365224766</v>
      </c>
      <c r="K2940">
        <v>357927121</v>
      </c>
      <c r="L2940">
        <v>349944358</v>
      </c>
      <c r="M2940">
        <v>342111821</v>
      </c>
      <c r="N2940">
        <v>338276263</v>
      </c>
      <c r="O2940">
        <v>320947767</v>
      </c>
      <c r="P2940">
        <v>90</v>
      </c>
      <c r="Q2940" t="s">
        <v>6218</v>
      </c>
    </row>
    <row r="2941" spans="1:17" x14ac:dyDescent="0.3">
      <c r="A2941" t="s">
        <v>4729</v>
      </c>
      <c r="B2941" t="str">
        <f>"002214"</f>
        <v>002214</v>
      </c>
      <c r="C2941" t="s">
        <v>6219</v>
      </c>
      <c r="D2941" t="s">
        <v>1136</v>
      </c>
      <c r="F2941">
        <v>2524539573</v>
      </c>
      <c r="G2941">
        <v>1433808477</v>
      </c>
      <c r="H2941">
        <v>1150039495</v>
      </c>
      <c r="I2941">
        <v>1038887003</v>
      </c>
      <c r="J2941">
        <v>995397258</v>
      </c>
      <c r="K2941">
        <v>976703297</v>
      </c>
      <c r="L2941">
        <v>955061301</v>
      </c>
      <c r="M2941">
        <v>934077705</v>
      </c>
      <c r="N2941">
        <v>481289022</v>
      </c>
      <c r="O2941">
        <v>457418707</v>
      </c>
      <c r="P2941">
        <v>511</v>
      </c>
      <c r="Q2941" t="s">
        <v>6220</v>
      </c>
    </row>
    <row r="2942" spans="1:17" x14ac:dyDescent="0.3">
      <c r="A2942" t="s">
        <v>4729</v>
      </c>
      <c r="B2942" t="str">
        <f>"002215"</f>
        <v>002215</v>
      </c>
      <c r="C2942" t="s">
        <v>6221</v>
      </c>
      <c r="D2942" t="s">
        <v>853</v>
      </c>
      <c r="F2942">
        <v>2965746677</v>
      </c>
      <c r="G2942">
        <v>2350516688</v>
      </c>
      <c r="H2942">
        <v>2279036348</v>
      </c>
      <c r="I2942">
        <v>2132130974</v>
      </c>
      <c r="J2942">
        <v>1938975132</v>
      </c>
      <c r="K2942">
        <v>1620630430</v>
      </c>
      <c r="L2942">
        <v>1742920935</v>
      </c>
      <c r="M2942">
        <v>1544228653</v>
      </c>
      <c r="N2942">
        <v>1476365287</v>
      </c>
      <c r="O2942">
        <v>1332897087</v>
      </c>
      <c r="P2942">
        <v>175</v>
      </c>
      <c r="Q2942" t="s">
        <v>6222</v>
      </c>
    </row>
    <row r="2943" spans="1:17" x14ac:dyDescent="0.3">
      <c r="A2943" t="s">
        <v>4729</v>
      </c>
      <c r="B2943" t="str">
        <f>"002216"</f>
        <v>002216</v>
      </c>
      <c r="C2943" t="s">
        <v>6223</v>
      </c>
      <c r="D2943" t="s">
        <v>2865</v>
      </c>
      <c r="F2943">
        <v>3233140508</v>
      </c>
      <c r="G2943">
        <v>2993279635</v>
      </c>
      <c r="H2943">
        <v>2228776091</v>
      </c>
      <c r="I2943">
        <v>2062694258</v>
      </c>
      <c r="J2943">
        <v>1998261573</v>
      </c>
      <c r="K2943">
        <v>1910101104</v>
      </c>
      <c r="L2943">
        <v>1879863967</v>
      </c>
      <c r="M2943">
        <v>1855945555</v>
      </c>
      <c r="N2943">
        <v>1792483107</v>
      </c>
      <c r="O2943">
        <v>1714562815</v>
      </c>
      <c r="P2943">
        <v>1276</v>
      </c>
      <c r="Q2943" t="s">
        <v>6224</v>
      </c>
    </row>
    <row r="2944" spans="1:17" x14ac:dyDescent="0.3">
      <c r="A2944" t="s">
        <v>4729</v>
      </c>
      <c r="B2944" t="str">
        <f>"002217"</f>
        <v>002217</v>
      </c>
      <c r="C2944" t="s">
        <v>6225</v>
      </c>
      <c r="D2944" t="s">
        <v>1117</v>
      </c>
      <c r="F2944">
        <v>8945161216</v>
      </c>
      <c r="G2944">
        <v>8863396106</v>
      </c>
      <c r="H2944">
        <v>12191262718</v>
      </c>
      <c r="I2944">
        <v>11246241028</v>
      </c>
      <c r="J2944">
        <v>10045183925</v>
      </c>
      <c r="K2944">
        <v>8991769549</v>
      </c>
      <c r="L2944">
        <v>5530649604</v>
      </c>
      <c r="M2944">
        <v>1820232533</v>
      </c>
      <c r="N2944">
        <v>821726511</v>
      </c>
      <c r="O2944">
        <v>888176936</v>
      </c>
      <c r="P2944">
        <v>490</v>
      </c>
      <c r="Q2944" t="s">
        <v>6226</v>
      </c>
    </row>
    <row r="2945" spans="1:17" x14ac:dyDescent="0.3">
      <c r="A2945" t="s">
        <v>4729</v>
      </c>
      <c r="B2945" t="str">
        <f>"002218"</f>
        <v>002218</v>
      </c>
      <c r="C2945" t="s">
        <v>6227</v>
      </c>
      <c r="D2945" t="s">
        <v>478</v>
      </c>
      <c r="F2945">
        <v>4231445222</v>
      </c>
      <c r="G2945">
        <v>3093778938</v>
      </c>
      <c r="H2945">
        <v>2961358295</v>
      </c>
      <c r="I2945">
        <v>2883271915</v>
      </c>
      <c r="J2945">
        <v>2833562195</v>
      </c>
      <c r="K2945">
        <v>2703829862</v>
      </c>
      <c r="L2945">
        <v>2607414350</v>
      </c>
      <c r="M2945">
        <v>1403324751</v>
      </c>
      <c r="N2945">
        <v>1439550570</v>
      </c>
      <c r="O2945">
        <v>1427075450</v>
      </c>
      <c r="P2945">
        <v>218</v>
      </c>
      <c r="Q2945" t="s">
        <v>6228</v>
      </c>
    </row>
    <row r="2946" spans="1:17" x14ac:dyDescent="0.3">
      <c r="A2946" t="s">
        <v>4729</v>
      </c>
      <c r="B2946" t="str">
        <f>"002219"</f>
        <v>002219</v>
      </c>
      <c r="C2946" t="s">
        <v>6229</v>
      </c>
      <c r="D2946" t="s">
        <v>1147</v>
      </c>
      <c r="F2946">
        <v>1553073229</v>
      </c>
      <c r="G2946">
        <v>133846161</v>
      </c>
      <c r="H2946">
        <v>194799540</v>
      </c>
      <c r="I2946">
        <v>2711131540</v>
      </c>
      <c r="J2946">
        <v>4188543948</v>
      </c>
      <c r="K2946">
        <v>4084959354</v>
      </c>
      <c r="L2946">
        <v>3726981221</v>
      </c>
      <c r="M2946">
        <v>1021172468</v>
      </c>
      <c r="N2946">
        <v>803132200</v>
      </c>
      <c r="O2946">
        <v>544478072</v>
      </c>
      <c r="P2946">
        <v>94</v>
      </c>
      <c r="Q2946" t="s">
        <v>6230</v>
      </c>
    </row>
    <row r="2947" spans="1:17" x14ac:dyDescent="0.3">
      <c r="A2947" t="s">
        <v>4729</v>
      </c>
      <c r="B2947" t="str">
        <f>"002220"</f>
        <v>002220</v>
      </c>
      <c r="C2947" t="s">
        <v>6231</v>
      </c>
      <c r="H2947">
        <v>677184417</v>
      </c>
      <c r="I2947">
        <v>2581900922</v>
      </c>
      <c r="J2947">
        <v>2755844944</v>
      </c>
      <c r="K2947">
        <v>2654331215</v>
      </c>
      <c r="L2947">
        <v>1905814886</v>
      </c>
      <c r="M2947">
        <v>1764669418</v>
      </c>
      <c r="N2947">
        <v>1633122921</v>
      </c>
      <c r="O2947">
        <v>1506340375</v>
      </c>
      <c r="P2947">
        <v>51</v>
      </c>
      <c r="Q2947" t="s">
        <v>6232</v>
      </c>
    </row>
    <row r="2948" spans="1:17" x14ac:dyDescent="0.3">
      <c r="A2948" t="s">
        <v>4729</v>
      </c>
      <c r="B2948" t="str">
        <f>"002221"</f>
        <v>002221</v>
      </c>
      <c r="C2948" t="s">
        <v>6233</v>
      </c>
      <c r="D2948" t="s">
        <v>1617</v>
      </c>
      <c r="F2948">
        <v>10842000107</v>
      </c>
      <c r="G2948">
        <v>10188491457</v>
      </c>
      <c r="H2948">
        <v>9326855707</v>
      </c>
      <c r="I2948">
        <v>8388557389</v>
      </c>
      <c r="J2948">
        <v>7623527826</v>
      </c>
      <c r="K2948">
        <v>6626247210</v>
      </c>
      <c r="L2948">
        <v>3229537917</v>
      </c>
      <c r="M2948">
        <v>2880865172</v>
      </c>
      <c r="N2948">
        <v>1541228364</v>
      </c>
      <c r="O2948">
        <v>1399347452</v>
      </c>
      <c r="P2948">
        <v>390</v>
      </c>
      <c r="Q2948" t="s">
        <v>6234</v>
      </c>
    </row>
    <row r="2949" spans="1:17" x14ac:dyDescent="0.3">
      <c r="A2949" t="s">
        <v>4729</v>
      </c>
      <c r="B2949" t="str">
        <f>"002222"</f>
        <v>002222</v>
      </c>
      <c r="C2949" t="s">
        <v>6235</v>
      </c>
      <c r="D2949" t="s">
        <v>164</v>
      </c>
      <c r="F2949">
        <v>1219766234</v>
      </c>
      <c r="G2949">
        <v>1069699800</v>
      </c>
      <c r="H2949">
        <v>969182183</v>
      </c>
      <c r="I2949">
        <v>877661493</v>
      </c>
      <c r="J2949">
        <v>770318295</v>
      </c>
      <c r="K2949">
        <v>676653536</v>
      </c>
      <c r="L2949">
        <v>620573597</v>
      </c>
      <c r="M2949">
        <v>584832312</v>
      </c>
      <c r="N2949">
        <v>628687296</v>
      </c>
      <c r="O2949">
        <v>617951793</v>
      </c>
      <c r="P2949">
        <v>517</v>
      </c>
      <c r="Q2949" t="s">
        <v>6236</v>
      </c>
    </row>
    <row r="2950" spans="1:17" x14ac:dyDescent="0.3">
      <c r="A2950" t="s">
        <v>4729</v>
      </c>
      <c r="B2950" t="str">
        <f>"002223"</f>
        <v>002223</v>
      </c>
      <c r="C2950" t="s">
        <v>6237</v>
      </c>
      <c r="D2950" t="s">
        <v>122</v>
      </c>
      <c r="F2950">
        <v>8272114352</v>
      </c>
      <c r="G2950">
        <v>7437320072</v>
      </c>
      <c r="H2950">
        <v>6070575009</v>
      </c>
      <c r="I2950">
        <v>5468172278</v>
      </c>
      <c r="J2950">
        <v>5240947633</v>
      </c>
      <c r="K2950">
        <v>4909615116</v>
      </c>
      <c r="L2950">
        <v>2115872296</v>
      </c>
      <c r="M2950">
        <v>1750240769</v>
      </c>
      <c r="N2950">
        <v>1506396836</v>
      </c>
      <c r="O2950">
        <v>1301504015</v>
      </c>
      <c r="P2950">
        <v>17494</v>
      </c>
      <c r="Q2950" t="s">
        <v>6238</v>
      </c>
    </row>
    <row r="2951" spans="1:17" x14ac:dyDescent="0.3">
      <c r="A2951" t="s">
        <v>4729</v>
      </c>
      <c r="B2951" t="str">
        <f>"002224"</f>
        <v>002224</v>
      </c>
      <c r="C2951" t="s">
        <v>6239</v>
      </c>
      <c r="D2951" t="s">
        <v>2469</v>
      </c>
      <c r="F2951">
        <v>2389991667</v>
      </c>
      <c r="G2951">
        <v>2363602440</v>
      </c>
      <c r="H2951">
        <v>2189537333</v>
      </c>
      <c r="I2951">
        <v>1741486829</v>
      </c>
      <c r="J2951">
        <v>1688455963</v>
      </c>
      <c r="K2951">
        <v>1592692147</v>
      </c>
      <c r="L2951">
        <v>1426457882</v>
      </c>
      <c r="M2951">
        <v>1225407286</v>
      </c>
      <c r="N2951">
        <v>1055495140</v>
      </c>
      <c r="O2951">
        <v>580383363</v>
      </c>
      <c r="P2951">
        <v>186</v>
      </c>
      <c r="Q2951" t="s">
        <v>6240</v>
      </c>
    </row>
    <row r="2952" spans="1:17" x14ac:dyDescent="0.3">
      <c r="A2952" t="s">
        <v>4729</v>
      </c>
      <c r="B2952" t="str">
        <f>"002225"</f>
        <v>002225</v>
      </c>
      <c r="C2952" t="s">
        <v>6241</v>
      </c>
      <c r="D2952" t="s">
        <v>5922</v>
      </c>
      <c r="F2952">
        <v>2985146894</v>
      </c>
      <c r="G2952">
        <v>2963946536</v>
      </c>
      <c r="H2952">
        <v>2831788338</v>
      </c>
      <c r="I2952">
        <v>2587008109</v>
      </c>
      <c r="J2952">
        <v>2359884288</v>
      </c>
      <c r="K2952">
        <v>2352492600</v>
      </c>
      <c r="L2952">
        <v>2567882905</v>
      </c>
      <c r="M2952">
        <v>2382393201</v>
      </c>
      <c r="N2952">
        <v>1858752737</v>
      </c>
      <c r="O2952">
        <v>1320138257</v>
      </c>
      <c r="P2952">
        <v>142</v>
      </c>
      <c r="Q2952" t="s">
        <v>6242</v>
      </c>
    </row>
    <row r="2953" spans="1:17" x14ac:dyDescent="0.3">
      <c r="A2953" t="s">
        <v>4729</v>
      </c>
      <c r="B2953" t="str">
        <f>"002226"</f>
        <v>002226</v>
      </c>
      <c r="C2953" t="s">
        <v>6243</v>
      </c>
      <c r="D2953" t="s">
        <v>2736</v>
      </c>
      <c r="F2953">
        <v>8542265327</v>
      </c>
      <c r="G2953">
        <v>6337941327</v>
      </c>
      <c r="H2953">
        <v>5980278700</v>
      </c>
      <c r="I2953">
        <v>5585924926</v>
      </c>
      <c r="J2953">
        <v>3560614398</v>
      </c>
      <c r="K2953">
        <v>3684763506</v>
      </c>
      <c r="L2953">
        <v>3141944067</v>
      </c>
      <c r="M2953">
        <v>2543474957</v>
      </c>
      <c r="N2953">
        <v>2543984619</v>
      </c>
      <c r="O2953">
        <v>2381320533</v>
      </c>
      <c r="P2953">
        <v>172</v>
      </c>
      <c r="Q2953" t="s">
        <v>6244</v>
      </c>
    </row>
    <row r="2954" spans="1:17" x14ac:dyDescent="0.3">
      <c r="A2954" t="s">
        <v>4729</v>
      </c>
      <c r="B2954" t="str">
        <f>"002227"</f>
        <v>002227</v>
      </c>
      <c r="C2954" t="s">
        <v>6245</v>
      </c>
      <c r="D2954" t="s">
        <v>470</v>
      </c>
      <c r="F2954">
        <v>1140214922</v>
      </c>
      <c r="G2954">
        <v>820281726</v>
      </c>
      <c r="H2954">
        <v>818541900</v>
      </c>
      <c r="I2954">
        <v>812354534</v>
      </c>
      <c r="J2954">
        <v>806467089</v>
      </c>
      <c r="K2954">
        <v>794021602</v>
      </c>
      <c r="L2954">
        <v>776578914</v>
      </c>
      <c r="M2954">
        <v>762489498</v>
      </c>
      <c r="N2954">
        <v>669626368</v>
      </c>
      <c r="O2954">
        <v>619852851</v>
      </c>
      <c r="P2954">
        <v>162</v>
      </c>
      <c r="Q2954" t="s">
        <v>6246</v>
      </c>
    </row>
    <row r="2955" spans="1:17" x14ac:dyDescent="0.3">
      <c r="A2955" t="s">
        <v>4729</v>
      </c>
      <c r="B2955" t="str">
        <f>"002228"</f>
        <v>002228</v>
      </c>
      <c r="C2955" t="s">
        <v>6247</v>
      </c>
      <c r="D2955" t="s">
        <v>2165</v>
      </c>
      <c r="F2955">
        <v>3358508499</v>
      </c>
      <c r="G2955">
        <v>3411600684</v>
      </c>
      <c r="H2955">
        <v>2947175120</v>
      </c>
      <c r="I2955">
        <v>2737338768</v>
      </c>
      <c r="J2955">
        <v>2269161488</v>
      </c>
      <c r="K2955">
        <v>1631618786</v>
      </c>
      <c r="L2955">
        <v>1568130426</v>
      </c>
      <c r="M2955">
        <v>1060310796</v>
      </c>
      <c r="N2955">
        <v>957697715</v>
      </c>
      <c r="O2955">
        <v>897794041</v>
      </c>
      <c r="P2955">
        <v>290</v>
      </c>
      <c r="Q2955" t="s">
        <v>6248</v>
      </c>
    </row>
    <row r="2956" spans="1:17" x14ac:dyDescent="0.3">
      <c r="A2956" t="s">
        <v>4729</v>
      </c>
      <c r="B2956" t="str">
        <f>"002229"</f>
        <v>002229</v>
      </c>
      <c r="C2956" t="s">
        <v>6249</v>
      </c>
      <c r="D2956" t="s">
        <v>1694</v>
      </c>
      <c r="F2956">
        <v>1687172644</v>
      </c>
      <c r="G2956">
        <v>1679893122</v>
      </c>
      <c r="H2956">
        <v>1687805977</v>
      </c>
      <c r="I2956">
        <v>1605849097</v>
      </c>
      <c r="J2956">
        <v>1638832464</v>
      </c>
      <c r="K2956">
        <v>1647337997</v>
      </c>
      <c r="L2956">
        <v>871056933</v>
      </c>
      <c r="M2956">
        <v>861883412</v>
      </c>
      <c r="N2956">
        <v>844646897</v>
      </c>
      <c r="O2956">
        <v>813612317</v>
      </c>
      <c r="P2956">
        <v>118</v>
      </c>
      <c r="Q2956" t="s">
        <v>6250</v>
      </c>
    </row>
    <row r="2957" spans="1:17" x14ac:dyDescent="0.3">
      <c r="A2957" t="s">
        <v>4729</v>
      </c>
      <c r="B2957" t="str">
        <f>"002230"</f>
        <v>002230</v>
      </c>
      <c r="C2957" t="s">
        <v>6251</v>
      </c>
      <c r="D2957" t="s">
        <v>1189</v>
      </c>
      <c r="F2957">
        <v>16780723703</v>
      </c>
      <c r="G2957">
        <v>12668005447</v>
      </c>
      <c r="H2957">
        <v>11417958785</v>
      </c>
      <c r="I2957">
        <v>7971104770</v>
      </c>
      <c r="J2957">
        <v>7717724920</v>
      </c>
      <c r="K2957">
        <v>7061438698</v>
      </c>
      <c r="L2957">
        <v>6267734453</v>
      </c>
      <c r="M2957">
        <v>3706627646</v>
      </c>
      <c r="N2957">
        <v>3310556959</v>
      </c>
      <c r="O2957">
        <v>1344511263</v>
      </c>
      <c r="P2957">
        <v>3020</v>
      </c>
      <c r="Q2957" t="s">
        <v>6252</v>
      </c>
    </row>
    <row r="2958" spans="1:17" x14ac:dyDescent="0.3">
      <c r="A2958" t="s">
        <v>4729</v>
      </c>
      <c r="B2958" t="str">
        <f>"002231"</f>
        <v>002231</v>
      </c>
      <c r="C2958" t="s">
        <v>6253</v>
      </c>
      <c r="D2958" t="s">
        <v>1136</v>
      </c>
      <c r="F2958">
        <v>403022903</v>
      </c>
      <c r="G2958">
        <v>430789528</v>
      </c>
      <c r="H2958">
        <v>598185053</v>
      </c>
      <c r="I2958">
        <v>550891862</v>
      </c>
      <c r="J2958">
        <v>687321209</v>
      </c>
      <c r="K2958">
        <v>676926503</v>
      </c>
      <c r="L2958">
        <v>656933818</v>
      </c>
      <c r="M2958">
        <v>651637319</v>
      </c>
      <c r="N2958">
        <v>643517218</v>
      </c>
      <c r="O2958">
        <v>691611633</v>
      </c>
      <c r="P2958">
        <v>155</v>
      </c>
      <c r="Q2958" t="s">
        <v>6254</v>
      </c>
    </row>
    <row r="2959" spans="1:17" x14ac:dyDescent="0.3">
      <c r="A2959" t="s">
        <v>4729</v>
      </c>
      <c r="B2959" t="str">
        <f>"002232"</f>
        <v>002232</v>
      </c>
      <c r="C2959" t="s">
        <v>6255</v>
      </c>
      <c r="D2959" t="s">
        <v>316</v>
      </c>
      <c r="F2959">
        <v>1329083852</v>
      </c>
      <c r="G2959">
        <v>1300613166</v>
      </c>
      <c r="H2959">
        <v>1180832380</v>
      </c>
      <c r="I2959">
        <v>1115259641</v>
      </c>
      <c r="J2959">
        <v>1063519663</v>
      </c>
      <c r="K2959">
        <v>1051195185</v>
      </c>
      <c r="L2959">
        <v>1005873815</v>
      </c>
      <c r="M2959">
        <v>1003515196</v>
      </c>
      <c r="N2959">
        <v>996611114</v>
      </c>
      <c r="O2959">
        <v>993355547</v>
      </c>
      <c r="P2959">
        <v>247</v>
      </c>
      <c r="Q2959" t="s">
        <v>6256</v>
      </c>
    </row>
    <row r="2960" spans="1:17" x14ac:dyDescent="0.3">
      <c r="A2960" t="s">
        <v>4729</v>
      </c>
      <c r="B2960" t="str">
        <f>"002233"</f>
        <v>002233</v>
      </c>
      <c r="C2960" t="s">
        <v>6257</v>
      </c>
      <c r="D2960" t="s">
        <v>731</v>
      </c>
      <c r="F2960">
        <v>11719607262</v>
      </c>
      <c r="G2960">
        <v>10446062876</v>
      </c>
      <c r="H2960">
        <v>9782622541</v>
      </c>
      <c r="I2960">
        <v>8975671062</v>
      </c>
      <c r="J2960">
        <v>8180587827</v>
      </c>
      <c r="K2960">
        <v>4677645532</v>
      </c>
      <c r="L2960">
        <v>4372044383</v>
      </c>
      <c r="M2960">
        <v>4233143454</v>
      </c>
      <c r="N2960">
        <v>3777022405</v>
      </c>
      <c r="O2960">
        <v>3440469616</v>
      </c>
      <c r="P2960">
        <v>1388</v>
      </c>
      <c r="Q2960" t="s">
        <v>6258</v>
      </c>
    </row>
    <row r="2961" spans="1:17" x14ac:dyDescent="0.3">
      <c r="A2961" t="s">
        <v>4729</v>
      </c>
      <c r="B2961" t="str">
        <f>"002234"</f>
        <v>002234</v>
      </c>
      <c r="C2961" t="s">
        <v>6259</v>
      </c>
      <c r="D2961" t="s">
        <v>6260</v>
      </c>
      <c r="F2961">
        <v>3125726673</v>
      </c>
      <c r="G2961">
        <v>2622335066</v>
      </c>
      <c r="H2961">
        <v>2736887316</v>
      </c>
      <c r="I2961">
        <v>1120554989</v>
      </c>
      <c r="J2961">
        <v>739902376</v>
      </c>
      <c r="K2961">
        <v>1030453361</v>
      </c>
      <c r="L2961">
        <v>876663520</v>
      </c>
      <c r="M2961">
        <v>1192190833</v>
      </c>
      <c r="N2961">
        <v>1129342265</v>
      </c>
      <c r="O2961">
        <v>1372485531</v>
      </c>
      <c r="P2961">
        <v>577</v>
      </c>
      <c r="Q2961" t="s">
        <v>6261</v>
      </c>
    </row>
    <row r="2962" spans="1:17" x14ac:dyDescent="0.3">
      <c r="A2962" t="s">
        <v>4729</v>
      </c>
      <c r="B2962" t="str">
        <f>"002235"</f>
        <v>002235</v>
      </c>
      <c r="C2962" t="s">
        <v>6262</v>
      </c>
      <c r="D2962" t="s">
        <v>244</v>
      </c>
      <c r="F2962">
        <v>1222711842</v>
      </c>
      <c r="G2962">
        <v>1229505195</v>
      </c>
      <c r="H2962">
        <v>1856266555</v>
      </c>
      <c r="I2962">
        <v>2186643872</v>
      </c>
      <c r="J2962">
        <v>2217695298</v>
      </c>
      <c r="K2962">
        <v>2373922960</v>
      </c>
      <c r="L2962">
        <v>363910660</v>
      </c>
      <c r="M2962">
        <v>353028770</v>
      </c>
      <c r="N2962">
        <v>445074442</v>
      </c>
      <c r="O2962">
        <v>484691778</v>
      </c>
      <c r="P2962">
        <v>142</v>
      </c>
      <c r="Q2962" t="s">
        <v>6263</v>
      </c>
    </row>
    <row r="2963" spans="1:17" x14ac:dyDescent="0.3">
      <c r="A2963" t="s">
        <v>4729</v>
      </c>
      <c r="B2963" t="str">
        <f>"002236"</f>
        <v>002236</v>
      </c>
      <c r="C2963" t="s">
        <v>6264</v>
      </c>
      <c r="D2963" t="s">
        <v>2980</v>
      </c>
      <c r="F2963">
        <v>23617602514</v>
      </c>
      <c r="G2963">
        <v>19773030426</v>
      </c>
      <c r="H2963">
        <v>15643007028</v>
      </c>
      <c r="I2963">
        <v>12618758918</v>
      </c>
      <c r="J2963">
        <v>10466434375</v>
      </c>
      <c r="K2963">
        <v>8237011400</v>
      </c>
      <c r="L2963">
        <v>6492483568</v>
      </c>
      <c r="M2963">
        <v>5202660851</v>
      </c>
      <c r="N2963">
        <v>4168588069</v>
      </c>
      <c r="O2963">
        <v>2142142220</v>
      </c>
      <c r="P2963">
        <v>32899</v>
      </c>
      <c r="Q2963" t="s">
        <v>6265</v>
      </c>
    </row>
    <row r="2964" spans="1:17" x14ac:dyDescent="0.3">
      <c r="A2964" t="s">
        <v>4729</v>
      </c>
      <c r="B2964" t="str">
        <f>"002237"</f>
        <v>002237</v>
      </c>
      <c r="C2964" t="s">
        <v>6266</v>
      </c>
      <c r="D2964" t="s">
        <v>701</v>
      </c>
      <c r="F2964">
        <v>7811709218</v>
      </c>
      <c r="G2964">
        <v>7490782754</v>
      </c>
      <c r="H2964">
        <v>4658175632</v>
      </c>
      <c r="I2964">
        <v>4356631771</v>
      </c>
      <c r="J2964">
        <v>4207463171</v>
      </c>
      <c r="K2964">
        <v>3815761428</v>
      </c>
      <c r="L2964">
        <v>3659221880</v>
      </c>
      <c r="M2964">
        <v>3556998470</v>
      </c>
      <c r="N2964">
        <v>3348768226</v>
      </c>
      <c r="O2964">
        <v>3100358042</v>
      </c>
      <c r="P2964">
        <v>193</v>
      </c>
      <c r="Q2964" t="s">
        <v>6267</v>
      </c>
    </row>
    <row r="2965" spans="1:17" x14ac:dyDescent="0.3">
      <c r="A2965" t="s">
        <v>4729</v>
      </c>
      <c r="B2965" t="str">
        <f>"002238"</f>
        <v>002238</v>
      </c>
      <c r="C2965" t="s">
        <v>6268</v>
      </c>
      <c r="D2965" t="s">
        <v>95</v>
      </c>
      <c r="F2965">
        <v>2273807855</v>
      </c>
      <c r="G2965">
        <v>2212030419</v>
      </c>
      <c r="H2965">
        <v>2649217587</v>
      </c>
      <c r="I2965">
        <v>2772986687</v>
      </c>
      <c r="J2965">
        <v>2730101621</v>
      </c>
      <c r="K2965">
        <v>2691715142</v>
      </c>
      <c r="L2965">
        <v>2491973253</v>
      </c>
      <c r="M2965">
        <v>2368180387</v>
      </c>
      <c r="N2965">
        <v>1567725792</v>
      </c>
      <c r="O2965">
        <v>1455841259</v>
      </c>
      <c r="P2965">
        <v>205</v>
      </c>
      <c r="Q2965" t="s">
        <v>6269</v>
      </c>
    </row>
    <row r="2966" spans="1:17" x14ac:dyDescent="0.3">
      <c r="A2966" t="s">
        <v>4729</v>
      </c>
      <c r="B2966" t="str">
        <f>"002239"</f>
        <v>002239</v>
      </c>
      <c r="C2966" t="s">
        <v>6270</v>
      </c>
      <c r="D2966" t="s">
        <v>1415</v>
      </c>
      <c r="F2966">
        <v>5245247960</v>
      </c>
      <c r="G2966">
        <v>4962269688</v>
      </c>
      <c r="H2966">
        <v>5292401202</v>
      </c>
      <c r="I2966">
        <v>5176635094</v>
      </c>
      <c r="J2966">
        <v>5187617449</v>
      </c>
      <c r="K2966">
        <v>4889241295</v>
      </c>
      <c r="L2966">
        <v>3826158426</v>
      </c>
      <c r="M2966">
        <v>630365557</v>
      </c>
      <c r="N2966">
        <v>606243685</v>
      </c>
      <c r="O2966">
        <v>541418013</v>
      </c>
      <c r="P2966">
        <v>242</v>
      </c>
      <c r="Q2966" t="s">
        <v>6271</v>
      </c>
    </row>
    <row r="2967" spans="1:17" x14ac:dyDescent="0.3">
      <c r="A2967" t="s">
        <v>4729</v>
      </c>
      <c r="B2967" t="str">
        <f>"002240"</f>
        <v>002240</v>
      </c>
      <c r="C2967" t="s">
        <v>6272</v>
      </c>
      <c r="D2967" t="s">
        <v>5371</v>
      </c>
      <c r="F2967">
        <v>5097814123</v>
      </c>
      <c r="G2967">
        <v>3217783522</v>
      </c>
      <c r="H2967">
        <v>2537948171</v>
      </c>
      <c r="I2967">
        <v>2094844987</v>
      </c>
      <c r="J2967">
        <v>2038783975</v>
      </c>
      <c r="K2967">
        <v>1416005905</v>
      </c>
      <c r="L2967">
        <v>1385574255</v>
      </c>
      <c r="M2967">
        <v>1580402822</v>
      </c>
      <c r="N2967">
        <v>1568992783</v>
      </c>
      <c r="O2967">
        <v>1538700868</v>
      </c>
      <c r="P2967">
        <v>389</v>
      </c>
      <c r="Q2967" t="s">
        <v>6273</v>
      </c>
    </row>
    <row r="2968" spans="1:17" x14ac:dyDescent="0.3">
      <c r="A2968" t="s">
        <v>4729</v>
      </c>
      <c r="B2968" t="str">
        <f>"002241"</f>
        <v>002241</v>
      </c>
      <c r="C2968" t="s">
        <v>6274</v>
      </c>
      <c r="D2968" t="s">
        <v>313</v>
      </c>
      <c r="F2968">
        <v>27327747994</v>
      </c>
      <c r="G2968">
        <v>19335561421</v>
      </c>
      <c r="H2968">
        <v>16107163640</v>
      </c>
      <c r="I2968">
        <v>15201277803</v>
      </c>
      <c r="J2968">
        <v>14894652290</v>
      </c>
      <c r="K2968">
        <v>10435723391</v>
      </c>
      <c r="L2968">
        <v>8994874498</v>
      </c>
      <c r="M2968">
        <v>8330937686</v>
      </c>
      <c r="N2968">
        <v>6334726806</v>
      </c>
      <c r="O2968">
        <v>5157129464</v>
      </c>
      <c r="P2968">
        <v>3528</v>
      </c>
      <c r="Q2968" t="s">
        <v>6275</v>
      </c>
    </row>
    <row r="2969" spans="1:17" x14ac:dyDescent="0.3">
      <c r="A2969" t="s">
        <v>4729</v>
      </c>
      <c r="B2969" t="str">
        <f>"002242"</f>
        <v>002242</v>
      </c>
      <c r="C2969" t="s">
        <v>6276</v>
      </c>
      <c r="D2969" t="s">
        <v>5799</v>
      </c>
      <c r="F2969">
        <v>4263662881</v>
      </c>
      <c r="G2969">
        <v>4283761519</v>
      </c>
      <c r="H2969">
        <v>3753065661</v>
      </c>
      <c r="I2969">
        <v>3810291396</v>
      </c>
      <c r="J2969">
        <v>3574555422</v>
      </c>
      <c r="K2969">
        <v>3444009901</v>
      </c>
      <c r="L2969">
        <v>3275381428</v>
      </c>
      <c r="M2969">
        <v>3097379866</v>
      </c>
      <c r="N2969">
        <v>2944043042</v>
      </c>
      <c r="O2969">
        <v>2854811500</v>
      </c>
      <c r="P2969">
        <v>54902</v>
      </c>
      <c r="Q2969" t="s">
        <v>6277</v>
      </c>
    </row>
    <row r="2970" spans="1:17" x14ac:dyDescent="0.3">
      <c r="A2970" t="s">
        <v>4729</v>
      </c>
      <c r="B2970" t="str">
        <f>"002243"</f>
        <v>002243</v>
      </c>
      <c r="C2970" t="s">
        <v>6278</v>
      </c>
      <c r="D2970" t="s">
        <v>5979</v>
      </c>
      <c r="F2970">
        <v>6425681947</v>
      </c>
      <c r="G2970">
        <v>5847603391</v>
      </c>
      <c r="H2970">
        <v>4867149874</v>
      </c>
      <c r="I2970">
        <v>1552768158</v>
      </c>
      <c r="J2970">
        <v>1496442858</v>
      </c>
      <c r="K2970">
        <v>1472446958</v>
      </c>
      <c r="L2970">
        <v>1446168466</v>
      </c>
      <c r="M2970">
        <v>1438533051</v>
      </c>
      <c r="N2970">
        <v>1485841300</v>
      </c>
      <c r="O2970">
        <v>742249321</v>
      </c>
      <c r="P2970">
        <v>155</v>
      </c>
      <c r="Q2970" t="s">
        <v>6279</v>
      </c>
    </row>
    <row r="2971" spans="1:17" x14ac:dyDescent="0.3">
      <c r="A2971" t="s">
        <v>4729</v>
      </c>
      <c r="B2971" t="str">
        <f>"002244"</f>
        <v>002244</v>
      </c>
      <c r="C2971" t="s">
        <v>6280</v>
      </c>
      <c r="D2971" t="s">
        <v>104</v>
      </c>
      <c r="F2971">
        <v>20579304131</v>
      </c>
      <c r="G2971">
        <v>18369349966</v>
      </c>
      <c r="H2971">
        <v>16567369193</v>
      </c>
      <c r="I2971">
        <v>15261084456</v>
      </c>
      <c r="J2971">
        <v>14278692174</v>
      </c>
      <c r="K2971">
        <v>12794540594</v>
      </c>
      <c r="L2971">
        <v>8764790751</v>
      </c>
      <c r="M2971">
        <v>7960758789</v>
      </c>
      <c r="N2971">
        <v>7280434067</v>
      </c>
      <c r="O2971">
        <v>6000995364</v>
      </c>
      <c r="P2971">
        <v>403</v>
      </c>
      <c r="Q2971" t="s">
        <v>6281</v>
      </c>
    </row>
    <row r="2972" spans="1:17" x14ac:dyDescent="0.3">
      <c r="A2972" t="s">
        <v>4729</v>
      </c>
      <c r="B2972" t="str">
        <f>"002245"</f>
        <v>002245</v>
      </c>
      <c r="C2972" t="s">
        <v>6282</v>
      </c>
      <c r="D2972" t="s">
        <v>359</v>
      </c>
      <c r="F2972">
        <v>3568144418</v>
      </c>
      <c r="G2972">
        <v>2554493931</v>
      </c>
      <c r="H2972">
        <v>2041468611</v>
      </c>
      <c r="I2972">
        <v>2646993941</v>
      </c>
      <c r="J2972">
        <v>2407489406</v>
      </c>
      <c r="K2972">
        <v>1851185195</v>
      </c>
      <c r="L2972">
        <v>1629122209</v>
      </c>
      <c r="M2972">
        <v>1404216715</v>
      </c>
      <c r="N2972">
        <v>756718876</v>
      </c>
      <c r="O2972">
        <v>676311956</v>
      </c>
      <c r="P2972">
        <v>377</v>
      </c>
      <c r="Q2972" t="s">
        <v>6283</v>
      </c>
    </row>
    <row r="2973" spans="1:17" x14ac:dyDescent="0.3">
      <c r="A2973" t="s">
        <v>4729</v>
      </c>
      <c r="B2973" t="str">
        <f>"002246"</f>
        <v>002246</v>
      </c>
      <c r="C2973" t="s">
        <v>6284</v>
      </c>
      <c r="D2973" t="s">
        <v>2736</v>
      </c>
      <c r="F2973">
        <v>2723937480</v>
      </c>
      <c r="G2973">
        <v>2626345371</v>
      </c>
      <c r="H2973">
        <v>2513047531</v>
      </c>
      <c r="I2973">
        <v>2407982883</v>
      </c>
      <c r="J2973">
        <v>2251178261</v>
      </c>
      <c r="K2973">
        <v>1228156930</v>
      </c>
      <c r="L2973">
        <v>1151344018</v>
      </c>
      <c r="M2973">
        <v>1109667863</v>
      </c>
      <c r="N2973">
        <v>1035642463</v>
      </c>
      <c r="O2973">
        <v>583924925</v>
      </c>
      <c r="P2973">
        <v>117</v>
      </c>
      <c r="Q2973" t="s">
        <v>6285</v>
      </c>
    </row>
    <row r="2974" spans="1:17" x14ac:dyDescent="0.3">
      <c r="A2974" t="s">
        <v>4729</v>
      </c>
      <c r="B2974" t="str">
        <f>"002247"</f>
        <v>002247</v>
      </c>
      <c r="C2974" t="s">
        <v>6286</v>
      </c>
      <c r="D2974" t="s">
        <v>207</v>
      </c>
      <c r="F2974">
        <v>688046367</v>
      </c>
      <c r="G2974">
        <v>607381385</v>
      </c>
      <c r="H2974">
        <v>441194942</v>
      </c>
      <c r="I2974">
        <v>2024435430</v>
      </c>
      <c r="J2974">
        <v>4981028012</v>
      </c>
      <c r="K2974">
        <v>4584632586</v>
      </c>
      <c r="L2974">
        <v>1060249380</v>
      </c>
      <c r="M2974">
        <v>987268547</v>
      </c>
      <c r="N2974">
        <v>895905139</v>
      </c>
      <c r="O2974">
        <v>512199266</v>
      </c>
      <c r="P2974">
        <v>90</v>
      </c>
      <c r="Q2974" t="s">
        <v>6287</v>
      </c>
    </row>
    <row r="2975" spans="1:17" x14ac:dyDescent="0.3">
      <c r="A2975" t="s">
        <v>4729</v>
      </c>
      <c r="B2975" t="str">
        <f>"002248"</f>
        <v>002248</v>
      </c>
      <c r="C2975" t="s">
        <v>6288</v>
      </c>
      <c r="D2975" t="s">
        <v>2321</v>
      </c>
      <c r="F2975">
        <v>63735493</v>
      </c>
      <c r="G2975">
        <v>48417479</v>
      </c>
      <c r="H2975">
        <v>131704138</v>
      </c>
      <c r="I2975">
        <v>104206729</v>
      </c>
      <c r="J2975">
        <v>680553546</v>
      </c>
      <c r="K2975">
        <v>641868575</v>
      </c>
      <c r="L2975">
        <v>873197765</v>
      </c>
      <c r="M2975">
        <v>1082169625</v>
      </c>
      <c r="N2975">
        <v>750617935</v>
      </c>
      <c r="O2975">
        <v>922206840</v>
      </c>
      <c r="P2975">
        <v>109</v>
      </c>
      <c r="Q2975" t="s">
        <v>6289</v>
      </c>
    </row>
    <row r="2976" spans="1:17" x14ac:dyDescent="0.3">
      <c r="A2976" t="s">
        <v>4729</v>
      </c>
      <c r="B2976" t="str">
        <f>"002249"</f>
        <v>002249</v>
      </c>
      <c r="C2976" t="s">
        <v>6290</v>
      </c>
      <c r="D2976" t="s">
        <v>1171</v>
      </c>
      <c r="F2976">
        <v>8073436328</v>
      </c>
      <c r="G2976">
        <v>8517623206</v>
      </c>
      <c r="H2976">
        <v>7108716075</v>
      </c>
      <c r="I2976">
        <v>6321205641</v>
      </c>
      <c r="J2976">
        <v>9133016593</v>
      </c>
      <c r="K2976">
        <v>8565318154</v>
      </c>
      <c r="L2976">
        <v>3581963622</v>
      </c>
      <c r="M2976">
        <v>3579100677</v>
      </c>
      <c r="N2976">
        <v>2619410845</v>
      </c>
      <c r="O2976">
        <v>2483921395</v>
      </c>
      <c r="P2976">
        <v>338</v>
      </c>
      <c r="Q2976" t="s">
        <v>6291</v>
      </c>
    </row>
    <row r="2977" spans="1:17" x14ac:dyDescent="0.3">
      <c r="A2977" t="s">
        <v>4729</v>
      </c>
      <c r="B2977" t="str">
        <f>"002250"</f>
        <v>002250</v>
      </c>
      <c r="C2977" t="s">
        <v>6292</v>
      </c>
      <c r="D2977" t="s">
        <v>853</v>
      </c>
      <c r="F2977">
        <v>6301198273</v>
      </c>
      <c r="G2977">
        <v>6027826714</v>
      </c>
      <c r="H2977">
        <v>5905090273</v>
      </c>
      <c r="I2977">
        <v>5691428964</v>
      </c>
      <c r="J2977">
        <v>5609728806</v>
      </c>
      <c r="K2977">
        <v>4349775312</v>
      </c>
      <c r="L2977">
        <v>4138626101</v>
      </c>
      <c r="M2977">
        <v>3450911071</v>
      </c>
      <c r="N2977">
        <v>2677219801</v>
      </c>
      <c r="O2977">
        <v>2109683702</v>
      </c>
      <c r="P2977">
        <v>348</v>
      </c>
      <c r="Q2977" t="s">
        <v>6293</v>
      </c>
    </row>
    <row r="2978" spans="1:17" x14ac:dyDescent="0.3">
      <c r="A2978" t="s">
        <v>4729</v>
      </c>
      <c r="B2978" t="str">
        <f>"002251"</f>
        <v>002251</v>
      </c>
      <c r="C2978" t="s">
        <v>6294</v>
      </c>
      <c r="D2978" t="s">
        <v>798</v>
      </c>
      <c r="F2978">
        <v>7263165024</v>
      </c>
      <c r="G2978">
        <v>7314288504</v>
      </c>
      <c r="H2978">
        <v>7558862369</v>
      </c>
      <c r="I2978">
        <v>7493350403</v>
      </c>
      <c r="J2978">
        <v>6226367046</v>
      </c>
      <c r="K2978">
        <v>6167342365</v>
      </c>
      <c r="L2978">
        <v>4920204376</v>
      </c>
      <c r="M2978">
        <v>3380100917</v>
      </c>
      <c r="N2978">
        <v>3333363488</v>
      </c>
      <c r="O2978">
        <v>1952658477</v>
      </c>
      <c r="P2978">
        <v>196</v>
      </c>
      <c r="Q2978" t="s">
        <v>6295</v>
      </c>
    </row>
    <row r="2979" spans="1:17" x14ac:dyDescent="0.3">
      <c r="A2979" t="s">
        <v>4729</v>
      </c>
      <c r="B2979" t="str">
        <f>"002252"</f>
        <v>002252</v>
      </c>
      <c r="C2979" t="s">
        <v>6296</v>
      </c>
      <c r="D2979" t="s">
        <v>378</v>
      </c>
      <c r="F2979">
        <v>25902445518</v>
      </c>
      <c r="G2979">
        <v>25122780034</v>
      </c>
      <c r="H2979">
        <v>11478696192</v>
      </c>
      <c r="I2979">
        <v>10877578794</v>
      </c>
      <c r="J2979">
        <v>12461758710</v>
      </c>
      <c r="K2979">
        <v>11708763369</v>
      </c>
      <c r="L2979">
        <v>10658472403</v>
      </c>
      <c r="M2979">
        <v>8609713428</v>
      </c>
      <c r="N2979">
        <v>1087234759</v>
      </c>
      <c r="O2979">
        <v>1003655841</v>
      </c>
      <c r="P2979">
        <v>602</v>
      </c>
      <c r="Q2979" t="s">
        <v>6297</v>
      </c>
    </row>
    <row r="2980" spans="1:17" x14ac:dyDescent="0.3">
      <c r="A2980" t="s">
        <v>4729</v>
      </c>
      <c r="B2980" t="str">
        <f>"002253"</f>
        <v>002253</v>
      </c>
      <c r="C2980" t="s">
        <v>6298</v>
      </c>
      <c r="D2980" t="s">
        <v>945</v>
      </c>
      <c r="F2980">
        <v>1432661433</v>
      </c>
      <c r="G2980">
        <v>1434400895</v>
      </c>
      <c r="H2980">
        <v>1394361758</v>
      </c>
      <c r="I2980">
        <v>1351605228</v>
      </c>
      <c r="J2980">
        <v>1311655315</v>
      </c>
      <c r="K2980">
        <v>1284512495</v>
      </c>
      <c r="L2980">
        <v>1275764065</v>
      </c>
      <c r="M2980">
        <v>807952204</v>
      </c>
      <c r="N2980">
        <v>824825573</v>
      </c>
      <c r="O2980">
        <v>784276051</v>
      </c>
      <c r="P2980">
        <v>151</v>
      </c>
      <c r="Q2980" t="s">
        <v>6299</v>
      </c>
    </row>
    <row r="2981" spans="1:17" x14ac:dyDescent="0.3">
      <c r="A2981" t="s">
        <v>4729</v>
      </c>
      <c r="B2981" t="str">
        <f>"002254"</f>
        <v>002254</v>
      </c>
      <c r="C2981" t="s">
        <v>6300</v>
      </c>
      <c r="D2981" t="s">
        <v>5631</v>
      </c>
      <c r="F2981">
        <v>3961747870</v>
      </c>
      <c r="G2981">
        <v>3464028659</v>
      </c>
      <c r="H2981">
        <v>2344609640</v>
      </c>
      <c r="I2981">
        <v>2155781108</v>
      </c>
      <c r="J2981">
        <v>2030248325</v>
      </c>
      <c r="K2981">
        <v>1995657041</v>
      </c>
      <c r="L2981">
        <v>1936516215</v>
      </c>
      <c r="M2981">
        <v>1871975270</v>
      </c>
      <c r="N2981">
        <v>1720024403</v>
      </c>
      <c r="O2981">
        <v>1593832280</v>
      </c>
      <c r="P2981">
        <v>215</v>
      </c>
      <c r="Q2981" t="s">
        <v>6301</v>
      </c>
    </row>
    <row r="2982" spans="1:17" x14ac:dyDescent="0.3">
      <c r="A2982" t="s">
        <v>4729</v>
      </c>
      <c r="B2982" t="str">
        <f>"002255"</f>
        <v>002255</v>
      </c>
      <c r="C2982" t="s">
        <v>6302</v>
      </c>
      <c r="D2982" t="s">
        <v>470</v>
      </c>
      <c r="F2982">
        <v>3299300199</v>
      </c>
      <c r="G2982">
        <v>2851056093</v>
      </c>
      <c r="H2982">
        <v>1891988343</v>
      </c>
      <c r="I2982">
        <v>3745396367</v>
      </c>
      <c r="J2982">
        <v>3169356443</v>
      </c>
      <c r="K2982">
        <v>2312620035</v>
      </c>
      <c r="L2982">
        <v>2254465929</v>
      </c>
      <c r="M2982">
        <v>1548336598</v>
      </c>
      <c r="N2982">
        <v>1498501566</v>
      </c>
      <c r="O2982">
        <v>1422397508</v>
      </c>
      <c r="P2982">
        <v>107</v>
      </c>
      <c r="Q2982" t="s">
        <v>6303</v>
      </c>
    </row>
    <row r="2983" spans="1:17" x14ac:dyDescent="0.3">
      <c r="A2983" t="s">
        <v>4729</v>
      </c>
      <c r="B2983" t="str">
        <f>"002256"</f>
        <v>002256</v>
      </c>
      <c r="C2983" t="s">
        <v>6304</v>
      </c>
      <c r="D2983" t="s">
        <v>86</v>
      </c>
      <c r="F2983">
        <v>1215795628</v>
      </c>
      <c r="G2983">
        <v>1671819021</v>
      </c>
      <c r="H2983">
        <v>1616174341</v>
      </c>
      <c r="I2983">
        <v>1915745272</v>
      </c>
      <c r="J2983">
        <v>2264527691</v>
      </c>
      <c r="K2983">
        <v>2218528525</v>
      </c>
      <c r="L2983">
        <v>584886275</v>
      </c>
      <c r="M2983">
        <v>547894848</v>
      </c>
      <c r="N2983">
        <v>505348999</v>
      </c>
      <c r="O2983">
        <v>451161951</v>
      </c>
      <c r="P2983">
        <v>151</v>
      </c>
      <c r="Q2983" t="s">
        <v>6305</v>
      </c>
    </row>
    <row r="2984" spans="1:17" x14ac:dyDescent="0.3">
      <c r="A2984" t="s">
        <v>4729</v>
      </c>
      <c r="B2984" t="str">
        <f>"002258"</f>
        <v>002258</v>
      </c>
      <c r="C2984" t="s">
        <v>6306</v>
      </c>
      <c r="D2984" t="s">
        <v>853</v>
      </c>
      <c r="F2984">
        <v>4786626679</v>
      </c>
      <c r="G2984">
        <v>3771513525</v>
      </c>
      <c r="H2984">
        <v>3157042631</v>
      </c>
      <c r="I2984">
        <v>2956371663</v>
      </c>
      <c r="J2984">
        <v>2379083054</v>
      </c>
      <c r="K2984">
        <v>2032746047</v>
      </c>
      <c r="L2984">
        <v>1299166188</v>
      </c>
      <c r="M2984">
        <v>1159056228</v>
      </c>
      <c r="N2984">
        <v>1087522496</v>
      </c>
      <c r="O2984">
        <v>1007915994</v>
      </c>
      <c r="P2984">
        <v>646</v>
      </c>
      <c r="Q2984" t="s">
        <v>6307</v>
      </c>
    </row>
    <row r="2985" spans="1:17" x14ac:dyDescent="0.3">
      <c r="A2985" t="s">
        <v>4729</v>
      </c>
      <c r="B2985" t="str">
        <f>"002259"</f>
        <v>002259</v>
      </c>
      <c r="C2985" t="s">
        <v>6308</v>
      </c>
      <c r="D2985" t="s">
        <v>749</v>
      </c>
      <c r="F2985">
        <v>114704701</v>
      </c>
      <c r="G2985">
        <v>58319996</v>
      </c>
      <c r="H2985">
        <v>244671188</v>
      </c>
      <c r="I2985">
        <v>1493980104</v>
      </c>
      <c r="J2985">
        <v>1669363949</v>
      </c>
      <c r="K2985">
        <v>1664810513</v>
      </c>
      <c r="L2985">
        <v>853140704</v>
      </c>
      <c r="M2985">
        <v>841104168</v>
      </c>
      <c r="N2985">
        <v>828152044</v>
      </c>
      <c r="O2985">
        <v>817469712</v>
      </c>
      <c r="P2985">
        <v>59</v>
      </c>
      <c r="Q2985" t="s">
        <v>6309</v>
      </c>
    </row>
    <row r="2986" spans="1:17" x14ac:dyDescent="0.3">
      <c r="A2986" t="s">
        <v>4729</v>
      </c>
      <c r="B2986" t="str">
        <f>"002260"</f>
        <v>002260</v>
      </c>
      <c r="C2986" t="s">
        <v>6310</v>
      </c>
      <c r="D2986" t="s">
        <v>5799</v>
      </c>
      <c r="F2986">
        <v>157855122</v>
      </c>
      <c r="G2986">
        <v>790195169</v>
      </c>
      <c r="H2986">
        <v>28363991</v>
      </c>
      <c r="I2986">
        <v>-346904619</v>
      </c>
      <c r="J2986">
        <v>-165981585</v>
      </c>
      <c r="K2986">
        <v>339694814</v>
      </c>
      <c r="L2986">
        <v>327565788</v>
      </c>
      <c r="M2986">
        <v>351298950</v>
      </c>
      <c r="N2986">
        <v>332750962</v>
      </c>
      <c r="O2986">
        <v>328875924</v>
      </c>
      <c r="P2986">
        <v>57</v>
      </c>
      <c r="Q2986" t="s">
        <v>6311</v>
      </c>
    </row>
    <row r="2987" spans="1:17" x14ac:dyDescent="0.3">
      <c r="A2987" t="s">
        <v>4729</v>
      </c>
      <c r="B2987" t="str">
        <f>"002261"</f>
        <v>002261</v>
      </c>
      <c r="C2987" t="s">
        <v>6312</v>
      </c>
      <c r="D2987" t="s">
        <v>1285</v>
      </c>
      <c r="F2987">
        <v>3515899338</v>
      </c>
      <c r="G2987">
        <v>2527630735</v>
      </c>
      <c r="H2987">
        <v>2486864226</v>
      </c>
      <c r="I2987">
        <v>2487661032</v>
      </c>
      <c r="J2987">
        <v>3859148845</v>
      </c>
      <c r="K2987">
        <v>3780874398</v>
      </c>
      <c r="L2987">
        <v>3557566557</v>
      </c>
      <c r="M2987">
        <v>1086595355</v>
      </c>
      <c r="N2987">
        <v>850055966</v>
      </c>
      <c r="O2987">
        <v>816086836</v>
      </c>
      <c r="P2987">
        <v>299</v>
      </c>
      <c r="Q2987" t="s">
        <v>6313</v>
      </c>
    </row>
    <row r="2988" spans="1:17" x14ac:dyDescent="0.3">
      <c r="A2988" t="s">
        <v>4729</v>
      </c>
      <c r="B2988" t="str">
        <f>"002262"</f>
        <v>002262</v>
      </c>
      <c r="C2988" t="s">
        <v>6314</v>
      </c>
      <c r="D2988" t="s">
        <v>143</v>
      </c>
      <c r="F2988">
        <v>4920688031</v>
      </c>
      <c r="G2988">
        <v>4123001148</v>
      </c>
      <c r="H2988">
        <v>3620678969</v>
      </c>
      <c r="I2988">
        <v>2956350329</v>
      </c>
      <c r="J2988">
        <v>2452376295</v>
      </c>
      <c r="K2988">
        <v>2095585029</v>
      </c>
      <c r="L2988">
        <v>1814627783</v>
      </c>
      <c r="M2988">
        <v>1043287238</v>
      </c>
      <c r="N2988">
        <v>838034115</v>
      </c>
      <c r="O2988">
        <v>680500511</v>
      </c>
      <c r="P2988">
        <v>51365</v>
      </c>
      <c r="Q2988" t="s">
        <v>6315</v>
      </c>
    </row>
    <row r="2989" spans="1:17" x14ac:dyDescent="0.3">
      <c r="A2989" t="s">
        <v>4729</v>
      </c>
      <c r="B2989" t="str">
        <f>"002263"</f>
        <v>002263</v>
      </c>
      <c r="C2989" t="s">
        <v>6316</v>
      </c>
      <c r="D2989" t="s">
        <v>324</v>
      </c>
      <c r="F2989">
        <v>2648331061</v>
      </c>
      <c r="G2989">
        <v>2405067266</v>
      </c>
      <c r="H2989">
        <v>2228130146</v>
      </c>
      <c r="I2989">
        <v>2167931189</v>
      </c>
      <c r="J2989">
        <v>2169687229</v>
      </c>
      <c r="K2989">
        <v>2737280259</v>
      </c>
      <c r="L2989">
        <v>2951063523</v>
      </c>
      <c r="M2989">
        <v>2515579280</v>
      </c>
      <c r="N2989">
        <v>2488624560</v>
      </c>
      <c r="O2989">
        <v>2532001384</v>
      </c>
      <c r="P2989">
        <v>126</v>
      </c>
      <c r="Q2989" t="s">
        <v>6317</v>
      </c>
    </row>
    <row r="2990" spans="1:17" x14ac:dyDescent="0.3">
      <c r="A2990" t="s">
        <v>4729</v>
      </c>
      <c r="B2990" t="str">
        <f>"002264"</f>
        <v>002264</v>
      </c>
      <c r="C2990" t="s">
        <v>6318</v>
      </c>
      <c r="D2990" t="s">
        <v>798</v>
      </c>
      <c r="F2990">
        <v>1058484953</v>
      </c>
      <c r="G2990">
        <v>1001106870</v>
      </c>
      <c r="H2990">
        <v>845038388</v>
      </c>
      <c r="I2990">
        <v>1668969515</v>
      </c>
      <c r="J2990">
        <v>1646003481</v>
      </c>
      <c r="K2990">
        <v>1698446884</v>
      </c>
      <c r="L2990">
        <v>680152904</v>
      </c>
      <c r="M2990">
        <v>1054087978</v>
      </c>
      <c r="N2990">
        <v>1022382303</v>
      </c>
      <c r="O2990">
        <v>1320072539</v>
      </c>
      <c r="P2990">
        <v>96</v>
      </c>
      <c r="Q2990" t="s">
        <v>6319</v>
      </c>
    </row>
    <row r="2991" spans="1:17" x14ac:dyDescent="0.3">
      <c r="A2991" t="s">
        <v>4729</v>
      </c>
      <c r="B2991" t="str">
        <f>"002265"</f>
        <v>002265</v>
      </c>
      <c r="C2991" t="s">
        <v>6320</v>
      </c>
      <c r="D2991" t="s">
        <v>348</v>
      </c>
      <c r="F2991">
        <v>879745346</v>
      </c>
      <c r="G2991">
        <v>875090593</v>
      </c>
      <c r="H2991">
        <v>938373695</v>
      </c>
      <c r="I2991">
        <v>906410282</v>
      </c>
      <c r="J2991">
        <v>972246352</v>
      </c>
      <c r="K2991">
        <v>488531888</v>
      </c>
      <c r="L2991">
        <v>481519289</v>
      </c>
      <c r="M2991">
        <v>515614384</v>
      </c>
      <c r="N2991">
        <v>507342997</v>
      </c>
      <c r="O2991">
        <v>501483104</v>
      </c>
      <c r="P2991">
        <v>86</v>
      </c>
      <c r="Q2991" t="s">
        <v>6321</v>
      </c>
    </row>
    <row r="2992" spans="1:17" x14ac:dyDescent="0.3">
      <c r="A2992" t="s">
        <v>4729</v>
      </c>
      <c r="B2992" t="str">
        <f>"002266"</f>
        <v>002266</v>
      </c>
      <c r="C2992" t="s">
        <v>6322</v>
      </c>
      <c r="D2992" t="s">
        <v>499</v>
      </c>
      <c r="F2992">
        <v>9688080537</v>
      </c>
      <c r="G2992">
        <v>7701353436</v>
      </c>
      <c r="H2992">
        <v>3358525242</v>
      </c>
      <c r="I2992">
        <v>3240584502</v>
      </c>
      <c r="J2992">
        <v>3079326230</v>
      </c>
      <c r="K2992">
        <v>2942372283</v>
      </c>
      <c r="L2992">
        <v>2903107244</v>
      </c>
      <c r="M2992">
        <v>2859896651</v>
      </c>
      <c r="N2992">
        <v>2243917463</v>
      </c>
      <c r="O2992">
        <v>1351440756</v>
      </c>
      <c r="P2992">
        <v>297</v>
      </c>
      <c r="Q2992" t="s">
        <v>6323</v>
      </c>
    </row>
    <row r="2993" spans="1:17" x14ac:dyDescent="0.3">
      <c r="A2993" t="s">
        <v>4729</v>
      </c>
      <c r="B2993" t="str">
        <f>"002267"</f>
        <v>002267</v>
      </c>
      <c r="C2993" t="s">
        <v>6324</v>
      </c>
      <c r="D2993" t="s">
        <v>749</v>
      </c>
      <c r="F2993">
        <v>6363826638</v>
      </c>
      <c r="G2993">
        <v>6147979727</v>
      </c>
      <c r="H2993">
        <v>5990079158</v>
      </c>
      <c r="I2993">
        <v>5609203822</v>
      </c>
      <c r="J2993">
        <v>5561239758</v>
      </c>
      <c r="K2993">
        <v>5301057874</v>
      </c>
      <c r="L2993">
        <v>4960943092</v>
      </c>
      <c r="M2993">
        <v>4506383965</v>
      </c>
      <c r="N2993">
        <v>3143520115</v>
      </c>
      <c r="O2993">
        <v>2994023109</v>
      </c>
      <c r="P2993">
        <v>202</v>
      </c>
      <c r="Q2993" t="s">
        <v>6325</v>
      </c>
    </row>
    <row r="2994" spans="1:17" x14ac:dyDescent="0.3">
      <c r="A2994" t="s">
        <v>4729</v>
      </c>
      <c r="B2994" t="str">
        <f>"002268"</f>
        <v>002268</v>
      </c>
      <c r="C2994" t="s">
        <v>6326</v>
      </c>
      <c r="D2994" t="s">
        <v>236</v>
      </c>
      <c r="F2994">
        <v>5029700958</v>
      </c>
      <c r="G2994">
        <v>4707198264</v>
      </c>
      <c r="H2994">
        <v>4550793992</v>
      </c>
      <c r="I2994">
        <v>4406885517</v>
      </c>
      <c r="J2994">
        <v>4295785925</v>
      </c>
      <c r="K2994">
        <v>1489073078</v>
      </c>
      <c r="L2994">
        <v>1370134158</v>
      </c>
      <c r="M2994">
        <v>1232104746</v>
      </c>
      <c r="N2994">
        <v>561122209</v>
      </c>
      <c r="O2994">
        <v>523987883</v>
      </c>
      <c r="P2994">
        <v>525</v>
      </c>
      <c r="Q2994" t="s">
        <v>6327</v>
      </c>
    </row>
    <row r="2995" spans="1:17" x14ac:dyDescent="0.3">
      <c r="A2995" t="s">
        <v>4729</v>
      </c>
      <c r="B2995" t="str">
        <f>"002269"</f>
        <v>002269</v>
      </c>
      <c r="C2995" t="s">
        <v>6328</v>
      </c>
      <c r="D2995" t="s">
        <v>255</v>
      </c>
      <c r="F2995">
        <v>711661595</v>
      </c>
      <c r="G2995">
        <v>1180257568</v>
      </c>
      <c r="H2995">
        <v>2039820092</v>
      </c>
      <c r="I2995">
        <v>2877695239</v>
      </c>
      <c r="J2995">
        <v>2837339163</v>
      </c>
      <c r="K2995">
        <v>3141948914</v>
      </c>
      <c r="L2995">
        <v>3104194291</v>
      </c>
      <c r="M2995">
        <v>3636531792</v>
      </c>
      <c r="N2995">
        <v>3773971279</v>
      </c>
      <c r="O2995">
        <v>4131881524</v>
      </c>
      <c r="P2995">
        <v>143</v>
      </c>
      <c r="Q2995" t="s">
        <v>6329</v>
      </c>
    </row>
    <row r="2996" spans="1:17" x14ac:dyDescent="0.3">
      <c r="A2996" t="s">
        <v>4729</v>
      </c>
      <c r="B2996" t="str">
        <f>"002270"</f>
        <v>002270</v>
      </c>
      <c r="C2996" t="s">
        <v>6330</v>
      </c>
      <c r="D2996" t="s">
        <v>210</v>
      </c>
      <c r="F2996">
        <v>2847950040</v>
      </c>
      <c r="G2996">
        <v>2604766334</v>
      </c>
      <c r="H2996">
        <v>2403156413</v>
      </c>
      <c r="I2996">
        <v>2280582116</v>
      </c>
      <c r="J2996">
        <v>2176499952</v>
      </c>
      <c r="K2996">
        <v>1871946513</v>
      </c>
      <c r="L2996">
        <v>1675857119</v>
      </c>
      <c r="M2996">
        <v>590658198</v>
      </c>
      <c r="N2996">
        <v>581740666</v>
      </c>
      <c r="O2996">
        <v>572685986</v>
      </c>
      <c r="P2996">
        <v>160</v>
      </c>
      <c r="Q2996" t="s">
        <v>6331</v>
      </c>
    </row>
    <row r="2997" spans="1:17" x14ac:dyDescent="0.3">
      <c r="A2997" t="s">
        <v>4729</v>
      </c>
      <c r="B2997" t="str">
        <f>"002271"</f>
        <v>002271</v>
      </c>
      <c r="C2997" t="s">
        <v>6332</v>
      </c>
      <c r="D2997" t="s">
        <v>6333</v>
      </c>
      <c r="F2997">
        <v>26294395091</v>
      </c>
      <c r="G2997">
        <v>14614377079</v>
      </c>
      <c r="H2997">
        <v>9324864405</v>
      </c>
      <c r="I2997">
        <v>7485575286</v>
      </c>
      <c r="J2997">
        <v>6299427108</v>
      </c>
      <c r="K2997">
        <v>4974514337</v>
      </c>
      <c r="L2997">
        <v>4066410575</v>
      </c>
      <c r="M2997">
        <v>3436505556</v>
      </c>
      <c r="N2997">
        <v>1681288789</v>
      </c>
      <c r="O2997">
        <v>1244583811</v>
      </c>
      <c r="P2997">
        <v>22866</v>
      </c>
      <c r="Q2997" t="s">
        <v>6334</v>
      </c>
    </row>
    <row r="2998" spans="1:17" x14ac:dyDescent="0.3">
      <c r="A2998" t="s">
        <v>4729</v>
      </c>
      <c r="B2998" t="str">
        <f>"002272"</f>
        <v>002272</v>
      </c>
      <c r="C2998" t="s">
        <v>6335</v>
      </c>
      <c r="D2998" t="s">
        <v>2007</v>
      </c>
      <c r="F2998">
        <v>1457496235</v>
      </c>
      <c r="G2998">
        <v>1389038616</v>
      </c>
      <c r="H2998">
        <v>1313720382</v>
      </c>
      <c r="I2998">
        <v>1230344261</v>
      </c>
      <c r="J2998">
        <v>1174072074</v>
      </c>
      <c r="K2998">
        <v>1167630891</v>
      </c>
      <c r="L2998">
        <v>1153084453</v>
      </c>
      <c r="M2998">
        <v>1220951065</v>
      </c>
      <c r="N2998">
        <v>1210343841</v>
      </c>
      <c r="O2998">
        <v>1245876448</v>
      </c>
      <c r="P2998">
        <v>107</v>
      </c>
      <c r="Q2998" t="s">
        <v>6336</v>
      </c>
    </row>
    <row r="2999" spans="1:17" x14ac:dyDescent="0.3">
      <c r="A2999" t="s">
        <v>4729</v>
      </c>
      <c r="B2999" t="str">
        <f>"002273"</f>
        <v>002273</v>
      </c>
      <c r="C2999" t="s">
        <v>6337</v>
      </c>
      <c r="D2999" t="s">
        <v>164</v>
      </c>
      <c r="F2999">
        <v>8061349839</v>
      </c>
      <c r="G2999">
        <v>5627088190</v>
      </c>
      <c r="H2999">
        <v>4464008672</v>
      </c>
      <c r="I2999">
        <v>3670956169</v>
      </c>
      <c r="J2999">
        <v>3270622539</v>
      </c>
      <c r="K2999">
        <v>2897534516</v>
      </c>
      <c r="L2999">
        <v>2684374273</v>
      </c>
      <c r="M2999">
        <v>1400757408</v>
      </c>
      <c r="N2999">
        <v>1121998560</v>
      </c>
      <c r="O2999">
        <v>1050718507</v>
      </c>
      <c r="P2999">
        <v>949</v>
      </c>
      <c r="Q2999" t="s">
        <v>6338</v>
      </c>
    </row>
    <row r="3000" spans="1:17" x14ac:dyDescent="0.3">
      <c r="A3000" t="s">
        <v>4729</v>
      </c>
      <c r="B3000" t="str">
        <f>"002274"</f>
        <v>002274</v>
      </c>
      <c r="C3000" t="s">
        <v>6339</v>
      </c>
      <c r="D3000" t="s">
        <v>5562</v>
      </c>
      <c r="F3000">
        <v>4312943886</v>
      </c>
      <c r="G3000">
        <v>2836206190</v>
      </c>
      <c r="H3000">
        <v>2729984816</v>
      </c>
      <c r="I3000">
        <v>2626722821</v>
      </c>
      <c r="J3000">
        <v>2637558754</v>
      </c>
      <c r="K3000">
        <v>2760102174</v>
      </c>
      <c r="L3000">
        <v>2770546379</v>
      </c>
      <c r="M3000">
        <v>1870335675</v>
      </c>
      <c r="N3000">
        <v>1873967909</v>
      </c>
      <c r="O3000">
        <v>1341796942</v>
      </c>
      <c r="P3000">
        <v>217</v>
      </c>
      <c r="Q3000" t="s">
        <v>6340</v>
      </c>
    </row>
    <row r="3001" spans="1:17" x14ac:dyDescent="0.3">
      <c r="A3001" t="s">
        <v>4729</v>
      </c>
      <c r="B3001" t="str">
        <f>"002275"</f>
        <v>002275</v>
      </c>
      <c r="C3001" t="s">
        <v>6341</v>
      </c>
      <c r="D3001" t="s">
        <v>188</v>
      </c>
      <c r="F3001">
        <v>2839817165</v>
      </c>
      <c r="G3001">
        <v>2959001856</v>
      </c>
      <c r="H3001">
        <v>2815436667</v>
      </c>
      <c r="I3001">
        <v>2806663253</v>
      </c>
      <c r="J3001">
        <v>2653911889</v>
      </c>
      <c r="K3001">
        <v>2425589555</v>
      </c>
      <c r="L3001">
        <v>2343123134</v>
      </c>
      <c r="M3001">
        <v>2320570299</v>
      </c>
      <c r="N3001">
        <v>2203058299</v>
      </c>
      <c r="O3001">
        <v>2077890420</v>
      </c>
      <c r="P3001">
        <v>11978</v>
      </c>
      <c r="Q3001" t="s">
        <v>6342</v>
      </c>
    </row>
    <row r="3002" spans="1:17" x14ac:dyDescent="0.3">
      <c r="A3002" t="s">
        <v>4729</v>
      </c>
      <c r="B3002" t="str">
        <f>"002276"</f>
        <v>002276</v>
      </c>
      <c r="C3002" t="s">
        <v>6343</v>
      </c>
      <c r="D3002" t="s">
        <v>1164</v>
      </c>
      <c r="F3002">
        <v>4538677679</v>
      </c>
      <c r="G3002">
        <v>4522930198</v>
      </c>
      <c r="H3002">
        <v>4249377828</v>
      </c>
      <c r="I3002">
        <v>4015421137</v>
      </c>
      <c r="J3002">
        <v>3974250038</v>
      </c>
      <c r="K3002">
        <v>3067547051</v>
      </c>
      <c r="L3002">
        <v>2945322527</v>
      </c>
      <c r="M3002">
        <v>2717540198</v>
      </c>
      <c r="N3002">
        <v>2519043536</v>
      </c>
      <c r="O3002">
        <v>2321632436</v>
      </c>
      <c r="P3002">
        <v>255</v>
      </c>
      <c r="Q3002" t="s">
        <v>6344</v>
      </c>
    </row>
    <row r="3003" spans="1:17" x14ac:dyDescent="0.3">
      <c r="A3003" t="s">
        <v>4729</v>
      </c>
      <c r="B3003" t="str">
        <f>"002277"</f>
        <v>002277</v>
      </c>
      <c r="C3003" t="s">
        <v>6345</v>
      </c>
      <c r="D3003" t="s">
        <v>633</v>
      </c>
      <c r="F3003">
        <v>6586671013</v>
      </c>
      <c r="G3003">
        <v>6905288947</v>
      </c>
      <c r="H3003">
        <v>6815303612</v>
      </c>
      <c r="I3003">
        <v>6714900238</v>
      </c>
      <c r="J3003">
        <v>5162239220</v>
      </c>
      <c r="K3003">
        <v>4924186986</v>
      </c>
      <c r="L3003">
        <v>3232946594</v>
      </c>
      <c r="M3003">
        <v>2965761849</v>
      </c>
      <c r="N3003">
        <v>2669722763</v>
      </c>
      <c r="O3003">
        <v>2260434960</v>
      </c>
      <c r="P3003">
        <v>145</v>
      </c>
      <c r="Q3003" t="s">
        <v>6346</v>
      </c>
    </row>
    <row r="3004" spans="1:17" x14ac:dyDescent="0.3">
      <c r="A3004" t="s">
        <v>4729</v>
      </c>
      <c r="B3004" t="str">
        <f>"002278"</f>
        <v>002278</v>
      </c>
      <c r="C3004" t="s">
        <v>6347</v>
      </c>
      <c r="D3004" t="s">
        <v>395</v>
      </c>
      <c r="F3004">
        <v>1108181382</v>
      </c>
      <c r="G3004">
        <v>1139717480</v>
      </c>
      <c r="H3004">
        <v>1130493754</v>
      </c>
      <c r="I3004">
        <v>1104750603</v>
      </c>
      <c r="J3004">
        <v>1071893110</v>
      </c>
      <c r="K3004">
        <v>1066813996</v>
      </c>
      <c r="L3004">
        <v>1173289855</v>
      </c>
      <c r="M3004">
        <v>1190645934</v>
      </c>
      <c r="N3004">
        <v>1172135108</v>
      </c>
      <c r="O3004">
        <v>1155459348</v>
      </c>
      <c r="P3004">
        <v>57</v>
      </c>
      <c r="Q3004" t="s">
        <v>6348</v>
      </c>
    </row>
    <row r="3005" spans="1:17" x14ac:dyDescent="0.3">
      <c r="A3005" t="s">
        <v>4729</v>
      </c>
      <c r="B3005" t="str">
        <f>"002279"</f>
        <v>002279</v>
      </c>
      <c r="C3005" t="s">
        <v>6349</v>
      </c>
      <c r="D3005" t="s">
        <v>1189</v>
      </c>
      <c r="F3005">
        <v>761075570</v>
      </c>
      <c r="G3005">
        <v>898916179</v>
      </c>
      <c r="H3005">
        <v>1007883018</v>
      </c>
      <c r="I3005">
        <v>979240719</v>
      </c>
      <c r="J3005">
        <v>2459448699</v>
      </c>
      <c r="K3005">
        <v>2163798446</v>
      </c>
      <c r="L3005">
        <v>1965596670</v>
      </c>
      <c r="M3005">
        <v>749786310</v>
      </c>
      <c r="N3005">
        <v>708750253</v>
      </c>
      <c r="O3005">
        <v>666895881</v>
      </c>
      <c r="P3005">
        <v>323</v>
      </c>
      <c r="Q3005" t="s">
        <v>6350</v>
      </c>
    </row>
    <row r="3006" spans="1:17" x14ac:dyDescent="0.3">
      <c r="A3006" t="s">
        <v>4729</v>
      </c>
      <c r="B3006" t="str">
        <f>"002280"</f>
        <v>002280</v>
      </c>
      <c r="C3006" t="s">
        <v>6351</v>
      </c>
      <c r="D3006" t="s">
        <v>2020</v>
      </c>
      <c r="F3006">
        <v>1544626065</v>
      </c>
      <c r="G3006">
        <v>2015399826</v>
      </c>
      <c r="H3006">
        <v>1841443773</v>
      </c>
      <c r="I3006">
        <v>5218269626</v>
      </c>
      <c r="J3006">
        <v>7367293761</v>
      </c>
      <c r="K3006">
        <v>6190680747</v>
      </c>
      <c r="L3006">
        <v>1129911252</v>
      </c>
      <c r="M3006">
        <v>843848531</v>
      </c>
      <c r="N3006">
        <v>425386451</v>
      </c>
      <c r="O3006">
        <v>479630375</v>
      </c>
      <c r="P3006">
        <v>179</v>
      </c>
      <c r="Q3006" t="s">
        <v>6352</v>
      </c>
    </row>
    <row r="3007" spans="1:17" x14ac:dyDescent="0.3">
      <c r="A3007" t="s">
        <v>4729</v>
      </c>
      <c r="B3007" t="str">
        <f>"002281"</f>
        <v>002281</v>
      </c>
      <c r="C3007" t="s">
        <v>6353</v>
      </c>
      <c r="D3007" t="s">
        <v>1019</v>
      </c>
      <c r="F3007">
        <v>5541530866</v>
      </c>
      <c r="G3007">
        <v>5021473037</v>
      </c>
      <c r="H3007">
        <v>4509801503</v>
      </c>
      <c r="I3007">
        <v>3393830034</v>
      </c>
      <c r="J3007">
        <v>3093839133</v>
      </c>
      <c r="K3007">
        <v>2834037019</v>
      </c>
      <c r="L3007">
        <v>2654023744</v>
      </c>
      <c r="M3007">
        <v>2376721619</v>
      </c>
      <c r="N3007">
        <v>1671821312</v>
      </c>
      <c r="O3007">
        <v>1483988264</v>
      </c>
      <c r="P3007">
        <v>894</v>
      </c>
      <c r="Q3007" t="s">
        <v>6354</v>
      </c>
    </row>
    <row r="3008" spans="1:17" x14ac:dyDescent="0.3">
      <c r="A3008" t="s">
        <v>4729</v>
      </c>
      <c r="B3008" t="str">
        <f>"002282"</f>
        <v>002282</v>
      </c>
      <c r="C3008" t="s">
        <v>6355</v>
      </c>
      <c r="D3008" t="s">
        <v>404</v>
      </c>
      <c r="F3008">
        <v>3372583606</v>
      </c>
      <c r="G3008">
        <v>2715642024</v>
      </c>
      <c r="H3008">
        <v>2213805324</v>
      </c>
      <c r="I3008">
        <v>2131998474</v>
      </c>
      <c r="J3008">
        <v>1757307077</v>
      </c>
      <c r="K3008">
        <v>801617792</v>
      </c>
      <c r="L3008">
        <v>781825958</v>
      </c>
      <c r="M3008">
        <v>797999104</v>
      </c>
      <c r="N3008">
        <v>779873521</v>
      </c>
      <c r="O3008">
        <v>783612350</v>
      </c>
      <c r="P3008">
        <v>97</v>
      </c>
      <c r="Q3008" t="s">
        <v>6356</v>
      </c>
    </row>
    <row r="3009" spans="1:17" x14ac:dyDescent="0.3">
      <c r="A3009" t="s">
        <v>4729</v>
      </c>
      <c r="B3009" t="str">
        <f>"002283"</f>
        <v>002283</v>
      </c>
      <c r="C3009" t="s">
        <v>6357</v>
      </c>
      <c r="D3009" t="s">
        <v>348</v>
      </c>
      <c r="F3009">
        <v>5531481164</v>
      </c>
      <c r="G3009">
        <v>5021964849</v>
      </c>
      <c r="H3009">
        <v>4570714429</v>
      </c>
      <c r="I3009">
        <v>4225069689</v>
      </c>
      <c r="J3009">
        <v>3899478772</v>
      </c>
      <c r="K3009">
        <v>3555011092</v>
      </c>
      <c r="L3009">
        <v>3357727488</v>
      </c>
      <c r="M3009">
        <v>3189653425</v>
      </c>
      <c r="N3009">
        <v>3068645075</v>
      </c>
      <c r="O3009">
        <v>2975969151</v>
      </c>
      <c r="P3009">
        <v>202</v>
      </c>
      <c r="Q3009" t="s">
        <v>6358</v>
      </c>
    </row>
    <row r="3010" spans="1:17" x14ac:dyDescent="0.3">
      <c r="A3010" t="s">
        <v>4729</v>
      </c>
      <c r="B3010" t="str">
        <f>"002284"</f>
        <v>002284</v>
      </c>
      <c r="C3010" t="s">
        <v>6359</v>
      </c>
      <c r="D3010" t="s">
        <v>348</v>
      </c>
      <c r="F3010">
        <v>2489683612</v>
      </c>
      <c r="G3010">
        <v>2475426425</v>
      </c>
      <c r="H3010">
        <v>2462006894</v>
      </c>
      <c r="I3010">
        <v>2597910071</v>
      </c>
      <c r="J3010">
        <v>2663714293</v>
      </c>
      <c r="K3010">
        <v>2653295091</v>
      </c>
      <c r="L3010">
        <v>2583552160</v>
      </c>
      <c r="M3010">
        <v>2479232705</v>
      </c>
      <c r="N3010">
        <v>1209826380</v>
      </c>
      <c r="O3010">
        <v>1101656992</v>
      </c>
      <c r="P3010">
        <v>197</v>
      </c>
      <c r="Q3010" t="s">
        <v>6360</v>
      </c>
    </row>
    <row r="3011" spans="1:17" x14ac:dyDescent="0.3">
      <c r="A3011" t="s">
        <v>4729</v>
      </c>
      <c r="B3011" t="str">
        <f>"002285"</f>
        <v>002285</v>
      </c>
      <c r="C3011" t="s">
        <v>6361</v>
      </c>
      <c r="D3011" t="s">
        <v>5051</v>
      </c>
      <c r="F3011">
        <v>3703083305</v>
      </c>
      <c r="G3011">
        <v>5160275781</v>
      </c>
      <c r="H3011">
        <v>5315129783</v>
      </c>
      <c r="I3011">
        <v>5299829593</v>
      </c>
      <c r="J3011">
        <v>5068442724</v>
      </c>
      <c r="K3011">
        <v>4188743554</v>
      </c>
      <c r="L3011">
        <v>3549869119</v>
      </c>
      <c r="M3011">
        <v>2026145436</v>
      </c>
      <c r="N3011">
        <v>1708863808</v>
      </c>
      <c r="O3011">
        <v>1486744583</v>
      </c>
      <c r="P3011">
        <v>477</v>
      </c>
      <c r="Q3011" t="s">
        <v>6362</v>
      </c>
    </row>
    <row r="3012" spans="1:17" x14ac:dyDescent="0.3">
      <c r="A3012" t="s">
        <v>4729</v>
      </c>
      <c r="B3012" t="str">
        <f>"002286"</f>
        <v>002286</v>
      </c>
      <c r="C3012" t="s">
        <v>6363</v>
      </c>
      <c r="D3012" t="s">
        <v>445</v>
      </c>
      <c r="F3012">
        <v>1813231683</v>
      </c>
      <c r="G3012">
        <v>1599359460</v>
      </c>
      <c r="H3012">
        <v>1566998205</v>
      </c>
      <c r="I3012">
        <v>1540019869</v>
      </c>
      <c r="J3012">
        <v>1522850018</v>
      </c>
      <c r="K3012">
        <v>1505331983</v>
      </c>
      <c r="L3012">
        <v>1478114871</v>
      </c>
      <c r="M3012">
        <v>1448666136</v>
      </c>
      <c r="N3012">
        <v>1434512728</v>
      </c>
      <c r="O3012">
        <v>817060722</v>
      </c>
      <c r="P3012">
        <v>179</v>
      </c>
      <c r="Q3012" t="s">
        <v>6364</v>
      </c>
    </row>
    <row r="3013" spans="1:17" x14ac:dyDescent="0.3">
      <c r="A3013" t="s">
        <v>4729</v>
      </c>
      <c r="B3013" t="str">
        <f>"002287"</f>
        <v>002287</v>
      </c>
      <c r="C3013" t="s">
        <v>6365</v>
      </c>
      <c r="D3013" t="s">
        <v>188</v>
      </c>
      <c r="F3013">
        <v>3034679642</v>
      </c>
      <c r="G3013">
        <v>2483793959</v>
      </c>
      <c r="H3013">
        <v>2245540256</v>
      </c>
      <c r="I3013">
        <v>2029287584</v>
      </c>
      <c r="J3013">
        <v>1876980582</v>
      </c>
      <c r="K3013">
        <v>1734478183</v>
      </c>
      <c r="L3013">
        <v>1611076550</v>
      </c>
      <c r="M3013">
        <v>1504180105</v>
      </c>
      <c r="N3013">
        <v>1408745971</v>
      </c>
      <c r="O3013">
        <v>1321233231</v>
      </c>
      <c r="P3013">
        <v>13304</v>
      </c>
      <c r="Q3013" t="s">
        <v>6366</v>
      </c>
    </row>
    <row r="3014" spans="1:17" x14ac:dyDescent="0.3">
      <c r="A3014" t="s">
        <v>4729</v>
      </c>
      <c r="B3014" t="str">
        <f>"002288"</f>
        <v>002288</v>
      </c>
      <c r="C3014" t="s">
        <v>6367</v>
      </c>
      <c r="D3014" t="s">
        <v>425</v>
      </c>
      <c r="F3014">
        <v>1653795778</v>
      </c>
      <c r="G3014">
        <v>1584111913</v>
      </c>
      <c r="H3014">
        <v>1578333830</v>
      </c>
      <c r="I3014">
        <v>1550476744</v>
      </c>
      <c r="J3014">
        <v>1509049535</v>
      </c>
      <c r="K3014">
        <v>1674827441</v>
      </c>
      <c r="L3014">
        <v>1737757653</v>
      </c>
      <c r="M3014">
        <v>1149822270</v>
      </c>
      <c r="N3014">
        <v>1152091732</v>
      </c>
      <c r="O3014">
        <v>1123741612</v>
      </c>
      <c r="P3014">
        <v>176</v>
      </c>
      <c r="Q3014" t="s">
        <v>6368</v>
      </c>
    </row>
    <row r="3015" spans="1:17" x14ac:dyDescent="0.3">
      <c r="A3015" t="s">
        <v>4729</v>
      </c>
      <c r="B3015" t="str">
        <f>"002289"</f>
        <v>002289</v>
      </c>
      <c r="C3015" t="s">
        <v>6369</v>
      </c>
      <c r="D3015" t="s">
        <v>1117</v>
      </c>
      <c r="F3015">
        <v>272230734</v>
      </c>
      <c r="G3015">
        <v>298237394</v>
      </c>
      <c r="H3015">
        <v>329773007</v>
      </c>
      <c r="I3015">
        <v>316739990</v>
      </c>
      <c r="J3015">
        <v>471060442</v>
      </c>
      <c r="K3015">
        <v>598514504</v>
      </c>
      <c r="L3015">
        <v>570129265</v>
      </c>
      <c r="M3015">
        <v>1666753404</v>
      </c>
      <c r="N3015">
        <v>1528621937</v>
      </c>
      <c r="O3015">
        <v>349404845</v>
      </c>
      <c r="P3015">
        <v>70</v>
      </c>
      <c r="Q3015" t="s">
        <v>6370</v>
      </c>
    </row>
    <row r="3016" spans="1:17" x14ac:dyDescent="0.3">
      <c r="A3016" t="s">
        <v>4729</v>
      </c>
      <c r="B3016" t="str">
        <f>"002290"</f>
        <v>002290</v>
      </c>
      <c r="C3016" t="s">
        <v>6371</v>
      </c>
      <c r="D3016" t="s">
        <v>1253</v>
      </c>
      <c r="F3016">
        <v>527996007</v>
      </c>
      <c r="G3016">
        <v>441173387</v>
      </c>
      <c r="H3016">
        <v>386093268</v>
      </c>
      <c r="I3016">
        <v>1241868485</v>
      </c>
      <c r="J3016">
        <v>1208158049</v>
      </c>
      <c r="K3016">
        <v>1205363713</v>
      </c>
      <c r="L3016">
        <v>836281226</v>
      </c>
      <c r="M3016">
        <v>839613966</v>
      </c>
      <c r="N3016">
        <v>972370633</v>
      </c>
      <c r="O3016">
        <v>963429669</v>
      </c>
      <c r="P3016">
        <v>80</v>
      </c>
      <c r="Q3016" t="s">
        <v>6372</v>
      </c>
    </row>
    <row r="3017" spans="1:17" x14ac:dyDescent="0.3">
      <c r="A3017" t="s">
        <v>4729</v>
      </c>
      <c r="B3017" t="str">
        <f>"002291"</f>
        <v>002291</v>
      </c>
      <c r="C3017" t="s">
        <v>6373</v>
      </c>
      <c r="D3017" t="s">
        <v>207</v>
      </c>
      <c r="F3017">
        <v>5568212115</v>
      </c>
      <c r="G3017">
        <v>3326364599</v>
      </c>
      <c r="H3017">
        <v>3358227149</v>
      </c>
      <c r="I3017">
        <v>1491962616</v>
      </c>
      <c r="J3017">
        <v>1487326863</v>
      </c>
      <c r="K3017">
        <v>1837249598</v>
      </c>
      <c r="L3017">
        <v>1813997757</v>
      </c>
      <c r="M3017">
        <v>1654525310</v>
      </c>
      <c r="N3017">
        <v>1620232021</v>
      </c>
      <c r="O3017">
        <v>1586210490</v>
      </c>
      <c r="P3017">
        <v>172</v>
      </c>
      <c r="Q3017" t="s">
        <v>6374</v>
      </c>
    </row>
    <row r="3018" spans="1:17" x14ac:dyDescent="0.3">
      <c r="A3018" t="s">
        <v>4729</v>
      </c>
      <c r="B3018" t="str">
        <f>"002292"</f>
        <v>002292</v>
      </c>
      <c r="C3018" t="s">
        <v>6375</v>
      </c>
      <c r="D3018" t="s">
        <v>113</v>
      </c>
      <c r="F3018">
        <v>3240089637</v>
      </c>
      <c r="G3018">
        <v>3216204704</v>
      </c>
      <c r="H3018">
        <v>4030881864</v>
      </c>
      <c r="I3018">
        <v>3919520880</v>
      </c>
      <c r="J3018">
        <v>4771815194</v>
      </c>
      <c r="K3018">
        <v>4795167175</v>
      </c>
      <c r="L3018">
        <v>3029507283</v>
      </c>
      <c r="M3018">
        <v>2538775769</v>
      </c>
      <c r="N3018">
        <v>1693609569</v>
      </c>
      <c r="O3018">
        <v>1479079999</v>
      </c>
      <c r="P3018">
        <v>291</v>
      </c>
      <c r="Q3018" t="s">
        <v>6376</v>
      </c>
    </row>
    <row r="3019" spans="1:17" x14ac:dyDescent="0.3">
      <c r="A3019" t="s">
        <v>4729</v>
      </c>
      <c r="B3019" t="str">
        <f>"002293"</f>
        <v>002293</v>
      </c>
      <c r="C3019" t="s">
        <v>6377</v>
      </c>
      <c r="D3019" t="s">
        <v>2889</v>
      </c>
      <c r="F3019">
        <v>4059709475</v>
      </c>
      <c r="G3019">
        <v>4288253931</v>
      </c>
      <c r="H3019">
        <v>4103864744</v>
      </c>
      <c r="I3019">
        <v>3784838449</v>
      </c>
      <c r="J3019">
        <v>3005011146</v>
      </c>
      <c r="K3019">
        <v>2739037066</v>
      </c>
      <c r="L3019">
        <v>2556435489</v>
      </c>
      <c r="M3019">
        <v>2425325732</v>
      </c>
      <c r="N3019">
        <v>2125429369</v>
      </c>
      <c r="O3019">
        <v>1892220603</v>
      </c>
      <c r="P3019">
        <v>4959</v>
      </c>
      <c r="Q3019" t="s">
        <v>6378</v>
      </c>
    </row>
    <row r="3020" spans="1:17" x14ac:dyDescent="0.3">
      <c r="A3020" t="s">
        <v>4729</v>
      </c>
      <c r="B3020" t="str">
        <f>"002294"</f>
        <v>002294</v>
      </c>
      <c r="C3020" t="s">
        <v>6379</v>
      </c>
      <c r="D3020" t="s">
        <v>143</v>
      </c>
      <c r="F3020">
        <v>8033733977</v>
      </c>
      <c r="G3020">
        <v>5508330005</v>
      </c>
      <c r="H3020">
        <v>6489455972</v>
      </c>
      <c r="I3020">
        <v>6660927672</v>
      </c>
      <c r="J3020">
        <v>6052938002</v>
      </c>
      <c r="K3020">
        <v>5360326069</v>
      </c>
      <c r="L3020">
        <v>4589514621</v>
      </c>
      <c r="M3020">
        <v>3779536340</v>
      </c>
      <c r="N3020">
        <v>3129334354</v>
      </c>
      <c r="O3020">
        <v>2603984161</v>
      </c>
      <c r="P3020">
        <v>25590</v>
      </c>
      <c r="Q3020" t="s">
        <v>6380</v>
      </c>
    </row>
    <row r="3021" spans="1:17" x14ac:dyDescent="0.3">
      <c r="A3021" t="s">
        <v>4729</v>
      </c>
      <c r="B3021" t="str">
        <f>"002295"</f>
        <v>002295</v>
      </c>
      <c r="C3021" t="s">
        <v>6381</v>
      </c>
      <c r="D3021" t="s">
        <v>263</v>
      </c>
      <c r="F3021">
        <v>1277058332</v>
      </c>
      <c r="G3021">
        <v>1219034060</v>
      </c>
      <c r="H3021">
        <v>1189706918</v>
      </c>
      <c r="I3021">
        <v>1150597515</v>
      </c>
      <c r="J3021">
        <v>1138525789</v>
      </c>
      <c r="K3021">
        <v>1071301773</v>
      </c>
      <c r="L3021">
        <v>1054200474</v>
      </c>
      <c r="M3021">
        <v>785399277</v>
      </c>
      <c r="N3021">
        <v>841402497</v>
      </c>
      <c r="O3021">
        <v>837824144</v>
      </c>
      <c r="P3021">
        <v>56</v>
      </c>
      <c r="Q3021" t="s">
        <v>6382</v>
      </c>
    </row>
    <row r="3022" spans="1:17" x14ac:dyDescent="0.3">
      <c r="A3022" t="s">
        <v>4729</v>
      </c>
      <c r="B3022" t="str">
        <f>"002296"</f>
        <v>002296</v>
      </c>
      <c r="C3022" t="s">
        <v>6383</v>
      </c>
      <c r="D3022" t="s">
        <v>1019</v>
      </c>
      <c r="F3022">
        <v>1622042788</v>
      </c>
      <c r="G3022">
        <v>1612328027</v>
      </c>
      <c r="H3022">
        <v>1525653332</v>
      </c>
      <c r="I3022">
        <v>1428232546</v>
      </c>
      <c r="J3022">
        <v>1387768462</v>
      </c>
      <c r="K3022">
        <v>1542269198</v>
      </c>
      <c r="L3022">
        <v>1451526152</v>
      </c>
      <c r="M3022">
        <v>1387902047</v>
      </c>
      <c r="N3022">
        <v>1440517856</v>
      </c>
      <c r="O3022">
        <v>677195585</v>
      </c>
      <c r="P3022">
        <v>160</v>
      </c>
      <c r="Q3022" t="s">
        <v>6384</v>
      </c>
    </row>
    <row r="3023" spans="1:17" x14ac:dyDescent="0.3">
      <c r="A3023" t="s">
        <v>4729</v>
      </c>
      <c r="B3023" t="str">
        <f>"002297"</f>
        <v>002297</v>
      </c>
      <c r="C3023" t="s">
        <v>6385</v>
      </c>
      <c r="D3023" t="s">
        <v>98</v>
      </c>
      <c r="F3023">
        <v>2055096815</v>
      </c>
      <c r="G3023">
        <v>1389013529</v>
      </c>
      <c r="H3023">
        <v>1371392035</v>
      </c>
      <c r="I3023">
        <v>1541870745</v>
      </c>
      <c r="J3023">
        <v>1526588041</v>
      </c>
      <c r="K3023">
        <v>1590498319</v>
      </c>
      <c r="L3023">
        <v>998402254</v>
      </c>
      <c r="M3023">
        <v>1134551065</v>
      </c>
      <c r="N3023">
        <v>1129338241</v>
      </c>
      <c r="O3023">
        <v>600968467</v>
      </c>
      <c r="P3023">
        <v>100</v>
      </c>
      <c r="Q3023" t="s">
        <v>6386</v>
      </c>
    </row>
    <row r="3024" spans="1:17" x14ac:dyDescent="0.3">
      <c r="A3024" t="s">
        <v>4729</v>
      </c>
      <c r="B3024" t="str">
        <f>"002298"</f>
        <v>002298</v>
      </c>
      <c r="C3024" t="s">
        <v>6387</v>
      </c>
      <c r="D3024" t="s">
        <v>945</v>
      </c>
      <c r="F3024">
        <v>5009326639</v>
      </c>
      <c r="G3024">
        <v>4484631585</v>
      </c>
      <c r="H3024">
        <v>4372748628</v>
      </c>
      <c r="I3024">
        <v>4201743491</v>
      </c>
      <c r="J3024">
        <v>4302236817</v>
      </c>
      <c r="K3024">
        <v>4158180205</v>
      </c>
      <c r="L3024">
        <v>2991161101</v>
      </c>
      <c r="M3024">
        <v>1280516261</v>
      </c>
      <c r="N3024">
        <v>1277645039</v>
      </c>
      <c r="O3024">
        <v>1163542769</v>
      </c>
      <c r="P3024">
        <v>182</v>
      </c>
      <c r="Q3024" t="s">
        <v>6388</v>
      </c>
    </row>
    <row r="3025" spans="1:17" x14ac:dyDescent="0.3">
      <c r="A3025" t="s">
        <v>4729</v>
      </c>
      <c r="B3025" t="str">
        <f>"002299"</f>
        <v>002299</v>
      </c>
      <c r="C3025" t="s">
        <v>6389</v>
      </c>
      <c r="D3025" t="s">
        <v>6260</v>
      </c>
      <c r="F3025">
        <v>9908897397</v>
      </c>
      <c r="G3025">
        <v>9520106153</v>
      </c>
      <c r="H3025">
        <v>10556371669</v>
      </c>
      <c r="I3025">
        <v>7753945440</v>
      </c>
      <c r="J3025">
        <v>6248154523</v>
      </c>
      <c r="K3025">
        <v>5907925920</v>
      </c>
      <c r="L3025">
        <v>5229197902</v>
      </c>
      <c r="M3025">
        <v>3179986730</v>
      </c>
      <c r="N3025">
        <v>3103808315</v>
      </c>
      <c r="O3025">
        <v>3323557773</v>
      </c>
      <c r="P3025">
        <v>1371</v>
      </c>
      <c r="Q3025" t="s">
        <v>6390</v>
      </c>
    </row>
    <row r="3026" spans="1:17" x14ac:dyDescent="0.3">
      <c r="A3026" t="s">
        <v>4729</v>
      </c>
      <c r="B3026" t="str">
        <f>"002300"</f>
        <v>002300</v>
      </c>
      <c r="C3026" t="s">
        <v>6391</v>
      </c>
      <c r="D3026" t="s">
        <v>1164</v>
      </c>
      <c r="F3026">
        <v>1677098681</v>
      </c>
      <c r="G3026">
        <v>1601680198</v>
      </c>
      <c r="H3026">
        <v>1480279455</v>
      </c>
      <c r="I3026">
        <v>1337108875</v>
      </c>
      <c r="J3026">
        <v>1327792732</v>
      </c>
      <c r="K3026">
        <v>1337973941</v>
      </c>
      <c r="L3026">
        <v>1276107570</v>
      </c>
      <c r="M3026">
        <v>1221110069</v>
      </c>
      <c r="N3026">
        <v>1157127584</v>
      </c>
      <c r="O3026">
        <v>1127095433</v>
      </c>
      <c r="P3026">
        <v>125</v>
      </c>
      <c r="Q3026" t="s">
        <v>6392</v>
      </c>
    </row>
    <row r="3027" spans="1:17" x14ac:dyDescent="0.3">
      <c r="A3027" t="s">
        <v>4729</v>
      </c>
      <c r="B3027" t="str">
        <f>"002301"</f>
        <v>002301</v>
      </c>
      <c r="C3027" t="s">
        <v>6393</v>
      </c>
      <c r="D3027" t="s">
        <v>3410</v>
      </c>
      <c r="F3027">
        <v>2871335245</v>
      </c>
      <c r="G3027">
        <v>3470823763</v>
      </c>
      <c r="H3027">
        <v>3357450145</v>
      </c>
      <c r="I3027">
        <v>2513174868</v>
      </c>
      <c r="J3027">
        <v>2431522858</v>
      </c>
      <c r="K3027">
        <v>1233777275</v>
      </c>
      <c r="L3027">
        <v>1129236467</v>
      </c>
      <c r="M3027">
        <v>1129778048</v>
      </c>
      <c r="N3027">
        <v>1131448690</v>
      </c>
      <c r="O3027">
        <v>1119726843</v>
      </c>
      <c r="P3027">
        <v>202</v>
      </c>
      <c r="Q3027" t="s">
        <v>6394</v>
      </c>
    </row>
    <row r="3028" spans="1:17" x14ac:dyDescent="0.3">
      <c r="A3028" t="s">
        <v>4729</v>
      </c>
      <c r="B3028" t="str">
        <f>"002302"</f>
        <v>002302</v>
      </c>
      <c r="C3028" t="s">
        <v>6395</v>
      </c>
      <c r="D3028" t="s">
        <v>3098</v>
      </c>
      <c r="F3028">
        <v>8555202135</v>
      </c>
      <c r="G3028">
        <v>7828780424</v>
      </c>
      <c r="H3028">
        <v>7154515006</v>
      </c>
      <c r="I3028">
        <v>6512982810</v>
      </c>
      <c r="J3028">
        <v>6301015439</v>
      </c>
      <c r="K3028">
        <v>4279029940</v>
      </c>
      <c r="L3028">
        <v>4012713830</v>
      </c>
      <c r="M3028">
        <v>3717534645</v>
      </c>
      <c r="N3028">
        <v>3436428826</v>
      </c>
      <c r="O3028">
        <v>1187632045</v>
      </c>
      <c r="P3028">
        <v>201</v>
      </c>
      <c r="Q3028" t="s">
        <v>6396</v>
      </c>
    </row>
    <row r="3029" spans="1:17" x14ac:dyDescent="0.3">
      <c r="A3029" t="s">
        <v>4729</v>
      </c>
      <c r="B3029" t="str">
        <f>"002303"</f>
        <v>002303</v>
      </c>
      <c r="C3029" t="s">
        <v>6397</v>
      </c>
      <c r="D3029" t="s">
        <v>2165</v>
      </c>
      <c r="F3029">
        <v>4795245762</v>
      </c>
      <c r="G3029">
        <v>4834924996</v>
      </c>
      <c r="H3029">
        <v>5147240483</v>
      </c>
      <c r="I3029">
        <v>4476485987</v>
      </c>
      <c r="J3029">
        <v>4329719804</v>
      </c>
      <c r="K3029">
        <v>3959887943</v>
      </c>
      <c r="L3029">
        <v>2376536975</v>
      </c>
      <c r="M3029">
        <v>2196706155</v>
      </c>
      <c r="N3029">
        <v>1963741621</v>
      </c>
      <c r="O3029">
        <v>1808594438</v>
      </c>
      <c r="P3029">
        <v>224</v>
      </c>
      <c r="Q3029" t="s">
        <v>6398</v>
      </c>
    </row>
    <row r="3030" spans="1:17" x14ac:dyDescent="0.3">
      <c r="A3030" t="s">
        <v>4729</v>
      </c>
      <c r="B3030" t="str">
        <f>"002304"</f>
        <v>002304</v>
      </c>
      <c r="C3030" t="s">
        <v>6399</v>
      </c>
      <c r="D3030" t="s">
        <v>458</v>
      </c>
      <c r="F3030">
        <v>42486209790</v>
      </c>
      <c r="G3030">
        <v>38484583984</v>
      </c>
      <c r="H3030">
        <v>36508835491</v>
      </c>
      <c r="I3030">
        <v>33644530266</v>
      </c>
      <c r="J3030">
        <v>29515040286</v>
      </c>
      <c r="K3030">
        <v>26052771070</v>
      </c>
      <c r="L3030">
        <v>22937096379</v>
      </c>
      <c r="M3030">
        <v>19724734072</v>
      </c>
      <c r="N3030">
        <v>17389065779</v>
      </c>
      <c r="O3030">
        <v>14694857743</v>
      </c>
      <c r="P3030">
        <v>52722</v>
      </c>
      <c r="Q3030" t="s">
        <v>6400</v>
      </c>
    </row>
    <row r="3031" spans="1:17" x14ac:dyDescent="0.3">
      <c r="A3031" t="s">
        <v>4729</v>
      </c>
      <c r="B3031" t="str">
        <f>"002305"</f>
        <v>002305</v>
      </c>
      <c r="C3031" t="s">
        <v>6401</v>
      </c>
      <c r="D3031" t="s">
        <v>30</v>
      </c>
      <c r="F3031">
        <v>2946597748</v>
      </c>
      <c r="G3031">
        <v>4022255558</v>
      </c>
      <c r="H3031">
        <v>4068911123</v>
      </c>
      <c r="I3031">
        <v>4510193807</v>
      </c>
      <c r="J3031">
        <v>4512560433</v>
      </c>
      <c r="K3031">
        <v>4541874720</v>
      </c>
      <c r="L3031">
        <v>2933079620</v>
      </c>
      <c r="M3031">
        <v>2992744640</v>
      </c>
      <c r="N3031">
        <v>2605721328</v>
      </c>
      <c r="O3031">
        <v>2118152949</v>
      </c>
      <c r="P3031">
        <v>107</v>
      </c>
      <c r="Q3031" t="s">
        <v>6402</v>
      </c>
    </row>
    <row r="3032" spans="1:17" x14ac:dyDescent="0.3">
      <c r="A3032" t="s">
        <v>4729</v>
      </c>
      <c r="B3032" t="str">
        <f>"002306"</f>
        <v>002306</v>
      </c>
      <c r="C3032" t="s">
        <v>6403</v>
      </c>
      <c r="D3032" t="s">
        <v>3598</v>
      </c>
      <c r="F3032">
        <v>89256441</v>
      </c>
      <c r="G3032">
        <v>41139237</v>
      </c>
      <c r="H3032">
        <v>9311251</v>
      </c>
      <c r="I3032">
        <v>23811708</v>
      </c>
      <c r="J3032">
        <v>15247331</v>
      </c>
      <c r="K3032">
        <v>-32094708</v>
      </c>
      <c r="L3032">
        <v>19363157</v>
      </c>
      <c r="M3032">
        <v>-86417701</v>
      </c>
      <c r="N3032">
        <v>601714315</v>
      </c>
      <c r="O3032">
        <v>1237469179</v>
      </c>
      <c r="P3032">
        <v>68</v>
      </c>
      <c r="Q3032" t="s">
        <v>6404</v>
      </c>
    </row>
    <row r="3033" spans="1:17" x14ac:dyDescent="0.3">
      <c r="A3033" t="s">
        <v>4729</v>
      </c>
      <c r="B3033" t="str">
        <f>"002307"</f>
        <v>002307</v>
      </c>
      <c r="C3033" t="s">
        <v>6405</v>
      </c>
      <c r="D3033" t="s">
        <v>101</v>
      </c>
      <c r="F3033">
        <v>3189695778</v>
      </c>
      <c r="G3033">
        <v>2860332148</v>
      </c>
      <c r="H3033">
        <v>1852921407</v>
      </c>
      <c r="I3033">
        <v>1924595472</v>
      </c>
      <c r="J3033">
        <v>1830386730</v>
      </c>
      <c r="K3033">
        <v>1762550651</v>
      </c>
      <c r="L3033">
        <v>1483505993</v>
      </c>
      <c r="M3033">
        <v>1282124794</v>
      </c>
      <c r="N3033">
        <v>1275469707</v>
      </c>
      <c r="O3033">
        <v>1222395144</v>
      </c>
      <c r="P3033">
        <v>90</v>
      </c>
      <c r="Q3033" t="s">
        <v>6406</v>
      </c>
    </row>
    <row r="3034" spans="1:17" x14ac:dyDescent="0.3">
      <c r="A3034" t="s">
        <v>4729</v>
      </c>
      <c r="B3034" t="str">
        <f>"002308"</f>
        <v>002308</v>
      </c>
      <c r="C3034" t="s">
        <v>6407</v>
      </c>
      <c r="D3034" t="s">
        <v>236</v>
      </c>
      <c r="F3034">
        <v>1924151022</v>
      </c>
      <c r="G3034">
        <v>2320159290</v>
      </c>
      <c r="H3034">
        <v>2308751260</v>
      </c>
      <c r="I3034">
        <v>3560288050</v>
      </c>
      <c r="J3034">
        <v>3448652738</v>
      </c>
      <c r="K3034">
        <v>2344309082</v>
      </c>
      <c r="L3034">
        <v>2167541028</v>
      </c>
      <c r="M3034">
        <v>2077516991</v>
      </c>
      <c r="N3034">
        <v>2139523233</v>
      </c>
      <c r="O3034">
        <v>2046692673</v>
      </c>
      <c r="P3034">
        <v>218</v>
      </c>
      <c r="Q3034" t="s">
        <v>6408</v>
      </c>
    </row>
    <row r="3035" spans="1:17" x14ac:dyDescent="0.3">
      <c r="A3035" t="s">
        <v>4729</v>
      </c>
      <c r="B3035" t="str">
        <f>"002309"</f>
        <v>002309</v>
      </c>
      <c r="C3035" t="s">
        <v>6409</v>
      </c>
      <c r="D3035" t="s">
        <v>356</v>
      </c>
      <c r="F3035">
        <v>1766110668</v>
      </c>
      <c r="G3035">
        <v>5625218628</v>
      </c>
      <c r="H3035">
        <v>8664201695</v>
      </c>
      <c r="I3035">
        <v>8618696862</v>
      </c>
      <c r="J3035">
        <v>8987701479</v>
      </c>
      <c r="K3035">
        <v>5671617650</v>
      </c>
      <c r="L3035">
        <v>4552946122</v>
      </c>
      <c r="M3035">
        <v>4197258200</v>
      </c>
      <c r="N3035">
        <v>2685755820</v>
      </c>
      <c r="O3035">
        <v>2519153118</v>
      </c>
      <c r="P3035">
        <v>284</v>
      </c>
      <c r="Q3035" t="s">
        <v>6410</v>
      </c>
    </row>
    <row r="3036" spans="1:17" x14ac:dyDescent="0.3">
      <c r="A3036" t="s">
        <v>4729</v>
      </c>
      <c r="B3036" t="str">
        <f>"002310"</f>
        <v>002310</v>
      </c>
      <c r="C3036" t="s">
        <v>6411</v>
      </c>
      <c r="D3036" t="s">
        <v>2417</v>
      </c>
      <c r="F3036">
        <v>10756917310</v>
      </c>
      <c r="G3036">
        <v>11926768920</v>
      </c>
      <c r="H3036">
        <v>12427324715</v>
      </c>
      <c r="I3036">
        <v>12755117905</v>
      </c>
      <c r="J3036">
        <v>11314528075</v>
      </c>
      <c r="K3036">
        <v>9185470775</v>
      </c>
      <c r="L3036">
        <v>6250473638</v>
      </c>
      <c r="M3036">
        <v>5700230139</v>
      </c>
      <c r="N3036">
        <v>5125361996</v>
      </c>
      <c r="O3036">
        <v>2670639154</v>
      </c>
      <c r="P3036">
        <v>1194</v>
      </c>
      <c r="Q3036" t="s">
        <v>6412</v>
      </c>
    </row>
    <row r="3037" spans="1:17" x14ac:dyDescent="0.3">
      <c r="A3037" t="s">
        <v>4729</v>
      </c>
      <c r="B3037" t="str">
        <f>"002311"</f>
        <v>002311</v>
      </c>
      <c r="C3037" t="s">
        <v>6413</v>
      </c>
      <c r="D3037" t="s">
        <v>3155</v>
      </c>
      <c r="F3037">
        <v>14461135509</v>
      </c>
      <c r="G3037">
        <v>13972788864</v>
      </c>
      <c r="H3037">
        <v>9103789731</v>
      </c>
      <c r="I3037">
        <v>7745939077</v>
      </c>
      <c r="J3037">
        <v>6474694687</v>
      </c>
      <c r="K3037">
        <v>5649592278</v>
      </c>
      <c r="L3037">
        <v>5000608577</v>
      </c>
      <c r="M3037">
        <v>4332122484</v>
      </c>
      <c r="N3037">
        <v>3958919841</v>
      </c>
      <c r="O3037">
        <v>2925945612</v>
      </c>
      <c r="P3037">
        <v>1933</v>
      </c>
      <c r="Q3037" t="s">
        <v>6414</v>
      </c>
    </row>
    <row r="3038" spans="1:17" x14ac:dyDescent="0.3">
      <c r="A3038" t="s">
        <v>4729</v>
      </c>
      <c r="B3038" t="str">
        <f>"002312"</f>
        <v>002312</v>
      </c>
      <c r="C3038" t="s">
        <v>6415</v>
      </c>
      <c r="D3038" t="s">
        <v>183</v>
      </c>
      <c r="F3038">
        <v>6858388820</v>
      </c>
      <c r="G3038">
        <v>3831500165</v>
      </c>
      <c r="H3038">
        <v>3172991646</v>
      </c>
      <c r="I3038">
        <v>3262486131</v>
      </c>
      <c r="J3038">
        <v>3401362455</v>
      </c>
      <c r="K3038">
        <v>3087055630</v>
      </c>
      <c r="L3038">
        <v>4435503436</v>
      </c>
      <c r="M3038">
        <v>1646531019</v>
      </c>
      <c r="N3038">
        <v>862914120</v>
      </c>
      <c r="O3038">
        <v>791058319</v>
      </c>
      <c r="P3038">
        <v>249</v>
      </c>
      <c r="Q3038" t="s">
        <v>6416</v>
      </c>
    </row>
    <row r="3039" spans="1:17" x14ac:dyDescent="0.3">
      <c r="A3039" t="s">
        <v>4729</v>
      </c>
      <c r="B3039" t="str">
        <f>"002313"</f>
        <v>002313</v>
      </c>
      <c r="C3039" t="s">
        <v>6417</v>
      </c>
      <c r="D3039" t="s">
        <v>786</v>
      </c>
      <c r="F3039">
        <v>2624319699</v>
      </c>
      <c r="G3039">
        <v>2688195452</v>
      </c>
      <c r="H3039">
        <v>2100526865</v>
      </c>
      <c r="I3039">
        <v>2030067798</v>
      </c>
      <c r="J3039">
        <v>1985290110</v>
      </c>
      <c r="K3039">
        <v>2008127201</v>
      </c>
      <c r="L3039">
        <v>1918428231</v>
      </c>
      <c r="M3039">
        <v>1928897357</v>
      </c>
      <c r="N3039">
        <v>1960406882</v>
      </c>
      <c r="O3039">
        <v>1954925532</v>
      </c>
      <c r="P3039">
        <v>243</v>
      </c>
      <c r="Q3039" t="s">
        <v>6418</v>
      </c>
    </row>
    <row r="3040" spans="1:17" x14ac:dyDescent="0.3">
      <c r="A3040" t="s">
        <v>4729</v>
      </c>
      <c r="B3040" t="str">
        <f>"002314"</f>
        <v>002314</v>
      </c>
      <c r="C3040" t="s">
        <v>6419</v>
      </c>
      <c r="D3040" t="s">
        <v>104</v>
      </c>
      <c r="F3040">
        <v>9563433068</v>
      </c>
      <c r="G3040">
        <v>9485985397</v>
      </c>
      <c r="H3040">
        <v>8411501047</v>
      </c>
      <c r="I3040">
        <v>8080943589</v>
      </c>
      <c r="J3040">
        <v>5889933324</v>
      </c>
      <c r="K3040">
        <v>5636859407</v>
      </c>
      <c r="L3040">
        <v>5818793967</v>
      </c>
      <c r="M3040">
        <v>1308672726</v>
      </c>
      <c r="N3040">
        <v>1843449952</v>
      </c>
      <c r="O3040">
        <v>1806381899</v>
      </c>
      <c r="P3040">
        <v>206</v>
      </c>
      <c r="Q3040" t="s">
        <v>6420</v>
      </c>
    </row>
    <row r="3041" spans="1:17" x14ac:dyDescent="0.3">
      <c r="A3041" t="s">
        <v>4729</v>
      </c>
      <c r="B3041" t="str">
        <f>"002315"</f>
        <v>002315</v>
      </c>
      <c r="C3041" t="s">
        <v>6421</v>
      </c>
      <c r="D3041" t="s">
        <v>2020</v>
      </c>
      <c r="F3041">
        <v>2094175924</v>
      </c>
      <c r="G3041">
        <v>2198088297</v>
      </c>
      <c r="H3041">
        <v>1986106300</v>
      </c>
      <c r="I3041">
        <v>1791392433</v>
      </c>
      <c r="J3041">
        <v>1863707052</v>
      </c>
      <c r="K3041">
        <v>1946314747</v>
      </c>
      <c r="L3041">
        <v>2014146971</v>
      </c>
      <c r="M3041">
        <v>1818394532</v>
      </c>
      <c r="N3041">
        <v>1790199998</v>
      </c>
      <c r="O3041">
        <v>1704427583</v>
      </c>
      <c r="P3041">
        <v>221</v>
      </c>
      <c r="Q3041" t="s">
        <v>6422</v>
      </c>
    </row>
    <row r="3042" spans="1:17" x14ac:dyDescent="0.3">
      <c r="A3042" t="s">
        <v>4729</v>
      </c>
      <c r="B3042" t="str">
        <f>"002316"</f>
        <v>002316</v>
      </c>
      <c r="C3042" t="s">
        <v>6423</v>
      </c>
      <c r="D3042" t="s">
        <v>6424</v>
      </c>
      <c r="F3042">
        <v>-43714194</v>
      </c>
      <c r="G3042">
        <v>237339867</v>
      </c>
      <c r="H3042">
        <v>720601521</v>
      </c>
      <c r="I3042">
        <v>879565903</v>
      </c>
      <c r="J3042">
        <v>831479939</v>
      </c>
      <c r="K3042">
        <v>857479602</v>
      </c>
      <c r="L3042">
        <v>859289100</v>
      </c>
      <c r="M3042">
        <v>830077459</v>
      </c>
      <c r="N3042">
        <v>804389722</v>
      </c>
      <c r="O3042">
        <v>845510232</v>
      </c>
      <c r="P3042">
        <v>229</v>
      </c>
      <c r="Q3042" t="s">
        <v>6425</v>
      </c>
    </row>
    <row r="3043" spans="1:17" x14ac:dyDescent="0.3">
      <c r="A3043" t="s">
        <v>4729</v>
      </c>
      <c r="B3043" t="str">
        <f>"002317"</f>
        <v>002317</v>
      </c>
      <c r="C3043" t="s">
        <v>6426</v>
      </c>
      <c r="D3043" t="s">
        <v>188</v>
      </c>
      <c r="F3043">
        <v>3475652726</v>
      </c>
      <c r="G3043">
        <v>3524977153</v>
      </c>
      <c r="H3043">
        <v>4065844958</v>
      </c>
      <c r="I3043">
        <v>3903000073</v>
      </c>
      <c r="J3043">
        <v>3707128584</v>
      </c>
      <c r="K3043">
        <v>3394666353</v>
      </c>
      <c r="L3043">
        <v>2061128254</v>
      </c>
      <c r="M3043">
        <v>1848780610</v>
      </c>
      <c r="N3043">
        <v>1684408354</v>
      </c>
      <c r="O3043">
        <v>1586706074</v>
      </c>
      <c r="P3043">
        <v>344</v>
      </c>
      <c r="Q3043" t="s">
        <v>6427</v>
      </c>
    </row>
    <row r="3044" spans="1:17" x14ac:dyDescent="0.3">
      <c r="A3044" t="s">
        <v>4729</v>
      </c>
      <c r="B3044" t="str">
        <f>"002318"</f>
        <v>002318</v>
      </c>
      <c r="C3044" t="s">
        <v>6428</v>
      </c>
      <c r="D3044" t="s">
        <v>281</v>
      </c>
      <c r="F3044">
        <v>5096549665</v>
      </c>
      <c r="G3044">
        <v>4785066152</v>
      </c>
      <c r="H3044">
        <v>3218002623</v>
      </c>
      <c r="I3044">
        <v>2969833147</v>
      </c>
      <c r="J3044">
        <v>2695219262</v>
      </c>
      <c r="K3044">
        <v>2614122787</v>
      </c>
      <c r="L3044">
        <v>2461177076</v>
      </c>
      <c r="M3044">
        <v>2404725297</v>
      </c>
      <c r="N3044">
        <v>1785838456</v>
      </c>
      <c r="O3044">
        <v>1600008185</v>
      </c>
      <c r="P3044">
        <v>451</v>
      </c>
      <c r="Q3044" t="s">
        <v>6429</v>
      </c>
    </row>
    <row r="3045" spans="1:17" x14ac:dyDescent="0.3">
      <c r="A3045" t="s">
        <v>4729</v>
      </c>
      <c r="B3045" t="str">
        <f>"002319"</f>
        <v>002319</v>
      </c>
      <c r="C3045" t="s">
        <v>6430</v>
      </c>
      <c r="D3045" t="s">
        <v>2585</v>
      </c>
      <c r="F3045">
        <v>106103509</v>
      </c>
      <c r="G3045">
        <v>142051055</v>
      </c>
      <c r="H3045">
        <v>140361987</v>
      </c>
      <c r="I3045">
        <v>432770589</v>
      </c>
      <c r="J3045">
        <v>491052366</v>
      </c>
      <c r="K3045">
        <v>480150781</v>
      </c>
      <c r="L3045">
        <v>557202335</v>
      </c>
      <c r="M3045">
        <v>557283436</v>
      </c>
      <c r="N3045">
        <v>552892469</v>
      </c>
      <c r="O3045">
        <v>538374517</v>
      </c>
      <c r="P3045">
        <v>55</v>
      </c>
      <c r="Q3045" t="s">
        <v>6431</v>
      </c>
    </row>
    <row r="3046" spans="1:17" x14ac:dyDescent="0.3">
      <c r="A3046" t="s">
        <v>4729</v>
      </c>
      <c r="B3046" t="str">
        <f>"002320"</f>
        <v>002320</v>
      </c>
      <c r="C3046" t="s">
        <v>6432</v>
      </c>
      <c r="D3046" t="s">
        <v>69</v>
      </c>
      <c r="F3046">
        <v>3979466053</v>
      </c>
      <c r="G3046">
        <v>3972387506</v>
      </c>
      <c r="H3046">
        <v>3789592180</v>
      </c>
      <c r="I3046">
        <v>3635088387</v>
      </c>
      <c r="J3046">
        <v>3581323499</v>
      </c>
      <c r="K3046">
        <v>2354030280</v>
      </c>
      <c r="L3046">
        <v>2067860548</v>
      </c>
      <c r="M3046">
        <v>1958897328</v>
      </c>
      <c r="N3046">
        <v>1892917218</v>
      </c>
      <c r="O3046">
        <v>1872919597</v>
      </c>
      <c r="P3046">
        <v>174</v>
      </c>
      <c r="Q3046" t="s">
        <v>6433</v>
      </c>
    </row>
    <row r="3047" spans="1:17" x14ac:dyDescent="0.3">
      <c r="A3047" t="s">
        <v>4729</v>
      </c>
      <c r="B3047" t="str">
        <f>"002321"</f>
        <v>002321</v>
      </c>
      <c r="C3047" t="s">
        <v>6434</v>
      </c>
      <c r="D3047" t="s">
        <v>1882</v>
      </c>
      <c r="F3047">
        <v>1117041636</v>
      </c>
      <c r="G3047">
        <v>1561027135</v>
      </c>
      <c r="H3047">
        <v>2511729289</v>
      </c>
      <c r="I3047">
        <v>2583336095</v>
      </c>
      <c r="J3047">
        <v>2490203120</v>
      </c>
      <c r="K3047">
        <v>2409348353</v>
      </c>
      <c r="L3047">
        <v>1479791577</v>
      </c>
      <c r="M3047">
        <v>1462308910</v>
      </c>
      <c r="N3047">
        <v>1449729779</v>
      </c>
      <c r="O3047">
        <v>987873370</v>
      </c>
      <c r="P3047">
        <v>111</v>
      </c>
      <c r="Q3047" t="s">
        <v>6435</v>
      </c>
    </row>
    <row r="3048" spans="1:17" x14ac:dyDescent="0.3">
      <c r="A3048" t="s">
        <v>4729</v>
      </c>
      <c r="B3048" t="str">
        <f>"002322"</f>
        <v>002322</v>
      </c>
      <c r="C3048" t="s">
        <v>6436</v>
      </c>
      <c r="D3048" t="s">
        <v>945</v>
      </c>
      <c r="F3048">
        <v>2923230751</v>
      </c>
      <c r="G3048">
        <v>3082768473</v>
      </c>
      <c r="H3048">
        <v>2980105094</v>
      </c>
      <c r="I3048">
        <v>2922915324</v>
      </c>
      <c r="J3048">
        <v>3132504237</v>
      </c>
      <c r="K3048">
        <v>2972796635</v>
      </c>
      <c r="L3048">
        <v>2860805438</v>
      </c>
      <c r="M3048">
        <v>1234242631</v>
      </c>
      <c r="N3048">
        <v>1236871233</v>
      </c>
      <c r="O3048">
        <v>1111218868</v>
      </c>
      <c r="P3048">
        <v>180</v>
      </c>
      <c r="Q3048" t="s">
        <v>6437</v>
      </c>
    </row>
    <row r="3049" spans="1:17" x14ac:dyDescent="0.3">
      <c r="A3049" t="s">
        <v>4729</v>
      </c>
      <c r="B3049" t="str">
        <f>"002323"</f>
        <v>002323</v>
      </c>
      <c r="C3049" t="s">
        <v>6438</v>
      </c>
      <c r="D3049" t="s">
        <v>722</v>
      </c>
      <c r="F3049">
        <v>636671238</v>
      </c>
      <c r="G3049">
        <v>54905667</v>
      </c>
      <c r="H3049">
        <v>77450890</v>
      </c>
      <c r="I3049">
        <v>369339694</v>
      </c>
      <c r="J3049">
        <v>855209233</v>
      </c>
      <c r="K3049">
        <v>624165099</v>
      </c>
      <c r="L3049">
        <v>412584311</v>
      </c>
      <c r="M3049">
        <v>852900884</v>
      </c>
      <c r="N3049">
        <v>856487069</v>
      </c>
      <c r="O3049">
        <v>860145303</v>
      </c>
      <c r="P3049">
        <v>78</v>
      </c>
      <c r="Q3049" t="s">
        <v>6439</v>
      </c>
    </row>
    <row r="3050" spans="1:17" x14ac:dyDescent="0.3">
      <c r="A3050" t="s">
        <v>4729</v>
      </c>
      <c r="B3050" t="str">
        <f>"002324"</f>
        <v>002324</v>
      </c>
      <c r="C3050" t="s">
        <v>6440</v>
      </c>
      <c r="D3050" t="s">
        <v>341</v>
      </c>
      <c r="F3050">
        <v>2603782706</v>
      </c>
      <c r="G3050">
        <v>2698277553</v>
      </c>
      <c r="H3050">
        <v>2391338636</v>
      </c>
      <c r="I3050">
        <v>2327874671</v>
      </c>
      <c r="J3050">
        <v>2256367286</v>
      </c>
      <c r="K3050">
        <v>2123237779</v>
      </c>
      <c r="L3050">
        <v>1839579653</v>
      </c>
      <c r="M3050">
        <v>1582227996</v>
      </c>
      <c r="N3050">
        <v>1445416965</v>
      </c>
      <c r="O3050">
        <v>1267367548</v>
      </c>
      <c r="P3050">
        <v>212</v>
      </c>
      <c r="Q3050" t="s">
        <v>6441</v>
      </c>
    </row>
    <row r="3051" spans="1:17" x14ac:dyDescent="0.3">
      <c r="A3051" t="s">
        <v>4729</v>
      </c>
      <c r="B3051" t="str">
        <f>"002325"</f>
        <v>002325</v>
      </c>
      <c r="C3051" t="s">
        <v>6442</v>
      </c>
      <c r="D3051" t="s">
        <v>450</v>
      </c>
      <c r="F3051">
        <v>2612422339</v>
      </c>
      <c r="G3051">
        <v>2685786922</v>
      </c>
      <c r="H3051">
        <v>3022556325</v>
      </c>
      <c r="I3051">
        <v>3101683110</v>
      </c>
      <c r="J3051">
        <v>3527843789</v>
      </c>
      <c r="K3051">
        <v>3381896950</v>
      </c>
      <c r="L3051">
        <v>3255653788</v>
      </c>
      <c r="M3051">
        <v>2907900919</v>
      </c>
      <c r="N3051">
        <v>1833705305</v>
      </c>
      <c r="O3051">
        <v>1489738952</v>
      </c>
      <c r="P3051">
        <v>171</v>
      </c>
      <c r="Q3051" t="s">
        <v>6443</v>
      </c>
    </row>
    <row r="3052" spans="1:17" x14ac:dyDescent="0.3">
      <c r="A3052" t="s">
        <v>4729</v>
      </c>
      <c r="B3052" t="str">
        <f>"002326"</f>
        <v>002326</v>
      </c>
      <c r="C3052" t="s">
        <v>6444</v>
      </c>
      <c r="D3052" t="s">
        <v>375</v>
      </c>
      <c r="F3052">
        <v>3522385458</v>
      </c>
      <c r="G3052">
        <v>3346175454</v>
      </c>
      <c r="H3052">
        <v>3196175835</v>
      </c>
      <c r="I3052">
        <v>3008215708</v>
      </c>
      <c r="J3052">
        <v>2674064152</v>
      </c>
      <c r="K3052">
        <v>2092936679</v>
      </c>
      <c r="L3052">
        <v>1872125239</v>
      </c>
      <c r="M3052">
        <v>1689114057</v>
      </c>
      <c r="N3052">
        <v>1005204654</v>
      </c>
      <c r="O3052">
        <v>1009786095</v>
      </c>
      <c r="P3052">
        <v>298</v>
      </c>
      <c r="Q3052" t="s">
        <v>6445</v>
      </c>
    </row>
    <row r="3053" spans="1:17" x14ac:dyDescent="0.3">
      <c r="A3053" t="s">
        <v>4729</v>
      </c>
      <c r="B3053" t="str">
        <f>"002327"</f>
        <v>002327</v>
      </c>
      <c r="C3053" t="s">
        <v>6446</v>
      </c>
      <c r="D3053" t="s">
        <v>2889</v>
      </c>
      <c r="F3053">
        <v>3699747560</v>
      </c>
      <c r="G3053">
        <v>3579136181</v>
      </c>
      <c r="H3053">
        <v>3564192368</v>
      </c>
      <c r="I3053">
        <v>3559708620</v>
      </c>
      <c r="J3053">
        <v>3141352694</v>
      </c>
      <c r="K3053">
        <v>2660625703</v>
      </c>
      <c r="L3053">
        <v>2288181418</v>
      </c>
      <c r="M3053">
        <v>2164648515</v>
      </c>
      <c r="N3053">
        <v>1801859544</v>
      </c>
      <c r="O3053">
        <v>1512197594</v>
      </c>
      <c r="P3053">
        <v>1306</v>
      </c>
      <c r="Q3053" t="s">
        <v>6447</v>
      </c>
    </row>
    <row r="3054" spans="1:17" x14ac:dyDescent="0.3">
      <c r="A3054" t="s">
        <v>4729</v>
      </c>
      <c r="B3054" t="str">
        <f>"002328"</f>
        <v>002328</v>
      </c>
      <c r="C3054" t="s">
        <v>6448</v>
      </c>
      <c r="D3054" t="s">
        <v>985</v>
      </c>
      <c r="F3054">
        <v>2911593362</v>
      </c>
      <c r="G3054">
        <v>2604998154</v>
      </c>
      <c r="H3054">
        <v>2558463207</v>
      </c>
      <c r="I3054">
        <v>2479790868</v>
      </c>
      <c r="J3054">
        <v>2399326917</v>
      </c>
      <c r="K3054">
        <v>2328021574</v>
      </c>
      <c r="L3054">
        <v>2252110643</v>
      </c>
      <c r="M3054">
        <v>2202225690</v>
      </c>
      <c r="N3054">
        <v>2127575467</v>
      </c>
      <c r="O3054">
        <v>2095148572</v>
      </c>
      <c r="P3054">
        <v>110</v>
      </c>
      <c r="Q3054" t="s">
        <v>6449</v>
      </c>
    </row>
    <row r="3055" spans="1:17" x14ac:dyDescent="0.3">
      <c r="A3055" t="s">
        <v>4729</v>
      </c>
      <c r="B3055" t="str">
        <f>"002329"</f>
        <v>002329</v>
      </c>
      <c r="C3055" t="s">
        <v>6450</v>
      </c>
      <c r="D3055" t="s">
        <v>900</v>
      </c>
      <c r="F3055">
        <v>1559474712</v>
      </c>
      <c r="G3055">
        <v>2035841172</v>
      </c>
      <c r="H3055">
        <v>2180413213</v>
      </c>
      <c r="I3055">
        <v>2128672360</v>
      </c>
      <c r="J3055">
        <v>2750193722</v>
      </c>
      <c r="K3055">
        <v>2736463256</v>
      </c>
      <c r="L3055">
        <v>2588319536</v>
      </c>
      <c r="M3055">
        <v>1553564031</v>
      </c>
      <c r="N3055">
        <v>794220465</v>
      </c>
      <c r="O3055">
        <v>800395019</v>
      </c>
      <c r="P3055">
        <v>186</v>
      </c>
      <c r="Q3055" t="s">
        <v>6451</v>
      </c>
    </row>
    <row r="3056" spans="1:17" x14ac:dyDescent="0.3">
      <c r="A3056" t="s">
        <v>4729</v>
      </c>
      <c r="B3056" t="str">
        <f>"002330"</f>
        <v>002330</v>
      </c>
      <c r="C3056" t="s">
        <v>6452</v>
      </c>
      <c r="D3056" t="s">
        <v>170</v>
      </c>
      <c r="F3056">
        <v>1394978986</v>
      </c>
      <c r="G3056">
        <v>1355607721</v>
      </c>
      <c r="H3056">
        <v>1326503768</v>
      </c>
      <c r="I3056">
        <v>1330978151</v>
      </c>
      <c r="J3056">
        <v>1326992570</v>
      </c>
      <c r="K3056">
        <v>1315319123</v>
      </c>
      <c r="L3056">
        <v>1305478363</v>
      </c>
      <c r="M3056">
        <v>1299525284</v>
      </c>
      <c r="N3056">
        <v>1313108915</v>
      </c>
      <c r="O3056">
        <v>1276435428</v>
      </c>
      <c r="P3056">
        <v>540</v>
      </c>
      <c r="Q3056" t="s">
        <v>6453</v>
      </c>
    </row>
    <row r="3057" spans="1:17" x14ac:dyDescent="0.3">
      <c r="A3057" t="s">
        <v>4729</v>
      </c>
      <c r="B3057" t="str">
        <f>"002331"</f>
        <v>002331</v>
      </c>
      <c r="C3057" t="s">
        <v>6454</v>
      </c>
      <c r="D3057" t="s">
        <v>316</v>
      </c>
      <c r="F3057">
        <v>1861085707</v>
      </c>
      <c r="G3057">
        <v>1960378815</v>
      </c>
      <c r="H3057">
        <v>2183029030</v>
      </c>
      <c r="I3057">
        <v>2015353483</v>
      </c>
      <c r="J3057">
        <v>1358007375</v>
      </c>
      <c r="K3057">
        <v>1291950872</v>
      </c>
      <c r="L3057">
        <v>1229675148</v>
      </c>
      <c r="M3057">
        <v>1172344856</v>
      </c>
      <c r="N3057">
        <v>757547514</v>
      </c>
      <c r="O3057">
        <v>700174734</v>
      </c>
      <c r="P3057">
        <v>121</v>
      </c>
      <c r="Q3057" t="s">
        <v>6455</v>
      </c>
    </row>
    <row r="3058" spans="1:17" x14ac:dyDescent="0.3">
      <c r="A3058" t="s">
        <v>4729</v>
      </c>
      <c r="B3058" t="str">
        <f>"002332"</f>
        <v>002332</v>
      </c>
      <c r="C3058" t="s">
        <v>6456</v>
      </c>
      <c r="D3058" t="s">
        <v>143</v>
      </c>
      <c r="F3058">
        <v>4829228112</v>
      </c>
      <c r="G3058">
        <v>4444931882</v>
      </c>
      <c r="H3058">
        <v>2941524857</v>
      </c>
      <c r="I3058">
        <v>2631668612</v>
      </c>
      <c r="J3058">
        <v>2353267776</v>
      </c>
      <c r="K3058">
        <v>2225427631</v>
      </c>
      <c r="L3058">
        <v>2140207333</v>
      </c>
      <c r="M3058">
        <v>1213676115</v>
      </c>
      <c r="N3058">
        <v>1156995719</v>
      </c>
      <c r="O3058">
        <v>1164604272</v>
      </c>
      <c r="P3058">
        <v>385</v>
      </c>
      <c r="Q3058" t="s">
        <v>6457</v>
      </c>
    </row>
    <row r="3059" spans="1:17" x14ac:dyDescent="0.3">
      <c r="A3059" t="s">
        <v>4729</v>
      </c>
      <c r="B3059" t="str">
        <f>"002333"</f>
        <v>002333</v>
      </c>
      <c r="C3059" t="s">
        <v>6458</v>
      </c>
      <c r="D3059" t="s">
        <v>722</v>
      </c>
      <c r="F3059">
        <v>1776894401</v>
      </c>
      <c r="G3059">
        <v>1293642846</v>
      </c>
      <c r="H3059">
        <v>1266559186</v>
      </c>
      <c r="I3059">
        <v>1318081208</v>
      </c>
      <c r="J3059">
        <v>1471196906</v>
      </c>
      <c r="K3059">
        <v>1560414187</v>
      </c>
      <c r="L3059">
        <v>1469852513</v>
      </c>
      <c r="M3059">
        <v>1339115901</v>
      </c>
      <c r="N3059">
        <v>1335670452</v>
      </c>
      <c r="O3059">
        <v>1306415064</v>
      </c>
      <c r="P3059">
        <v>59</v>
      </c>
      <c r="Q3059" t="s">
        <v>6459</v>
      </c>
    </row>
    <row r="3060" spans="1:17" x14ac:dyDescent="0.3">
      <c r="A3060" t="s">
        <v>4729</v>
      </c>
      <c r="B3060" t="str">
        <f>"002334"</f>
        <v>002334</v>
      </c>
      <c r="C3060" t="s">
        <v>6460</v>
      </c>
      <c r="D3060" t="s">
        <v>2432</v>
      </c>
      <c r="F3060">
        <v>1915313546</v>
      </c>
      <c r="G3060">
        <v>1715184984</v>
      </c>
      <c r="H3060">
        <v>1553453127</v>
      </c>
      <c r="I3060">
        <v>1868135464</v>
      </c>
      <c r="J3060">
        <v>1737822186</v>
      </c>
      <c r="K3060">
        <v>1493600195</v>
      </c>
      <c r="L3060">
        <v>1572194793</v>
      </c>
      <c r="M3060">
        <v>1453518800</v>
      </c>
      <c r="N3060">
        <v>1305077733</v>
      </c>
      <c r="O3060">
        <v>1173645019</v>
      </c>
      <c r="P3060">
        <v>222</v>
      </c>
      <c r="Q3060" t="s">
        <v>6461</v>
      </c>
    </row>
    <row r="3061" spans="1:17" x14ac:dyDescent="0.3">
      <c r="A3061" t="s">
        <v>4729</v>
      </c>
      <c r="B3061" t="str">
        <f>"002335"</f>
        <v>002335</v>
      </c>
      <c r="C3061" t="s">
        <v>6462</v>
      </c>
      <c r="D3061" t="s">
        <v>880</v>
      </c>
      <c r="F3061">
        <v>3527869343</v>
      </c>
      <c r="G3061">
        <v>3234604060</v>
      </c>
      <c r="H3061">
        <v>3196326712</v>
      </c>
      <c r="I3061">
        <v>3273974282</v>
      </c>
      <c r="J3061">
        <v>3448829799</v>
      </c>
      <c r="K3061">
        <v>3024153542</v>
      </c>
      <c r="L3061">
        <v>1272674136</v>
      </c>
      <c r="M3061">
        <v>1127672620</v>
      </c>
      <c r="N3061">
        <v>1043932072</v>
      </c>
      <c r="O3061">
        <v>973895388</v>
      </c>
      <c r="P3061">
        <v>431</v>
      </c>
      <c r="Q3061" t="s">
        <v>6463</v>
      </c>
    </row>
    <row r="3062" spans="1:17" x14ac:dyDescent="0.3">
      <c r="A3062" t="s">
        <v>4729</v>
      </c>
      <c r="B3062" t="str">
        <f>"002336"</f>
        <v>002336</v>
      </c>
      <c r="C3062" t="s">
        <v>6464</v>
      </c>
      <c r="D3062" t="s">
        <v>798</v>
      </c>
      <c r="F3062">
        <v>617826712</v>
      </c>
      <c r="G3062">
        <v>1460880087</v>
      </c>
      <c r="H3062">
        <v>1449694171</v>
      </c>
      <c r="I3062">
        <v>1413414720</v>
      </c>
      <c r="J3062">
        <v>1768388933</v>
      </c>
      <c r="K3062">
        <v>2306800575</v>
      </c>
      <c r="L3062">
        <v>2246319951</v>
      </c>
      <c r="M3062">
        <v>2721049508</v>
      </c>
      <c r="N3062">
        <v>3181569792</v>
      </c>
      <c r="O3062">
        <v>3174307763</v>
      </c>
      <c r="P3062">
        <v>69</v>
      </c>
      <c r="Q3062" t="s">
        <v>6465</v>
      </c>
    </row>
    <row r="3063" spans="1:17" x14ac:dyDescent="0.3">
      <c r="A3063" t="s">
        <v>4729</v>
      </c>
      <c r="B3063" t="str">
        <f>"002337"</f>
        <v>002337</v>
      </c>
      <c r="C3063" t="s">
        <v>6466</v>
      </c>
      <c r="D3063" t="s">
        <v>741</v>
      </c>
      <c r="F3063">
        <v>1118940151</v>
      </c>
      <c r="G3063">
        <v>1106847074</v>
      </c>
      <c r="H3063">
        <v>1220483083</v>
      </c>
      <c r="I3063">
        <v>1213772843</v>
      </c>
      <c r="J3063">
        <v>1214327682</v>
      </c>
      <c r="K3063">
        <v>1208797522</v>
      </c>
      <c r="L3063">
        <v>1205888135</v>
      </c>
      <c r="M3063">
        <v>1285975782</v>
      </c>
      <c r="N3063">
        <v>1298210824</v>
      </c>
      <c r="O3063">
        <v>1262698679</v>
      </c>
      <c r="P3063">
        <v>92</v>
      </c>
      <c r="Q3063" t="s">
        <v>6467</v>
      </c>
    </row>
    <row r="3064" spans="1:17" x14ac:dyDescent="0.3">
      <c r="A3064" t="s">
        <v>4729</v>
      </c>
      <c r="B3064" t="str">
        <f>"002338"</f>
        <v>002338</v>
      </c>
      <c r="C3064" t="s">
        <v>6468</v>
      </c>
      <c r="D3064" t="s">
        <v>1136</v>
      </c>
      <c r="F3064">
        <v>962520821</v>
      </c>
      <c r="G3064">
        <v>892118935</v>
      </c>
      <c r="H3064">
        <v>848694911</v>
      </c>
      <c r="I3064">
        <v>816807643</v>
      </c>
      <c r="J3064">
        <v>783148231</v>
      </c>
      <c r="K3064">
        <v>761296344</v>
      </c>
      <c r="L3064">
        <v>724833442</v>
      </c>
      <c r="M3064">
        <v>711132027</v>
      </c>
      <c r="N3064">
        <v>682391961</v>
      </c>
      <c r="O3064">
        <v>642648974</v>
      </c>
      <c r="P3064">
        <v>147</v>
      </c>
      <c r="Q3064" t="s">
        <v>6469</v>
      </c>
    </row>
    <row r="3065" spans="1:17" x14ac:dyDescent="0.3">
      <c r="A3065" t="s">
        <v>4729</v>
      </c>
      <c r="B3065" t="str">
        <f>"002339"</f>
        <v>002339</v>
      </c>
      <c r="C3065" t="s">
        <v>6470</v>
      </c>
      <c r="D3065" t="s">
        <v>610</v>
      </c>
      <c r="F3065">
        <v>1783798252</v>
      </c>
      <c r="G3065">
        <v>1831510036</v>
      </c>
      <c r="H3065">
        <v>1787400500</v>
      </c>
      <c r="I3065">
        <v>1804661668</v>
      </c>
      <c r="J3065">
        <v>1747081914</v>
      </c>
      <c r="K3065">
        <v>1529846780</v>
      </c>
      <c r="L3065">
        <v>1473633630</v>
      </c>
      <c r="M3065">
        <v>1352261730</v>
      </c>
      <c r="N3065">
        <v>1245305221</v>
      </c>
      <c r="O3065">
        <v>938002840</v>
      </c>
      <c r="P3065">
        <v>120</v>
      </c>
      <c r="Q3065" t="s">
        <v>6471</v>
      </c>
    </row>
    <row r="3066" spans="1:17" x14ac:dyDescent="0.3">
      <c r="A3066" t="s">
        <v>4729</v>
      </c>
      <c r="B3066" t="str">
        <f>"002340"</f>
        <v>002340</v>
      </c>
      <c r="C3066" t="s">
        <v>6472</v>
      </c>
      <c r="D3066" t="s">
        <v>1790</v>
      </c>
      <c r="F3066">
        <v>14228480811</v>
      </c>
      <c r="G3066">
        <v>13309670621</v>
      </c>
      <c r="H3066">
        <v>10484525215</v>
      </c>
      <c r="I3066">
        <v>9877625372</v>
      </c>
      <c r="J3066">
        <v>7522289084</v>
      </c>
      <c r="K3066">
        <v>6882316208</v>
      </c>
      <c r="L3066">
        <v>6561701126</v>
      </c>
      <c r="M3066">
        <v>4289135897</v>
      </c>
      <c r="N3066">
        <v>2338416229</v>
      </c>
      <c r="O3066">
        <v>2223830018</v>
      </c>
      <c r="P3066">
        <v>1302</v>
      </c>
      <c r="Q3066" t="s">
        <v>6473</v>
      </c>
    </row>
    <row r="3067" spans="1:17" x14ac:dyDescent="0.3">
      <c r="A3067" t="s">
        <v>4729</v>
      </c>
      <c r="B3067" t="str">
        <f>"002341"</f>
        <v>002341</v>
      </c>
      <c r="C3067" t="s">
        <v>6474</v>
      </c>
      <c r="D3067" t="s">
        <v>324</v>
      </c>
      <c r="F3067">
        <v>2388399044</v>
      </c>
      <c r="G3067">
        <v>3648156204</v>
      </c>
      <c r="H3067">
        <v>4929024460</v>
      </c>
      <c r="I3067">
        <v>4965877442</v>
      </c>
      <c r="J3067">
        <v>3162145871</v>
      </c>
      <c r="K3067">
        <v>3166910417</v>
      </c>
      <c r="L3067">
        <v>1440288780</v>
      </c>
      <c r="M3067">
        <v>1551071369</v>
      </c>
      <c r="N3067">
        <v>1482635604</v>
      </c>
      <c r="O3067">
        <v>737181599</v>
      </c>
      <c r="P3067">
        <v>276</v>
      </c>
      <c r="Q3067" t="s">
        <v>6475</v>
      </c>
    </row>
    <row r="3068" spans="1:17" x14ac:dyDescent="0.3">
      <c r="A3068" t="s">
        <v>4729</v>
      </c>
      <c r="B3068" t="str">
        <f>"002342"</f>
        <v>002342</v>
      </c>
      <c r="C3068" t="s">
        <v>6476</v>
      </c>
      <c r="D3068" t="s">
        <v>274</v>
      </c>
      <c r="F3068">
        <v>2480704144</v>
      </c>
      <c r="G3068">
        <v>2460052239</v>
      </c>
      <c r="H3068">
        <v>2430562865</v>
      </c>
      <c r="I3068">
        <v>2415067018</v>
      </c>
      <c r="J3068">
        <v>2397124727</v>
      </c>
      <c r="K3068">
        <v>2419591313</v>
      </c>
      <c r="L3068">
        <v>2408034075</v>
      </c>
      <c r="M3068">
        <v>2381857246</v>
      </c>
      <c r="N3068">
        <v>2368842764</v>
      </c>
      <c r="O3068">
        <v>2315085103</v>
      </c>
      <c r="P3068">
        <v>112</v>
      </c>
      <c r="Q3068" t="s">
        <v>6477</v>
      </c>
    </row>
    <row r="3069" spans="1:17" x14ac:dyDescent="0.3">
      <c r="A3069" t="s">
        <v>4729</v>
      </c>
      <c r="B3069" t="str">
        <f>"002343"</f>
        <v>002343</v>
      </c>
      <c r="C3069" t="s">
        <v>6478</v>
      </c>
      <c r="D3069" t="s">
        <v>113</v>
      </c>
      <c r="F3069">
        <v>892704096</v>
      </c>
      <c r="G3069">
        <v>1119473920</v>
      </c>
      <c r="H3069">
        <v>1640583065</v>
      </c>
      <c r="I3069">
        <v>1476078425</v>
      </c>
      <c r="J3069">
        <v>2636241121</v>
      </c>
      <c r="K3069">
        <v>1345149330</v>
      </c>
      <c r="L3069">
        <v>1061976102</v>
      </c>
      <c r="M3069">
        <v>1195227132</v>
      </c>
      <c r="N3069">
        <v>1179675594</v>
      </c>
      <c r="O3069">
        <v>1190538185</v>
      </c>
      <c r="P3069">
        <v>183</v>
      </c>
      <c r="Q3069" t="s">
        <v>6479</v>
      </c>
    </row>
    <row r="3070" spans="1:17" x14ac:dyDescent="0.3">
      <c r="A3070" t="s">
        <v>4729</v>
      </c>
      <c r="B3070" t="str">
        <f>"002344"</f>
        <v>002344</v>
      </c>
      <c r="C3070" t="s">
        <v>6480</v>
      </c>
      <c r="D3070" t="s">
        <v>271</v>
      </c>
      <c r="F3070">
        <v>8018927968</v>
      </c>
      <c r="G3070">
        <v>7715399631</v>
      </c>
      <c r="H3070">
        <v>7545199043</v>
      </c>
      <c r="I3070">
        <v>7458669161</v>
      </c>
      <c r="J3070">
        <v>7327935554</v>
      </c>
      <c r="K3070">
        <v>7092189977</v>
      </c>
      <c r="L3070">
        <v>4860011223</v>
      </c>
      <c r="M3070">
        <v>4576782956</v>
      </c>
      <c r="N3070">
        <v>3808405127</v>
      </c>
      <c r="O3070">
        <v>2907900762</v>
      </c>
      <c r="P3070">
        <v>145</v>
      </c>
      <c r="Q3070" t="s">
        <v>6481</v>
      </c>
    </row>
    <row r="3071" spans="1:17" x14ac:dyDescent="0.3">
      <c r="A3071" t="s">
        <v>4729</v>
      </c>
      <c r="B3071" t="str">
        <f>"002345"</f>
        <v>002345</v>
      </c>
      <c r="C3071" t="s">
        <v>6482</v>
      </c>
      <c r="D3071" t="s">
        <v>1238</v>
      </c>
      <c r="F3071">
        <v>3520988066</v>
      </c>
      <c r="G3071">
        <v>3436445821</v>
      </c>
      <c r="H3071">
        <v>3387093553</v>
      </c>
      <c r="I3071">
        <v>3305281992</v>
      </c>
      <c r="J3071">
        <v>3427038892</v>
      </c>
      <c r="K3071">
        <v>2689912840</v>
      </c>
      <c r="L3071">
        <v>2543056958</v>
      </c>
      <c r="M3071">
        <v>2408458028</v>
      </c>
      <c r="N3071">
        <v>2232773675</v>
      </c>
      <c r="O3071">
        <v>1464505145</v>
      </c>
      <c r="P3071">
        <v>137</v>
      </c>
      <c r="Q3071" t="s">
        <v>6483</v>
      </c>
    </row>
    <row r="3072" spans="1:17" x14ac:dyDescent="0.3">
      <c r="A3072" t="s">
        <v>4729</v>
      </c>
      <c r="B3072" t="str">
        <f>"002346"</f>
        <v>002346</v>
      </c>
      <c r="C3072" t="s">
        <v>6484</v>
      </c>
      <c r="D3072" t="s">
        <v>210</v>
      </c>
      <c r="F3072">
        <v>2403372729</v>
      </c>
      <c r="G3072">
        <v>2084293742</v>
      </c>
      <c r="H3072">
        <v>2030446802</v>
      </c>
      <c r="I3072">
        <v>2038432100</v>
      </c>
      <c r="J3072">
        <v>2120074213</v>
      </c>
      <c r="K3072">
        <v>1648063725</v>
      </c>
      <c r="L3072">
        <v>1488807910</v>
      </c>
      <c r="M3072">
        <v>1433372336</v>
      </c>
      <c r="N3072">
        <v>950883210</v>
      </c>
      <c r="O3072">
        <v>966530727</v>
      </c>
      <c r="P3072">
        <v>105</v>
      </c>
      <c r="Q3072" t="s">
        <v>6485</v>
      </c>
    </row>
    <row r="3073" spans="1:17" x14ac:dyDescent="0.3">
      <c r="A3073" t="s">
        <v>4729</v>
      </c>
      <c r="B3073" t="str">
        <f>"002347"</f>
        <v>002347</v>
      </c>
      <c r="C3073" t="s">
        <v>6486</v>
      </c>
      <c r="D3073" t="s">
        <v>274</v>
      </c>
      <c r="F3073">
        <v>1336265415</v>
      </c>
      <c r="G3073">
        <v>1136191944</v>
      </c>
      <c r="H3073">
        <v>1154249938</v>
      </c>
      <c r="I3073">
        <v>1140420674</v>
      </c>
      <c r="J3073">
        <v>1130651622</v>
      </c>
      <c r="K3073">
        <v>1221413047</v>
      </c>
      <c r="L3073">
        <v>1210572384</v>
      </c>
      <c r="M3073">
        <v>1205828579</v>
      </c>
      <c r="N3073">
        <v>925778738</v>
      </c>
      <c r="O3073">
        <v>854647918</v>
      </c>
      <c r="P3073">
        <v>75</v>
      </c>
      <c r="Q3073" t="s">
        <v>6487</v>
      </c>
    </row>
    <row r="3074" spans="1:17" x14ac:dyDescent="0.3">
      <c r="A3074" t="s">
        <v>4729</v>
      </c>
      <c r="B3074" t="str">
        <f>"002348"</f>
        <v>002348</v>
      </c>
      <c r="C3074" t="s">
        <v>6488</v>
      </c>
      <c r="D3074" t="s">
        <v>2931</v>
      </c>
      <c r="F3074">
        <v>653608385</v>
      </c>
      <c r="G3074">
        <v>763769569</v>
      </c>
      <c r="H3074">
        <v>958506002</v>
      </c>
      <c r="I3074">
        <v>1286290224</v>
      </c>
      <c r="J3074">
        <v>1272331766</v>
      </c>
      <c r="K3074">
        <v>1239938805</v>
      </c>
      <c r="L3074">
        <v>1217362788</v>
      </c>
      <c r="M3074">
        <v>1181993777</v>
      </c>
      <c r="N3074">
        <v>1159699608</v>
      </c>
      <c r="O3074">
        <v>1119800324</v>
      </c>
      <c r="P3074">
        <v>112</v>
      </c>
      <c r="Q3074" t="s">
        <v>6489</v>
      </c>
    </row>
    <row r="3075" spans="1:17" x14ac:dyDescent="0.3">
      <c r="A3075" t="s">
        <v>4729</v>
      </c>
      <c r="B3075" t="str">
        <f>"002349"</f>
        <v>002349</v>
      </c>
      <c r="C3075" t="s">
        <v>6490</v>
      </c>
      <c r="D3075" t="s">
        <v>188</v>
      </c>
      <c r="F3075">
        <v>2235838543</v>
      </c>
      <c r="G3075">
        <v>2107504710</v>
      </c>
      <c r="H3075">
        <v>1849906867</v>
      </c>
      <c r="I3075">
        <v>2282033171</v>
      </c>
      <c r="J3075">
        <v>2281387490</v>
      </c>
      <c r="K3075">
        <v>2149084264</v>
      </c>
      <c r="L3075">
        <v>2036099498</v>
      </c>
      <c r="M3075">
        <v>1383292002</v>
      </c>
      <c r="N3075">
        <v>669855714</v>
      </c>
      <c r="O3075">
        <v>624447230</v>
      </c>
      <c r="P3075">
        <v>194</v>
      </c>
      <c r="Q3075" t="s">
        <v>6491</v>
      </c>
    </row>
    <row r="3076" spans="1:17" x14ac:dyDescent="0.3">
      <c r="A3076" t="s">
        <v>4729</v>
      </c>
      <c r="B3076" t="str">
        <f>"002350"</f>
        <v>002350</v>
      </c>
      <c r="C3076" t="s">
        <v>6492</v>
      </c>
      <c r="D3076" t="s">
        <v>657</v>
      </c>
      <c r="F3076">
        <v>1932650752</v>
      </c>
      <c r="G3076">
        <v>1863426782</v>
      </c>
      <c r="H3076">
        <v>1775292068</v>
      </c>
      <c r="I3076">
        <v>1745978192</v>
      </c>
      <c r="J3076">
        <v>1217226839</v>
      </c>
      <c r="K3076">
        <v>1156043701</v>
      </c>
      <c r="L3076">
        <v>1089258954</v>
      </c>
      <c r="M3076">
        <v>1079196648</v>
      </c>
      <c r="N3076">
        <v>1018663810</v>
      </c>
      <c r="O3076">
        <v>998924350</v>
      </c>
      <c r="P3076">
        <v>104</v>
      </c>
      <c r="Q3076" t="s">
        <v>6493</v>
      </c>
    </row>
    <row r="3077" spans="1:17" x14ac:dyDescent="0.3">
      <c r="A3077" t="s">
        <v>4729</v>
      </c>
      <c r="B3077" t="str">
        <f>"002351"</f>
        <v>002351</v>
      </c>
      <c r="C3077" t="s">
        <v>6494</v>
      </c>
      <c r="D3077" t="s">
        <v>3526</v>
      </c>
      <c r="F3077">
        <v>2196258993</v>
      </c>
      <c r="G3077">
        <v>2053406970</v>
      </c>
      <c r="H3077">
        <v>1869005035</v>
      </c>
      <c r="I3077">
        <v>1785772699</v>
      </c>
      <c r="J3077">
        <v>1767375424</v>
      </c>
      <c r="K3077">
        <v>1748646281</v>
      </c>
      <c r="L3077">
        <v>1712432364</v>
      </c>
      <c r="M3077">
        <v>1668739066</v>
      </c>
      <c r="N3077">
        <v>1629353128</v>
      </c>
      <c r="O3077">
        <v>1603627155</v>
      </c>
      <c r="P3077">
        <v>339</v>
      </c>
      <c r="Q3077" t="s">
        <v>6495</v>
      </c>
    </row>
    <row r="3078" spans="1:17" x14ac:dyDescent="0.3">
      <c r="A3078" t="s">
        <v>4729</v>
      </c>
      <c r="B3078" t="str">
        <f>"002352"</f>
        <v>002352</v>
      </c>
      <c r="C3078" t="s">
        <v>6496</v>
      </c>
      <c r="D3078" t="s">
        <v>537</v>
      </c>
      <c r="F3078">
        <v>82943226000</v>
      </c>
      <c r="G3078">
        <v>56443050238</v>
      </c>
      <c r="H3078">
        <v>41650775255</v>
      </c>
      <c r="I3078">
        <v>36561011876</v>
      </c>
      <c r="J3078">
        <v>32680826795</v>
      </c>
      <c r="K3078">
        <v>20511767667</v>
      </c>
      <c r="L3078">
        <v>708002168</v>
      </c>
      <c r="M3078">
        <v>717895445</v>
      </c>
      <c r="N3078">
        <v>724903342</v>
      </c>
      <c r="O3078">
        <v>711863126</v>
      </c>
      <c r="P3078">
        <v>3728</v>
      </c>
      <c r="Q3078" t="s">
        <v>6497</v>
      </c>
    </row>
    <row r="3079" spans="1:17" x14ac:dyDescent="0.3">
      <c r="A3079" t="s">
        <v>4729</v>
      </c>
      <c r="B3079" t="str">
        <f>"002353"</f>
        <v>002353</v>
      </c>
      <c r="C3079" t="s">
        <v>6498</v>
      </c>
      <c r="D3079" t="s">
        <v>395</v>
      </c>
      <c r="F3079">
        <v>12473250931</v>
      </c>
      <c r="G3079">
        <v>11077772083</v>
      </c>
      <c r="H3079">
        <v>9765729812</v>
      </c>
      <c r="I3079">
        <v>8414267493</v>
      </c>
      <c r="J3079">
        <v>7952683813</v>
      </c>
      <c r="K3079">
        <v>7854924309</v>
      </c>
      <c r="L3079">
        <v>7792966939</v>
      </c>
      <c r="M3079">
        <v>7888140420</v>
      </c>
      <c r="N3079">
        <v>3999857960</v>
      </c>
      <c r="O3079">
        <v>3146330818</v>
      </c>
      <c r="P3079">
        <v>861</v>
      </c>
      <c r="Q3079" t="s">
        <v>6499</v>
      </c>
    </row>
    <row r="3080" spans="1:17" x14ac:dyDescent="0.3">
      <c r="A3080" t="s">
        <v>4729</v>
      </c>
      <c r="B3080" t="str">
        <f>"002354"</f>
        <v>002354</v>
      </c>
      <c r="C3080" t="s">
        <v>6500</v>
      </c>
      <c r="D3080" t="s">
        <v>517</v>
      </c>
      <c r="F3080">
        <v>2686465218</v>
      </c>
      <c r="G3080">
        <v>2780020130</v>
      </c>
      <c r="H3080">
        <v>776405765</v>
      </c>
      <c r="I3080">
        <v>2017308218</v>
      </c>
      <c r="J3080">
        <v>9183438135</v>
      </c>
      <c r="K3080">
        <v>5684385798</v>
      </c>
      <c r="L3080">
        <v>4947742698</v>
      </c>
      <c r="M3080">
        <v>662106534</v>
      </c>
      <c r="N3080">
        <v>468020783</v>
      </c>
      <c r="O3080">
        <v>459751046</v>
      </c>
      <c r="P3080">
        <v>265</v>
      </c>
      <c r="Q3080" t="s">
        <v>6501</v>
      </c>
    </row>
    <row r="3081" spans="1:17" x14ac:dyDescent="0.3">
      <c r="A3081" t="s">
        <v>4729</v>
      </c>
      <c r="B3081" t="str">
        <f>"002355"</f>
        <v>002355</v>
      </c>
      <c r="C3081" t="s">
        <v>6502</v>
      </c>
      <c r="D3081" t="s">
        <v>422</v>
      </c>
      <c r="F3081">
        <v>1910326395</v>
      </c>
      <c r="G3081">
        <v>2458450897</v>
      </c>
      <c r="H3081">
        <v>2816358272</v>
      </c>
      <c r="I3081">
        <v>2797338825</v>
      </c>
      <c r="J3081">
        <v>2079427938</v>
      </c>
      <c r="K3081">
        <v>2024211175</v>
      </c>
      <c r="L3081">
        <v>1976833657</v>
      </c>
      <c r="M3081">
        <v>1953816432</v>
      </c>
      <c r="N3081">
        <v>1911633549</v>
      </c>
      <c r="O3081">
        <v>1853208272</v>
      </c>
      <c r="P3081">
        <v>120</v>
      </c>
      <c r="Q3081" t="s">
        <v>6503</v>
      </c>
    </row>
    <row r="3082" spans="1:17" x14ac:dyDescent="0.3">
      <c r="A3082" t="s">
        <v>4729</v>
      </c>
      <c r="B3082" t="str">
        <f>"002356"</f>
        <v>002356</v>
      </c>
      <c r="C3082" t="s">
        <v>6504</v>
      </c>
      <c r="D3082" t="s">
        <v>1404</v>
      </c>
      <c r="F3082">
        <v>677032431</v>
      </c>
      <c r="G3082">
        <v>-2266322153</v>
      </c>
      <c r="H3082">
        <v>-1762324423</v>
      </c>
      <c r="I3082">
        <v>116371868</v>
      </c>
      <c r="J3082">
        <v>1799909014</v>
      </c>
      <c r="K3082">
        <v>1669818261</v>
      </c>
      <c r="L3082">
        <v>1552309085</v>
      </c>
      <c r="M3082">
        <v>1460697142</v>
      </c>
      <c r="N3082">
        <v>936336029</v>
      </c>
      <c r="O3082">
        <v>935546244</v>
      </c>
      <c r="P3082">
        <v>75</v>
      </c>
      <c r="Q3082" t="s">
        <v>6505</v>
      </c>
    </row>
    <row r="3083" spans="1:17" x14ac:dyDescent="0.3">
      <c r="A3083" t="s">
        <v>4729</v>
      </c>
      <c r="B3083" t="str">
        <f>"002357"</f>
        <v>002357</v>
      </c>
      <c r="C3083" t="s">
        <v>6506</v>
      </c>
      <c r="D3083" t="s">
        <v>1133</v>
      </c>
      <c r="F3083">
        <v>1301949465</v>
      </c>
      <c r="G3083">
        <v>1246900155</v>
      </c>
      <c r="H3083">
        <v>1179214995</v>
      </c>
      <c r="I3083">
        <v>1103707501</v>
      </c>
      <c r="J3083">
        <v>1089533115</v>
      </c>
      <c r="K3083">
        <v>1018445556</v>
      </c>
      <c r="L3083">
        <v>971360143</v>
      </c>
      <c r="M3083">
        <v>761423882</v>
      </c>
      <c r="N3083">
        <v>662974386</v>
      </c>
      <c r="O3083">
        <v>633735622</v>
      </c>
      <c r="P3083">
        <v>102</v>
      </c>
      <c r="Q3083" t="s">
        <v>6507</v>
      </c>
    </row>
    <row r="3084" spans="1:17" x14ac:dyDescent="0.3">
      <c r="A3084" t="s">
        <v>4729</v>
      </c>
      <c r="B3084" t="str">
        <f>"002358"</f>
        <v>002358</v>
      </c>
      <c r="C3084" t="s">
        <v>6508</v>
      </c>
      <c r="D3084" t="s">
        <v>210</v>
      </c>
      <c r="F3084">
        <v>3052027572</v>
      </c>
      <c r="G3084">
        <v>3541716288</v>
      </c>
      <c r="H3084">
        <v>4530240588</v>
      </c>
      <c r="I3084">
        <v>5041229861</v>
      </c>
      <c r="J3084">
        <v>4890090773</v>
      </c>
      <c r="K3084">
        <v>4527044137</v>
      </c>
      <c r="L3084">
        <v>2170490867</v>
      </c>
      <c r="M3084">
        <v>2079374781</v>
      </c>
      <c r="N3084">
        <v>1875911031</v>
      </c>
      <c r="O3084">
        <v>1133764118</v>
      </c>
      <c r="P3084">
        <v>142</v>
      </c>
      <c r="Q3084" t="s">
        <v>6509</v>
      </c>
    </row>
    <row r="3085" spans="1:17" x14ac:dyDescent="0.3">
      <c r="A3085" t="s">
        <v>4729</v>
      </c>
      <c r="B3085" t="str">
        <f>"002359"</f>
        <v>002359</v>
      </c>
      <c r="C3085" t="s">
        <v>6510</v>
      </c>
      <c r="G3085">
        <v>1124546033</v>
      </c>
      <c r="H3085">
        <v>2551851013</v>
      </c>
      <c r="I3085">
        <v>4982742297</v>
      </c>
      <c r="J3085">
        <v>6088363580</v>
      </c>
      <c r="K3085">
        <v>893249535</v>
      </c>
      <c r="L3085">
        <v>941176984</v>
      </c>
      <c r="M3085">
        <v>929329861</v>
      </c>
      <c r="N3085">
        <v>1011351634</v>
      </c>
      <c r="O3085">
        <v>680375224</v>
      </c>
      <c r="P3085">
        <v>68</v>
      </c>
      <c r="Q3085" t="s">
        <v>6511</v>
      </c>
    </row>
    <row r="3086" spans="1:17" x14ac:dyDescent="0.3">
      <c r="A3086" t="s">
        <v>4729</v>
      </c>
      <c r="B3086" t="str">
        <f>"002360"</f>
        <v>002360</v>
      </c>
      <c r="C3086" t="s">
        <v>6512</v>
      </c>
      <c r="D3086" t="s">
        <v>2736</v>
      </c>
      <c r="F3086">
        <v>1381217513</v>
      </c>
      <c r="G3086">
        <v>1240845589</v>
      </c>
      <c r="H3086">
        <v>1139217124</v>
      </c>
      <c r="I3086">
        <v>1025216219</v>
      </c>
      <c r="J3086">
        <v>1038484635</v>
      </c>
      <c r="K3086">
        <v>1015669476</v>
      </c>
      <c r="L3086">
        <v>974023200</v>
      </c>
      <c r="M3086">
        <v>928864193</v>
      </c>
      <c r="N3086">
        <v>778351936</v>
      </c>
      <c r="O3086">
        <v>668986050</v>
      </c>
      <c r="P3086">
        <v>111</v>
      </c>
      <c r="Q3086" t="s">
        <v>6513</v>
      </c>
    </row>
    <row r="3087" spans="1:17" x14ac:dyDescent="0.3">
      <c r="A3087" t="s">
        <v>4729</v>
      </c>
      <c r="B3087" t="str">
        <f>"002361"</f>
        <v>002361</v>
      </c>
      <c r="C3087" t="s">
        <v>6514</v>
      </c>
      <c r="D3087" t="s">
        <v>3377</v>
      </c>
      <c r="F3087">
        <v>2430054621</v>
      </c>
      <c r="G3087">
        <v>1787327749</v>
      </c>
      <c r="H3087">
        <v>1797449611</v>
      </c>
      <c r="I3087">
        <v>1824529386</v>
      </c>
      <c r="J3087">
        <v>1930645565</v>
      </c>
      <c r="K3087">
        <v>1849084537</v>
      </c>
      <c r="L3087">
        <v>1723299995</v>
      </c>
      <c r="M3087">
        <v>1181276374</v>
      </c>
      <c r="N3087">
        <v>620965946</v>
      </c>
      <c r="O3087">
        <v>589287699</v>
      </c>
      <c r="P3087">
        <v>89</v>
      </c>
      <c r="Q3087" t="s">
        <v>6515</v>
      </c>
    </row>
    <row r="3088" spans="1:17" x14ac:dyDescent="0.3">
      <c r="A3088" t="s">
        <v>4729</v>
      </c>
      <c r="B3088" t="str">
        <f>"002362"</f>
        <v>002362</v>
      </c>
      <c r="C3088" t="s">
        <v>6516</v>
      </c>
      <c r="D3088" t="s">
        <v>945</v>
      </c>
      <c r="F3088">
        <v>1533378058</v>
      </c>
      <c r="G3088">
        <v>1504330598</v>
      </c>
      <c r="H3088">
        <v>858881654</v>
      </c>
      <c r="I3088">
        <v>853664201</v>
      </c>
      <c r="J3088">
        <v>820316802</v>
      </c>
      <c r="K3088">
        <v>767417270</v>
      </c>
      <c r="L3088">
        <v>741795852</v>
      </c>
      <c r="M3088">
        <v>731973612</v>
      </c>
      <c r="N3088">
        <v>718359648</v>
      </c>
      <c r="O3088">
        <v>934731404</v>
      </c>
      <c r="P3088">
        <v>197</v>
      </c>
      <c r="Q3088" t="s">
        <v>6517</v>
      </c>
    </row>
    <row r="3089" spans="1:17" x14ac:dyDescent="0.3">
      <c r="A3089" t="s">
        <v>4729</v>
      </c>
      <c r="B3089" t="str">
        <f>"002363"</f>
        <v>002363</v>
      </c>
      <c r="C3089" t="s">
        <v>6518</v>
      </c>
      <c r="D3089" t="s">
        <v>348</v>
      </c>
      <c r="F3089">
        <v>2170102180</v>
      </c>
      <c r="G3089">
        <v>2221722565</v>
      </c>
      <c r="H3089">
        <v>2359847606</v>
      </c>
      <c r="I3089">
        <v>2305039319</v>
      </c>
      <c r="J3089">
        <v>2232300276</v>
      </c>
      <c r="K3089">
        <v>1856074593</v>
      </c>
      <c r="L3089">
        <v>1348318275</v>
      </c>
      <c r="M3089">
        <v>1307729808</v>
      </c>
      <c r="N3089">
        <v>1277218729</v>
      </c>
      <c r="O3089">
        <v>902049056</v>
      </c>
      <c r="P3089">
        <v>126</v>
      </c>
      <c r="Q3089" t="s">
        <v>6519</v>
      </c>
    </row>
    <row r="3090" spans="1:17" x14ac:dyDescent="0.3">
      <c r="A3090" t="s">
        <v>4729</v>
      </c>
      <c r="B3090" t="str">
        <f>"002364"</f>
        <v>002364</v>
      </c>
      <c r="C3090" t="s">
        <v>6520</v>
      </c>
      <c r="D3090" t="s">
        <v>880</v>
      </c>
      <c r="F3090">
        <v>2334010481</v>
      </c>
      <c r="G3090">
        <v>2223948975</v>
      </c>
      <c r="H3090">
        <v>2144998563</v>
      </c>
      <c r="I3090">
        <v>2212824179</v>
      </c>
      <c r="J3090">
        <v>2343197967</v>
      </c>
      <c r="K3090">
        <v>2331055209</v>
      </c>
      <c r="L3090">
        <v>1183320410</v>
      </c>
      <c r="M3090">
        <v>961537945</v>
      </c>
      <c r="N3090">
        <v>860901252</v>
      </c>
      <c r="O3090">
        <v>785261406</v>
      </c>
      <c r="P3090">
        <v>219</v>
      </c>
      <c r="Q3090" t="s">
        <v>6521</v>
      </c>
    </row>
    <row r="3091" spans="1:17" x14ac:dyDescent="0.3">
      <c r="A3091" t="s">
        <v>4729</v>
      </c>
      <c r="B3091" t="str">
        <f>"002365"</f>
        <v>002365</v>
      </c>
      <c r="C3091" t="s">
        <v>6522</v>
      </c>
      <c r="D3091" t="s">
        <v>496</v>
      </c>
      <c r="F3091">
        <v>1865919416</v>
      </c>
      <c r="G3091">
        <v>1755713013</v>
      </c>
      <c r="H3091">
        <v>1612901295</v>
      </c>
      <c r="I3091">
        <v>1579896212</v>
      </c>
      <c r="J3091">
        <v>1341120539</v>
      </c>
      <c r="K3091">
        <v>1173339320</v>
      </c>
      <c r="L3091">
        <v>1115422425</v>
      </c>
      <c r="M3091">
        <v>1107886719</v>
      </c>
      <c r="N3091">
        <v>1079850321</v>
      </c>
      <c r="O3091">
        <v>1094194040</v>
      </c>
      <c r="P3091">
        <v>195</v>
      </c>
      <c r="Q3091" t="s">
        <v>6523</v>
      </c>
    </row>
    <row r="3092" spans="1:17" x14ac:dyDescent="0.3">
      <c r="A3092" t="s">
        <v>4729</v>
      </c>
      <c r="B3092" t="str">
        <f>"002366"</f>
        <v>002366</v>
      </c>
      <c r="C3092" t="s">
        <v>6524</v>
      </c>
      <c r="D3092" t="s">
        <v>880</v>
      </c>
      <c r="F3092">
        <v>-17262985</v>
      </c>
      <c r="G3092">
        <v>819779505</v>
      </c>
      <c r="H3092">
        <v>2314967084</v>
      </c>
      <c r="I3092">
        <v>2993496733</v>
      </c>
      <c r="J3092">
        <v>2757362152</v>
      </c>
      <c r="K3092">
        <v>1781072882</v>
      </c>
      <c r="L3092">
        <v>1408871288</v>
      </c>
      <c r="M3092">
        <v>733162276</v>
      </c>
      <c r="N3092">
        <v>731287924</v>
      </c>
      <c r="O3092">
        <v>722164518</v>
      </c>
      <c r="P3092">
        <v>175</v>
      </c>
      <c r="Q3092" t="s">
        <v>6525</v>
      </c>
    </row>
    <row r="3093" spans="1:17" x14ac:dyDescent="0.3">
      <c r="A3093" t="s">
        <v>4729</v>
      </c>
      <c r="B3093" t="str">
        <f>"002367"</f>
        <v>002367</v>
      </c>
      <c r="C3093" t="s">
        <v>6526</v>
      </c>
      <c r="D3093" t="s">
        <v>1691</v>
      </c>
      <c r="F3093">
        <v>3214300858</v>
      </c>
      <c r="G3093">
        <v>3011545301</v>
      </c>
      <c r="H3093">
        <v>2947374139</v>
      </c>
      <c r="I3093">
        <v>3154067609</v>
      </c>
      <c r="J3093">
        <v>3752128621</v>
      </c>
      <c r="K3093">
        <v>3489147458</v>
      </c>
      <c r="L3093">
        <v>2340063951</v>
      </c>
      <c r="M3093">
        <v>2027228028</v>
      </c>
      <c r="N3093">
        <v>1724787015</v>
      </c>
      <c r="O3093">
        <v>1632868042</v>
      </c>
      <c r="P3093">
        <v>388</v>
      </c>
      <c r="Q3093" t="s">
        <v>6527</v>
      </c>
    </row>
    <row r="3094" spans="1:17" x14ac:dyDescent="0.3">
      <c r="A3094" t="s">
        <v>4729</v>
      </c>
      <c r="B3094" t="str">
        <f>"002368"</f>
        <v>002368</v>
      </c>
      <c r="C3094" t="s">
        <v>6528</v>
      </c>
      <c r="D3094" t="s">
        <v>316</v>
      </c>
      <c r="F3094">
        <v>3515364395</v>
      </c>
      <c r="G3094">
        <v>3332639712</v>
      </c>
      <c r="H3094">
        <v>3053969851</v>
      </c>
      <c r="I3094">
        <v>2845730576</v>
      </c>
      <c r="J3094">
        <v>2619355914</v>
      </c>
      <c r="K3094">
        <v>2411561108</v>
      </c>
      <c r="L3094">
        <v>2150140208</v>
      </c>
      <c r="M3094">
        <v>1997889042</v>
      </c>
      <c r="N3094">
        <v>1857055886</v>
      </c>
      <c r="O3094">
        <v>1153650131</v>
      </c>
      <c r="P3094">
        <v>373</v>
      </c>
      <c r="Q3094" t="s">
        <v>6529</v>
      </c>
    </row>
    <row r="3095" spans="1:17" x14ac:dyDescent="0.3">
      <c r="A3095" t="s">
        <v>4729</v>
      </c>
      <c r="B3095" t="str">
        <f>"002369"</f>
        <v>002369</v>
      </c>
      <c r="C3095" t="s">
        <v>6530</v>
      </c>
      <c r="D3095" t="s">
        <v>313</v>
      </c>
      <c r="F3095">
        <v>1222632738</v>
      </c>
      <c r="G3095">
        <v>1387418529</v>
      </c>
      <c r="H3095">
        <v>1989638237</v>
      </c>
      <c r="I3095">
        <v>1985095803</v>
      </c>
      <c r="J3095">
        <v>2120000054</v>
      </c>
      <c r="K3095">
        <v>1348442171</v>
      </c>
      <c r="L3095">
        <v>1340400893</v>
      </c>
      <c r="M3095">
        <v>1395606639</v>
      </c>
      <c r="N3095">
        <v>1365930052</v>
      </c>
      <c r="O3095">
        <v>1312355035</v>
      </c>
      <c r="P3095">
        <v>179</v>
      </c>
      <c r="Q3095" t="s">
        <v>6531</v>
      </c>
    </row>
    <row r="3096" spans="1:17" x14ac:dyDescent="0.3">
      <c r="A3096" t="s">
        <v>4729</v>
      </c>
      <c r="B3096" t="str">
        <f>"002370"</f>
        <v>002370</v>
      </c>
      <c r="C3096" t="s">
        <v>6532</v>
      </c>
      <c r="D3096" t="s">
        <v>143</v>
      </c>
      <c r="F3096">
        <v>228559097</v>
      </c>
      <c r="G3096">
        <v>455799108</v>
      </c>
      <c r="H3096">
        <v>428276097</v>
      </c>
      <c r="I3096">
        <v>2364329518</v>
      </c>
      <c r="J3096">
        <v>2267874267</v>
      </c>
      <c r="K3096">
        <v>2157087512</v>
      </c>
      <c r="L3096">
        <v>785767433</v>
      </c>
      <c r="M3096">
        <v>747314664</v>
      </c>
      <c r="N3096">
        <v>709825704</v>
      </c>
      <c r="O3096">
        <v>703940456</v>
      </c>
      <c r="P3096">
        <v>201</v>
      </c>
      <c r="Q3096" t="s">
        <v>6533</v>
      </c>
    </row>
    <row r="3097" spans="1:17" x14ac:dyDescent="0.3">
      <c r="A3097" t="s">
        <v>4729</v>
      </c>
      <c r="B3097" t="str">
        <f>"002371"</f>
        <v>002371</v>
      </c>
      <c r="C3097" t="s">
        <v>6534</v>
      </c>
      <c r="D3097" t="s">
        <v>3187</v>
      </c>
      <c r="F3097">
        <v>16897559553</v>
      </c>
      <c r="G3097">
        <v>6780875586</v>
      </c>
      <c r="H3097">
        <v>5855895563</v>
      </c>
      <c r="I3097">
        <v>3547709610</v>
      </c>
      <c r="J3097">
        <v>3307685414</v>
      </c>
      <c r="K3097">
        <v>3191937267</v>
      </c>
      <c r="L3097">
        <v>1869450384</v>
      </c>
      <c r="M3097">
        <v>1830872175</v>
      </c>
      <c r="N3097">
        <v>1824221225</v>
      </c>
      <c r="O3097">
        <v>1738698916</v>
      </c>
      <c r="P3097">
        <v>1587</v>
      </c>
      <c r="Q3097" t="s">
        <v>6535</v>
      </c>
    </row>
    <row r="3098" spans="1:17" x14ac:dyDescent="0.3">
      <c r="A3098" t="s">
        <v>4729</v>
      </c>
      <c r="B3098" t="str">
        <f>"002372"</f>
        <v>002372</v>
      </c>
      <c r="C3098" t="s">
        <v>6536</v>
      </c>
      <c r="D3098" t="s">
        <v>3347</v>
      </c>
      <c r="F3098">
        <v>4907484353</v>
      </c>
      <c r="G3098">
        <v>4323085250</v>
      </c>
      <c r="H3098">
        <v>3886813003</v>
      </c>
      <c r="I3098">
        <v>3644211493</v>
      </c>
      <c r="J3098">
        <v>3198297106</v>
      </c>
      <c r="K3098">
        <v>2747054672</v>
      </c>
      <c r="L3098">
        <v>2393308664</v>
      </c>
      <c r="M3098">
        <v>2116971438</v>
      </c>
      <c r="N3098">
        <v>1945293451</v>
      </c>
      <c r="O3098">
        <v>1772349363</v>
      </c>
      <c r="P3098">
        <v>10689</v>
      </c>
      <c r="Q3098" t="s">
        <v>6537</v>
      </c>
    </row>
    <row r="3099" spans="1:17" x14ac:dyDescent="0.3">
      <c r="A3099" t="s">
        <v>4729</v>
      </c>
      <c r="B3099" t="str">
        <f>"002373"</f>
        <v>002373</v>
      </c>
      <c r="C3099" t="s">
        <v>6538</v>
      </c>
      <c r="D3099" t="s">
        <v>316</v>
      </c>
      <c r="F3099">
        <v>12444656697</v>
      </c>
      <c r="G3099">
        <v>11961363891</v>
      </c>
      <c r="H3099">
        <v>9004665599</v>
      </c>
      <c r="I3099">
        <v>7946630698</v>
      </c>
      <c r="J3099">
        <v>3453491899</v>
      </c>
      <c r="K3099">
        <v>3249221162</v>
      </c>
      <c r="L3099">
        <v>2972685659</v>
      </c>
      <c r="M3099">
        <v>956293491</v>
      </c>
      <c r="N3099">
        <v>472588609</v>
      </c>
      <c r="O3099">
        <v>599808449</v>
      </c>
      <c r="P3099">
        <v>713</v>
      </c>
      <c r="Q3099" t="s">
        <v>6539</v>
      </c>
    </row>
    <row r="3100" spans="1:17" x14ac:dyDescent="0.3">
      <c r="A3100" t="s">
        <v>4729</v>
      </c>
      <c r="B3100" t="str">
        <f>"002374"</f>
        <v>002374</v>
      </c>
      <c r="C3100" t="s">
        <v>6540</v>
      </c>
      <c r="D3100" t="s">
        <v>2373</v>
      </c>
      <c r="F3100">
        <v>2039812039</v>
      </c>
      <c r="G3100">
        <v>2708464664</v>
      </c>
      <c r="H3100">
        <v>2430508883</v>
      </c>
      <c r="I3100">
        <v>2394717819</v>
      </c>
      <c r="J3100">
        <v>3184558906</v>
      </c>
      <c r="K3100">
        <v>3120823968</v>
      </c>
      <c r="L3100">
        <v>1987995579</v>
      </c>
      <c r="M3100">
        <v>1866690907</v>
      </c>
      <c r="N3100">
        <v>808718761</v>
      </c>
      <c r="O3100">
        <v>802783945</v>
      </c>
      <c r="P3100">
        <v>92</v>
      </c>
      <c r="Q3100" t="s">
        <v>6541</v>
      </c>
    </row>
    <row r="3101" spans="1:17" x14ac:dyDescent="0.3">
      <c r="A3101" t="s">
        <v>4729</v>
      </c>
      <c r="B3101" t="str">
        <f>"002375"</f>
        <v>002375</v>
      </c>
      <c r="C3101" t="s">
        <v>6542</v>
      </c>
      <c r="D3101" t="s">
        <v>450</v>
      </c>
      <c r="F3101">
        <v>7395161523</v>
      </c>
      <c r="G3101">
        <v>8306974549</v>
      </c>
      <c r="H3101">
        <v>8018158790</v>
      </c>
      <c r="I3101">
        <v>7879183423</v>
      </c>
      <c r="J3101">
        <v>7482176556</v>
      </c>
      <c r="K3101">
        <v>7178089522</v>
      </c>
      <c r="L3101">
        <v>6944949848</v>
      </c>
      <c r="M3101">
        <v>6458690105</v>
      </c>
      <c r="N3101">
        <v>4328581231</v>
      </c>
      <c r="O3101">
        <v>3499962210</v>
      </c>
      <c r="P3101">
        <v>176</v>
      </c>
      <c r="Q3101" t="s">
        <v>6543</v>
      </c>
    </row>
    <row r="3102" spans="1:17" x14ac:dyDescent="0.3">
      <c r="A3102" t="s">
        <v>4729</v>
      </c>
      <c r="B3102" t="str">
        <f>"002376"</f>
        <v>002376</v>
      </c>
      <c r="C3102" t="s">
        <v>6544</v>
      </c>
      <c r="D3102" t="s">
        <v>236</v>
      </c>
      <c r="F3102">
        <v>3403369104</v>
      </c>
      <c r="G3102">
        <v>3440728923</v>
      </c>
      <c r="H3102">
        <v>3394203190</v>
      </c>
      <c r="I3102">
        <v>3198508109</v>
      </c>
      <c r="J3102">
        <v>2576276581</v>
      </c>
      <c r="K3102">
        <v>2403731245</v>
      </c>
      <c r="L3102">
        <v>1909862642</v>
      </c>
      <c r="M3102">
        <v>1822609318</v>
      </c>
      <c r="N3102">
        <v>1577236165</v>
      </c>
      <c r="O3102">
        <v>1410075808</v>
      </c>
      <c r="P3102">
        <v>298</v>
      </c>
      <c r="Q3102" t="s">
        <v>6545</v>
      </c>
    </row>
    <row r="3103" spans="1:17" x14ac:dyDescent="0.3">
      <c r="A3103" t="s">
        <v>4729</v>
      </c>
      <c r="B3103" t="str">
        <f>"002377"</f>
        <v>002377</v>
      </c>
      <c r="C3103" t="s">
        <v>6546</v>
      </c>
      <c r="D3103" t="s">
        <v>5051</v>
      </c>
      <c r="F3103">
        <v>1140924982</v>
      </c>
      <c r="G3103">
        <v>2262785036</v>
      </c>
      <c r="H3103">
        <v>5374048138</v>
      </c>
      <c r="I3103">
        <v>5100942580</v>
      </c>
      <c r="J3103">
        <v>4789109610</v>
      </c>
      <c r="K3103">
        <v>777994070</v>
      </c>
      <c r="L3103">
        <v>766773367</v>
      </c>
      <c r="M3103">
        <v>752618909</v>
      </c>
      <c r="N3103">
        <v>746763321</v>
      </c>
      <c r="O3103">
        <v>729540267</v>
      </c>
      <c r="P3103">
        <v>95</v>
      </c>
      <c r="Q3103" t="s">
        <v>6547</v>
      </c>
    </row>
    <row r="3104" spans="1:17" x14ac:dyDescent="0.3">
      <c r="A3104" t="s">
        <v>4729</v>
      </c>
      <c r="B3104" t="str">
        <f>"002378"</f>
        <v>002378</v>
      </c>
      <c r="C3104" t="s">
        <v>6548</v>
      </c>
      <c r="D3104" t="s">
        <v>1110</v>
      </c>
      <c r="F3104">
        <v>1874465567</v>
      </c>
      <c r="G3104">
        <v>1685408179</v>
      </c>
      <c r="H3104">
        <v>1684806613</v>
      </c>
      <c r="I3104">
        <v>1992508457</v>
      </c>
      <c r="J3104">
        <v>1963366413</v>
      </c>
      <c r="K3104">
        <v>1948941996</v>
      </c>
      <c r="L3104">
        <v>1905687852</v>
      </c>
      <c r="M3104">
        <v>2066608340</v>
      </c>
      <c r="N3104">
        <v>1422736507</v>
      </c>
      <c r="O3104">
        <v>1396248685</v>
      </c>
      <c r="P3104">
        <v>128</v>
      </c>
      <c r="Q3104" t="s">
        <v>6549</v>
      </c>
    </row>
    <row r="3105" spans="1:17" x14ac:dyDescent="0.3">
      <c r="A3105" t="s">
        <v>4729</v>
      </c>
      <c r="B3105" t="str">
        <f>"002379"</f>
        <v>002379</v>
      </c>
      <c r="C3105" t="s">
        <v>6550</v>
      </c>
      <c r="D3105" t="s">
        <v>504</v>
      </c>
      <c r="F3105">
        <v>1342367696</v>
      </c>
      <c r="G3105">
        <v>1419515176</v>
      </c>
      <c r="H3105">
        <v>1584511320</v>
      </c>
      <c r="I3105">
        <v>1255769059</v>
      </c>
      <c r="J3105">
        <v>1247118516</v>
      </c>
      <c r="K3105">
        <v>1207687092</v>
      </c>
      <c r="L3105">
        <v>1193536484</v>
      </c>
      <c r="M3105">
        <v>1310341330</v>
      </c>
      <c r="N3105">
        <v>1660699930</v>
      </c>
      <c r="O3105">
        <v>1654281949</v>
      </c>
      <c r="P3105">
        <v>88</v>
      </c>
      <c r="Q3105" t="s">
        <v>6551</v>
      </c>
    </row>
    <row r="3106" spans="1:17" x14ac:dyDescent="0.3">
      <c r="A3106" t="s">
        <v>4729</v>
      </c>
      <c r="B3106" t="str">
        <f>"002380"</f>
        <v>002380</v>
      </c>
      <c r="C3106" t="s">
        <v>6552</v>
      </c>
      <c r="D3106" t="s">
        <v>316</v>
      </c>
      <c r="F3106">
        <v>2168787206</v>
      </c>
      <c r="G3106">
        <v>2290283682</v>
      </c>
      <c r="H3106">
        <v>2209115467</v>
      </c>
      <c r="I3106">
        <v>2068784447</v>
      </c>
      <c r="J3106">
        <v>2052579499</v>
      </c>
      <c r="K3106">
        <v>1967375096</v>
      </c>
      <c r="L3106">
        <v>980062384</v>
      </c>
      <c r="M3106">
        <v>943619571</v>
      </c>
      <c r="N3106">
        <v>911404633</v>
      </c>
      <c r="O3106">
        <v>889355395</v>
      </c>
      <c r="P3106">
        <v>131</v>
      </c>
      <c r="Q3106" t="s">
        <v>6553</v>
      </c>
    </row>
    <row r="3107" spans="1:17" x14ac:dyDescent="0.3">
      <c r="A3107" t="s">
        <v>4729</v>
      </c>
      <c r="B3107" t="str">
        <f>"002381"</f>
        <v>002381</v>
      </c>
      <c r="C3107" t="s">
        <v>6554</v>
      </c>
      <c r="D3107" t="s">
        <v>2469</v>
      </c>
      <c r="F3107">
        <v>1909465770</v>
      </c>
      <c r="G3107">
        <v>1967489102</v>
      </c>
      <c r="H3107">
        <v>1776435909</v>
      </c>
      <c r="I3107">
        <v>1710903696</v>
      </c>
      <c r="J3107">
        <v>1690903867</v>
      </c>
      <c r="K3107">
        <v>1620956371</v>
      </c>
      <c r="L3107">
        <v>1196496247</v>
      </c>
      <c r="M3107">
        <v>1160153952</v>
      </c>
      <c r="N3107">
        <v>1074139404</v>
      </c>
      <c r="O3107">
        <v>966001510</v>
      </c>
      <c r="P3107">
        <v>276</v>
      </c>
      <c r="Q3107" t="s">
        <v>6555</v>
      </c>
    </row>
    <row r="3108" spans="1:17" x14ac:dyDescent="0.3">
      <c r="A3108" t="s">
        <v>4729</v>
      </c>
      <c r="B3108" t="str">
        <f>"002382"</f>
        <v>002382</v>
      </c>
      <c r="C3108" t="s">
        <v>6556</v>
      </c>
      <c r="D3108" t="s">
        <v>1077</v>
      </c>
      <c r="F3108">
        <v>10347450563</v>
      </c>
      <c r="G3108">
        <v>9396350953</v>
      </c>
      <c r="H3108">
        <v>8432305875</v>
      </c>
      <c r="I3108">
        <v>7798373749</v>
      </c>
      <c r="J3108">
        <v>1426156427</v>
      </c>
      <c r="K3108">
        <v>1298896636</v>
      </c>
      <c r="L3108">
        <v>1182654991</v>
      </c>
      <c r="M3108">
        <v>1042612194</v>
      </c>
      <c r="N3108">
        <v>984338373</v>
      </c>
      <c r="O3108">
        <v>961834816</v>
      </c>
      <c r="P3108">
        <v>849</v>
      </c>
      <c r="Q3108" t="s">
        <v>6557</v>
      </c>
    </row>
    <row r="3109" spans="1:17" x14ac:dyDescent="0.3">
      <c r="A3109" t="s">
        <v>4729</v>
      </c>
      <c r="B3109" t="str">
        <f>"002383"</f>
        <v>002383</v>
      </c>
      <c r="C3109" t="s">
        <v>6558</v>
      </c>
      <c r="D3109" t="s">
        <v>1136</v>
      </c>
      <c r="F3109">
        <v>1596392193</v>
      </c>
      <c r="G3109">
        <v>1697923285</v>
      </c>
      <c r="H3109">
        <v>2852429393</v>
      </c>
      <c r="I3109">
        <v>3866475888</v>
      </c>
      <c r="J3109">
        <v>3696758850</v>
      </c>
      <c r="K3109">
        <v>3507425730</v>
      </c>
      <c r="L3109">
        <v>1790722581</v>
      </c>
      <c r="M3109">
        <v>1423050459</v>
      </c>
      <c r="N3109">
        <v>1401086767</v>
      </c>
      <c r="O3109">
        <v>1396017251</v>
      </c>
      <c r="P3109">
        <v>211</v>
      </c>
      <c r="Q3109" t="s">
        <v>6559</v>
      </c>
    </row>
    <row r="3110" spans="1:17" x14ac:dyDescent="0.3">
      <c r="A3110" t="s">
        <v>4729</v>
      </c>
      <c r="B3110" t="str">
        <f>"002384"</f>
        <v>002384</v>
      </c>
      <c r="C3110" t="s">
        <v>6560</v>
      </c>
      <c r="D3110" t="s">
        <v>425</v>
      </c>
      <c r="F3110">
        <v>14576500325</v>
      </c>
      <c r="G3110">
        <v>13068916873</v>
      </c>
      <c r="H3110">
        <v>8646124544</v>
      </c>
      <c r="I3110">
        <v>8414777823</v>
      </c>
      <c r="J3110">
        <v>7773178583</v>
      </c>
      <c r="K3110">
        <v>2732483329</v>
      </c>
      <c r="L3110">
        <v>2686188242</v>
      </c>
      <c r="M3110">
        <v>1499303733</v>
      </c>
      <c r="N3110">
        <v>1337621543</v>
      </c>
      <c r="O3110">
        <v>1311540556</v>
      </c>
      <c r="P3110">
        <v>1070</v>
      </c>
      <c r="Q3110" t="s">
        <v>6561</v>
      </c>
    </row>
    <row r="3111" spans="1:17" x14ac:dyDescent="0.3">
      <c r="A3111" t="s">
        <v>4729</v>
      </c>
      <c r="B3111" t="str">
        <f>"002385"</f>
        <v>002385</v>
      </c>
      <c r="C3111" t="s">
        <v>6562</v>
      </c>
      <c r="D3111" t="s">
        <v>2886</v>
      </c>
      <c r="F3111">
        <v>10737179621</v>
      </c>
      <c r="G3111">
        <v>11015444461</v>
      </c>
      <c r="H3111">
        <v>10071990388</v>
      </c>
      <c r="I3111">
        <v>9778885026</v>
      </c>
      <c r="J3111">
        <v>10216472825</v>
      </c>
      <c r="K3111">
        <v>9250811508</v>
      </c>
      <c r="L3111">
        <v>8619005471</v>
      </c>
      <c r="M3111">
        <v>5885481495</v>
      </c>
      <c r="N3111">
        <v>5033098726</v>
      </c>
      <c r="O3111">
        <v>4065511491</v>
      </c>
      <c r="P3111">
        <v>890</v>
      </c>
      <c r="Q3111" t="s">
        <v>6563</v>
      </c>
    </row>
    <row r="3112" spans="1:17" x14ac:dyDescent="0.3">
      <c r="A3112" t="s">
        <v>4729</v>
      </c>
      <c r="B3112" t="str">
        <f>"002386"</f>
        <v>002386</v>
      </c>
      <c r="C3112" t="s">
        <v>6564</v>
      </c>
      <c r="D3112" t="s">
        <v>175</v>
      </c>
      <c r="F3112">
        <v>5650845434</v>
      </c>
      <c r="G3112">
        <v>5046949976</v>
      </c>
      <c r="H3112">
        <v>4966155136</v>
      </c>
      <c r="I3112">
        <v>4974266829</v>
      </c>
      <c r="J3112">
        <v>4148964262</v>
      </c>
      <c r="K3112">
        <v>4067019446</v>
      </c>
      <c r="L3112">
        <v>4011322574</v>
      </c>
      <c r="M3112">
        <v>3994960963</v>
      </c>
      <c r="N3112">
        <v>3957504262</v>
      </c>
      <c r="O3112">
        <v>3929916193</v>
      </c>
      <c r="P3112">
        <v>143</v>
      </c>
      <c r="Q3112" t="s">
        <v>6565</v>
      </c>
    </row>
    <row r="3113" spans="1:17" x14ac:dyDescent="0.3">
      <c r="A3113" t="s">
        <v>4729</v>
      </c>
      <c r="B3113" t="str">
        <f>"002387"</f>
        <v>002387</v>
      </c>
      <c r="C3113" t="s">
        <v>6566</v>
      </c>
      <c r="D3113" t="s">
        <v>1117</v>
      </c>
      <c r="F3113">
        <v>13597067380</v>
      </c>
      <c r="G3113">
        <v>15191951120</v>
      </c>
      <c r="H3113">
        <v>14972502482</v>
      </c>
      <c r="I3113">
        <v>14908472216</v>
      </c>
      <c r="J3113">
        <v>768772833</v>
      </c>
      <c r="K3113">
        <v>753442491</v>
      </c>
      <c r="L3113">
        <v>727257065</v>
      </c>
      <c r="M3113">
        <v>1371966441</v>
      </c>
      <c r="N3113">
        <v>1362807488</v>
      </c>
      <c r="O3113">
        <v>1363200244</v>
      </c>
      <c r="P3113">
        <v>274</v>
      </c>
      <c r="Q3113" t="s">
        <v>6567</v>
      </c>
    </row>
    <row r="3114" spans="1:17" x14ac:dyDescent="0.3">
      <c r="A3114" t="s">
        <v>4729</v>
      </c>
      <c r="B3114" t="str">
        <f>"002388"</f>
        <v>002388</v>
      </c>
      <c r="C3114" t="s">
        <v>6568</v>
      </c>
      <c r="D3114" t="s">
        <v>651</v>
      </c>
      <c r="F3114">
        <v>1424208821</v>
      </c>
      <c r="G3114">
        <v>1207720006</v>
      </c>
      <c r="H3114">
        <v>1187822772</v>
      </c>
      <c r="I3114">
        <v>1146047712</v>
      </c>
      <c r="J3114">
        <v>1232542806</v>
      </c>
      <c r="K3114">
        <v>578118777</v>
      </c>
      <c r="L3114">
        <v>567228323</v>
      </c>
      <c r="M3114">
        <v>564861608</v>
      </c>
      <c r="N3114">
        <v>555531062</v>
      </c>
      <c r="O3114">
        <v>565593232</v>
      </c>
      <c r="P3114">
        <v>148</v>
      </c>
      <c r="Q3114" t="s">
        <v>6569</v>
      </c>
    </row>
    <row r="3115" spans="1:17" x14ac:dyDescent="0.3">
      <c r="A3115" t="s">
        <v>4729</v>
      </c>
      <c r="B3115" t="str">
        <f>"002389"</f>
        <v>002389</v>
      </c>
      <c r="C3115" t="s">
        <v>6570</v>
      </c>
      <c r="D3115" t="s">
        <v>98</v>
      </c>
      <c r="F3115">
        <v>7709470527</v>
      </c>
      <c r="G3115">
        <v>6614570326</v>
      </c>
      <c r="H3115">
        <v>6427640254</v>
      </c>
      <c r="I3115">
        <v>6218591168</v>
      </c>
      <c r="J3115">
        <v>5975523010</v>
      </c>
      <c r="K3115">
        <v>3437291243</v>
      </c>
      <c r="L3115">
        <v>3333673671</v>
      </c>
      <c r="M3115">
        <v>2121410667</v>
      </c>
      <c r="N3115">
        <v>1552044095</v>
      </c>
      <c r="O3115">
        <v>1539119695</v>
      </c>
      <c r="P3115">
        <v>435</v>
      </c>
      <c r="Q3115" t="s">
        <v>6571</v>
      </c>
    </row>
    <row r="3116" spans="1:17" x14ac:dyDescent="0.3">
      <c r="A3116" t="s">
        <v>4729</v>
      </c>
      <c r="B3116" t="str">
        <f>"002390"</f>
        <v>002390</v>
      </c>
      <c r="C3116" t="s">
        <v>6572</v>
      </c>
      <c r="D3116" t="s">
        <v>188</v>
      </c>
      <c r="F3116">
        <v>6619762004</v>
      </c>
      <c r="G3116">
        <v>4918339926</v>
      </c>
      <c r="H3116">
        <v>4837089530</v>
      </c>
      <c r="I3116">
        <v>4967457613</v>
      </c>
      <c r="J3116">
        <v>6615306678</v>
      </c>
      <c r="K3116">
        <v>6352062816</v>
      </c>
      <c r="L3116">
        <v>2541866373</v>
      </c>
      <c r="M3116">
        <v>2396918268</v>
      </c>
      <c r="N3116">
        <v>1034901701</v>
      </c>
      <c r="O3116">
        <v>1017670602</v>
      </c>
      <c r="P3116">
        <v>272</v>
      </c>
      <c r="Q3116" t="s">
        <v>6573</v>
      </c>
    </row>
    <row r="3117" spans="1:17" x14ac:dyDescent="0.3">
      <c r="A3117" t="s">
        <v>4729</v>
      </c>
      <c r="B3117" t="str">
        <f>"002391"</f>
        <v>002391</v>
      </c>
      <c r="C3117" t="s">
        <v>6574</v>
      </c>
      <c r="D3117" t="s">
        <v>853</v>
      </c>
      <c r="F3117">
        <v>4498395749</v>
      </c>
      <c r="G3117">
        <v>4354237461</v>
      </c>
      <c r="H3117">
        <v>3370572689</v>
      </c>
      <c r="I3117">
        <v>3258830584</v>
      </c>
      <c r="J3117">
        <v>3047385053</v>
      </c>
      <c r="K3117">
        <v>2927322867</v>
      </c>
      <c r="L3117">
        <v>2873318403</v>
      </c>
      <c r="M3117">
        <v>2255738063</v>
      </c>
      <c r="N3117">
        <v>1940109610</v>
      </c>
      <c r="O3117">
        <v>1745563743</v>
      </c>
      <c r="P3117">
        <v>192</v>
      </c>
      <c r="Q3117" t="s">
        <v>6575</v>
      </c>
    </row>
    <row r="3118" spans="1:17" x14ac:dyDescent="0.3">
      <c r="A3118" t="s">
        <v>4729</v>
      </c>
      <c r="B3118" t="str">
        <f>"002392"</f>
        <v>002392</v>
      </c>
      <c r="C3118" t="s">
        <v>6576</v>
      </c>
      <c r="D3118" t="s">
        <v>5922</v>
      </c>
      <c r="F3118">
        <v>4617576404</v>
      </c>
      <c r="G3118">
        <v>4119160219</v>
      </c>
      <c r="H3118">
        <v>3804486979</v>
      </c>
      <c r="I3118">
        <v>3439780279</v>
      </c>
      <c r="J3118">
        <v>3140487923</v>
      </c>
      <c r="K3118">
        <v>3004656334</v>
      </c>
      <c r="L3118">
        <v>2855537065</v>
      </c>
      <c r="M3118">
        <v>2931614740</v>
      </c>
      <c r="N3118">
        <v>2756981522</v>
      </c>
      <c r="O3118">
        <v>1977201505</v>
      </c>
      <c r="P3118">
        <v>142</v>
      </c>
      <c r="Q3118" t="s">
        <v>6577</v>
      </c>
    </row>
    <row r="3119" spans="1:17" x14ac:dyDescent="0.3">
      <c r="A3119" t="s">
        <v>4729</v>
      </c>
      <c r="B3119" t="str">
        <f>"002393"</f>
        <v>002393</v>
      </c>
      <c r="C3119" t="s">
        <v>6578</v>
      </c>
      <c r="D3119" t="s">
        <v>143</v>
      </c>
      <c r="F3119">
        <v>4410508810</v>
      </c>
      <c r="G3119">
        <v>4302095758</v>
      </c>
      <c r="H3119">
        <v>4416847766</v>
      </c>
      <c r="I3119">
        <v>3212355312</v>
      </c>
      <c r="J3119">
        <v>3079721230</v>
      </c>
      <c r="K3119">
        <v>3015150239</v>
      </c>
      <c r="L3119">
        <v>2969945061</v>
      </c>
      <c r="M3119">
        <v>2909863225</v>
      </c>
      <c r="N3119">
        <v>2923834645</v>
      </c>
      <c r="O3119">
        <v>2771739654</v>
      </c>
      <c r="P3119">
        <v>153</v>
      </c>
      <c r="Q3119" t="s">
        <v>6579</v>
      </c>
    </row>
    <row r="3120" spans="1:17" x14ac:dyDescent="0.3">
      <c r="A3120" t="s">
        <v>4729</v>
      </c>
      <c r="B3120" t="str">
        <f>"002394"</f>
        <v>002394</v>
      </c>
      <c r="C3120" t="s">
        <v>6580</v>
      </c>
      <c r="D3120" t="s">
        <v>1009</v>
      </c>
      <c r="F3120">
        <v>3768572896</v>
      </c>
      <c r="G3120">
        <v>3708925596</v>
      </c>
      <c r="H3120">
        <v>3410627880</v>
      </c>
      <c r="I3120">
        <v>3198652654</v>
      </c>
      <c r="J3120">
        <v>3050243356</v>
      </c>
      <c r="K3120">
        <v>2854997604</v>
      </c>
      <c r="L3120">
        <v>2653262153</v>
      </c>
      <c r="M3120">
        <v>2609740715</v>
      </c>
      <c r="N3120">
        <v>2442945247</v>
      </c>
      <c r="O3120">
        <v>2247394093</v>
      </c>
      <c r="P3120">
        <v>673</v>
      </c>
      <c r="Q3120" t="s">
        <v>6581</v>
      </c>
    </row>
    <row r="3121" spans="1:17" x14ac:dyDescent="0.3">
      <c r="A3121" t="s">
        <v>4729</v>
      </c>
      <c r="B3121" t="str">
        <f>"002395"</f>
        <v>002395</v>
      </c>
      <c r="C3121" t="s">
        <v>6582</v>
      </c>
      <c r="D3121" t="s">
        <v>3377</v>
      </c>
      <c r="F3121">
        <v>904805851</v>
      </c>
      <c r="G3121">
        <v>894552920</v>
      </c>
      <c r="H3121">
        <v>852362421</v>
      </c>
      <c r="I3121">
        <v>857840736</v>
      </c>
      <c r="J3121">
        <v>835601513</v>
      </c>
      <c r="K3121">
        <v>836816459</v>
      </c>
      <c r="L3121">
        <v>805205851</v>
      </c>
      <c r="M3121">
        <v>790992696</v>
      </c>
      <c r="N3121">
        <v>791955530</v>
      </c>
      <c r="O3121">
        <v>791004468</v>
      </c>
      <c r="P3121">
        <v>59</v>
      </c>
      <c r="Q3121" t="s">
        <v>6583</v>
      </c>
    </row>
    <row r="3122" spans="1:17" x14ac:dyDescent="0.3">
      <c r="A3122" t="s">
        <v>4729</v>
      </c>
      <c r="B3122" t="str">
        <f>"002396"</f>
        <v>002396</v>
      </c>
      <c r="C3122" t="s">
        <v>6584</v>
      </c>
      <c r="D3122" t="s">
        <v>1019</v>
      </c>
      <c r="F3122">
        <v>4692754422</v>
      </c>
      <c r="G3122">
        <v>4189444544</v>
      </c>
      <c r="H3122">
        <v>4226728083</v>
      </c>
      <c r="I3122">
        <v>3678190630</v>
      </c>
      <c r="J3122">
        <v>3201224710</v>
      </c>
      <c r="K3122">
        <v>2883080508</v>
      </c>
      <c r="L3122">
        <v>2615100038</v>
      </c>
      <c r="M3122">
        <v>2145568996</v>
      </c>
      <c r="N3122">
        <v>2009130434</v>
      </c>
      <c r="O3122">
        <v>1857733207</v>
      </c>
      <c r="P3122">
        <v>3694</v>
      </c>
      <c r="Q3122" t="s">
        <v>6585</v>
      </c>
    </row>
    <row r="3123" spans="1:17" x14ac:dyDescent="0.3">
      <c r="A3123" t="s">
        <v>4729</v>
      </c>
      <c r="B3123" t="str">
        <f>"002397"</f>
        <v>002397</v>
      </c>
      <c r="C3123" t="s">
        <v>6586</v>
      </c>
      <c r="D3123" t="s">
        <v>2889</v>
      </c>
      <c r="F3123">
        <v>1591530871</v>
      </c>
      <c r="G3123">
        <v>1804899751</v>
      </c>
      <c r="H3123">
        <v>1921513150</v>
      </c>
      <c r="I3123">
        <v>1986276517</v>
      </c>
      <c r="J3123">
        <v>1985788850</v>
      </c>
      <c r="K3123">
        <v>1437999620</v>
      </c>
      <c r="L3123">
        <v>1392639254</v>
      </c>
      <c r="M3123">
        <v>1274952434</v>
      </c>
      <c r="N3123">
        <v>1172029467</v>
      </c>
      <c r="O3123">
        <v>1116681378</v>
      </c>
      <c r="P3123">
        <v>109</v>
      </c>
      <c r="Q3123" t="s">
        <v>6587</v>
      </c>
    </row>
    <row r="3124" spans="1:17" x14ac:dyDescent="0.3">
      <c r="A3124" t="s">
        <v>4729</v>
      </c>
      <c r="B3124" t="str">
        <f>"002398"</f>
        <v>002398</v>
      </c>
      <c r="C3124" t="s">
        <v>6588</v>
      </c>
      <c r="D3124" t="s">
        <v>722</v>
      </c>
      <c r="F3124">
        <v>3412570824</v>
      </c>
      <c r="G3124">
        <v>3214066584</v>
      </c>
      <c r="H3124">
        <v>2834619246</v>
      </c>
      <c r="I3124">
        <v>2474474396</v>
      </c>
      <c r="J3124">
        <v>2280182290</v>
      </c>
      <c r="K3124">
        <v>2130268282</v>
      </c>
      <c r="L3124">
        <v>1997258276</v>
      </c>
      <c r="M3124">
        <v>1821563647</v>
      </c>
      <c r="N3124">
        <v>1626063250</v>
      </c>
      <c r="O3124">
        <v>1419865249</v>
      </c>
      <c r="P3124">
        <v>217</v>
      </c>
      <c r="Q3124" t="s">
        <v>6589</v>
      </c>
    </row>
    <row r="3125" spans="1:17" x14ac:dyDescent="0.3">
      <c r="A3125" t="s">
        <v>4729</v>
      </c>
      <c r="B3125" t="str">
        <f>"002399"</f>
        <v>002399</v>
      </c>
      <c r="C3125" t="s">
        <v>6590</v>
      </c>
      <c r="D3125" t="s">
        <v>496</v>
      </c>
      <c r="F3125">
        <v>11411354456</v>
      </c>
      <c r="G3125">
        <v>11569392531</v>
      </c>
      <c r="H3125">
        <v>7347010761</v>
      </c>
      <c r="I3125">
        <v>5989885806</v>
      </c>
      <c r="J3125">
        <v>7580397983</v>
      </c>
      <c r="K3125">
        <v>7971187457</v>
      </c>
      <c r="L3125">
        <v>8719021932</v>
      </c>
      <c r="M3125">
        <v>8269794223</v>
      </c>
      <c r="N3125">
        <v>7986056392</v>
      </c>
      <c r="O3125">
        <v>7961506213</v>
      </c>
      <c r="P3125">
        <v>285</v>
      </c>
      <c r="Q3125" t="s">
        <v>6591</v>
      </c>
    </row>
    <row r="3126" spans="1:17" x14ac:dyDescent="0.3">
      <c r="A3126" t="s">
        <v>4729</v>
      </c>
      <c r="B3126" t="str">
        <f>"002400"</f>
        <v>002400</v>
      </c>
      <c r="C3126" t="s">
        <v>6592</v>
      </c>
      <c r="D3126" t="s">
        <v>207</v>
      </c>
      <c r="F3126">
        <v>4630471884</v>
      </c>
      <c r="G3126">
        <v>4420919100</v>
      </c>
      <c r="H3126">
        <v>5378965382</v>
      </c>
      <c r="I3126">
        <v>5208496547</v>
      </c>
      <c r="J3126">
        <v>5014017087</v>
      </c>
      <c r="K3126">
        <v>5191473800</v>
      </c>
      <c r="L3126">
        <v>2436609007</v>
      </c>
      <c r="M3126">
        <v>1927538597</v>
      </c>
      <c r="N3126">
        <v>1495759323</v>
      </c>
      <c r="O3126">
        <v>1254945165</v>
      </c>
      <c r="P3126">
        <v>328</v>
      </c>
      <c r="Q3126" t="s">
        <v>6593</v>
      </c>
    </row>
    <row r="3127" spans="1:17" x14ac:dyDescent="0.3">
      <c r="A3127" t="s">
        <v>4729</v>
      </c>
      <c r="B3127" t="str">
        <f>"002401"</f>
        <v>002401</v>
      </c>
      <c r="C3127" t="s">
        <v>6594</v>
      </c>
      <c r="D3127" t="s">
        <v>316</v>
      </c>
      <c r="F3127">
        <v>1278094433</v>
      </c>
      <c r="G3127">
        <v>1142437415</v>
      </c>
      <c r="H3127">
        <v>955225283</v>
      </c>
      <c r="I3127">
        <v>873427172</v>
      </c>
      <c r="J3127">
        <v>805399117</v>
      </c>
      <c r="K3127">
        <v>754726144</v>
      </c>
      <c r="L3127">
        <v>708798856</v>
      </c>
      <c r="M3127">
        <v>669788251</v>
      </c>
      <c r="N3127">
        <v>618713816</v>
      </c>
      <c r="O3127">
        <v>581831889</v>
      </c>
      <c r="P3127">
        <v>152</v>
      </c>
      <c r="Q3127" t="s">
        <v>6595</v>
      </c>
    </row>
    <row r="3128" spans="1:17" x14ac:dyDescent="0.3">
      <c r="A3128" t="s">
        <v>4729</v>
      </c>
      <c r="B3128" t="str">
        <f>"002402"</f>
        <v>002402</v>
      </c>
      <c r="C3128" t="s">
        <v>6596</v>
      </c>
      <c r="D3128" t="s">
        <v>313</v>
      </c>
      <c r="F3128">
        <v>3609204319</v>
      </c>
      <c r="G3128">
        <v>3032562801</v>
      </c>
      <c r="H3128">
        <v>2043593256</v>
      </c>
      <c r="I3128">
        <v>1599760746</v>
      </c>
      <c r="J3128">
        <v>1320571338</v>
      </c>
      <c r="K3128">
        <v>1067001640</v>
      </c>
      <c r="L3128">
        <v>997508111</v>
      </c>
      <c r="M3128">
        <v>932232961</v>
      </c>
      <c r="N3128">
        <v>767094590</v>
      </c>
      <c r="O3128">
        <v>760067503</v>
      </c>
      <c r="P3128">
        <v>1281</v>
      </c>
      <c r="Q3128" t="s">
        <v>6597</v>
      </c>
    </row>
    <row r="3129" spans="1:17" x14ac:dyDescent="0.3">
      <c r="A3129" t="s">
        <v>4729</v>
      </c>
      <c r="B3129" t="str">
        <f>"002403"</f>
        <v>002403</v>
      </c>
      <c r="C3129" t="s">
        <v>6598</v>
      </c>
      <c r="D3129" t="s">
        <v>5799</v>
      </c>
      <c r="F3129">
        <v>2165511279</v>
      </c>
      <c r="G3129">
        <v>2246824522</v>
      </c>
      <c r="H3129">
        <v>2149631762</v>
      </c>
      <c r="I3129">
        <v>2220736820</v>
      </c>
      <c r="J3129">
        <v>2208813966</v>
      </c>
      <c r="K3129">
        <v>2106139838</v>
      </c>
      <c r="L3129">
        <v>1667444303</v>
      </c>
      <c r="M3129">
        <v>1660321491</v>
      </c>
      <c r="N3129">
        <v>1626977468</v>
      </c>
      <c r="O3129">
        <v>1584101333</v>
      </c>
      <c r="P3129">
        <v>151</v>
      </c>
      <c r="Q3129" t="s">
        <v>6599</v>
      </c>
    </row>
    <row r="3130" spans="1:17" x14ac:dyDescent="0.3">
      <c r="A3130" t="s">
        <v>4729</v>
      </c>
      <c r="B3130" t="str">
        <f>"002404"</f>
        <v>002404</v>
      </c>
      <c r="C3130" t="s">
        <v>6600</v>
      </c>
      <c r="D3130" t="s">
        <v>366</v>
      </c>
      <c r="F3130">
        <v>1811823933</v>
      </c>
      <c r="G3130">
        <v>1840552968</v>
      </c>
      <c r="H3130">
        <v>1773038677</v>
      </c>
      <c r="I3130">
        <v>1754008841</v>
      </c>
      <c r="J3130">
        <v>1327984655</v>
      </c>
      <c r="K3130">
        <v>1293671261</v>
      </c>
      <c r="L3130">
        <v>1253534918</v>
      </c>
      <c r="M3130">
        <v>1255358077</v>
      </c>
      <c r="N3130">
        <v>1234016649</v>
      </c>
      <c r="O3130">
        <v>1208245866</v>
      </c>
      <c r="P3130">
        <v>108</v>
      </c>
      <c r="Q3130" t="s">
        <v>6601</v>
      </c>
    </row>
    <row r="3131" spans="1:17" x14ac:dyDescent="0.3">
      <c r="A3131" t="s">
        <v>4729</v>
      </c>
      <c r="B3131" t="str">
        <f>"002405"</f>
        <v>002405</v>
      </c>
      <c r="C3131" t="s">
        <v>6602</v>
      </c>
      <c r="D3131" t="s">
        <v>945</v>
      </c>
      <c r="F3131">
        <v>12234891717</v>
      </c>
      <c r="G3131">
        <v>7759474927</v>
      </c>
      <c r="H3131">
        <v>7799544484</v>
      </c>
      <c r="I3131">
        <v>7201231752</v>
      </c>
      <c r="J3131">
        <v>6636154616</v>
      </c>
      <c r="K3131">
        <v>2793417546</v>
      </c>
      <c r="L3131">
        <v>2541873601</v>
      </c>
      <c r="M3131">
        <v>2460660858</v>
      </c>
      <c r="N3131">
        <v>2409809714</v>
      </c>
      <c r="O3131">
        <v>2373119858</v>
      </c>
      <c r="P3131">
        <v>3861</v>
      </c>
      <c r="Q3131" t="s">
        <v>6603</v>
      </c>
    </row>
    <row r="3132" spans="1:17" x14ac:dyDescent="0.3">
      <c r="A3132" t="s">
        <v>4729</v>
      </c>
      <c r="B3132" t="str">
        <f>"002406"</f>
        <v>002406</v>
      </c>
      <c r="C3132" t="s">
        <v>6604</v>
      </c>
      <c r="D3132" t="s">
        <v>348</v>
      </c>
      <c r="F3132">
        <v>3305869063</v>
      </c>
      <c r="G3132">
        <v>3226148376</v>
      </c>
      <c r="H3132">
        <v>2683500172</v>
      </c>
      <c r="I3132">
        <v>2438970919</v>
      </c>
      <c r="J3132">
        <v>2347151721</v>
      </c>
      <c r="K3132">
        <v>2244089945</v>
      </c>
      <c r="L3132">
        <v>2183248917</v>
      </c>
      <c r="M3132">
        <v>2146867057</v>
      </c>
      <c r="N3132">
        <v>2101938986</v>
      </c>
      <c r="O3132">
        <v>2032456487</v>
      </c>
      <c r="P3132">
        <v>272</v>
      </c>
      <c r="Q3132" t="s">
        <v>6605</v>
      </c>
    </row>
    <row r="3133" spans="1:17" x14ac:dyDescent="0.3">
      <c r="A3133" t="s">
        <v>4729</v>
      </c>
      <c r="B3133" t="str">
        <f>"002407"</f>
        <v>002407</v>
      </c>
      <c r="C3133" t="s">
        <v>6606</v>
      </c>
      <c r="D3133" t="s">
        <v>375</v>
      </c>
      <c r="F3133">
        <v>5077511565</v>
      </c>
      <c r="G3133">
        <v>2950169997</v>
      </c>
      <c r="H3133">
        <v>2914198188</v>
      </c>
      <c r="I3133">
        <v>3467414631</v>
      </c>
      <c r="J3133">
        <v>2821196158</v>
      </c>
      <c r="K3133">
        <v>2608813017</v>
      </c>
      <c r="L3133">
        <v>2075560925</v>
      </c>
      <c r="M3133">
        <v>1436855997</v>
      </c>
      <c r="N3133">
        <v>1459540520</v>
      </c>
      <c r="O3133">
        <v>1463413138</v>
      </c>
      <c r="P3133">
        <v>566</v>
      </c>
      <c r="Q3133" t="s">
        <v>6607</v>
      </c>
    </row>
    <row r="3134" spans="1:17" x14ac:dyDescent="0.3">
      <c r="A3134" t="s">
        <v>4729</v>
      </c>
      <c r="B3134" t="str">
        <f>"002408"</f>
        <v>002408</v>
      </c>
      <c r="C3134" t="s">
        <v>6608</v>
      </c>
      <c r="D3134" t="s">
        <v>1617</v>
      </c>
      <c r="F3134">
        <v>12669500819</v>
      </c>
      <c r="G3134">
        <v>8452697179</v>
      </c>
      <c r="H3134">
        <v>7560364637</v>
      </c>
      <c r="I3134">
        <v>7290026398</v>
      </c>
      <c r="J3134">
        <v>6646445369</v>
      </c>
      <c r="K3134">
        <v>5885798575</v>
      </c>
      <c r="L3134">
        <v>5544671055</v>
      </c>
      <c r="M3134">
        <v>3668271623</v>
      </c>
      <c r="N3134">
        <v>3253312358</v>
      </c>
      <c r="O3134">
        <v>3104947776</v>
      </c>
      <c r="P3134">
        <v>317</v>
      </c>
      <c r="Q3134" t="s">
        <v>6609</v>
      </c>
    </row>
    <row r="3135" spans="1:17" x14ac:dyDescent="0.3">
      <c r="A3135" t="s">
        <v>4729</v>
      </c>
      <c r="B3135" t="str">
        <f>"002409"</f>
        <v>002409</v>
      </c>
      <c r="C3135" t="s">
        <v>6610</v>
      </c>
      <c r="D3135" t="s">
        <v>475</v>
      </c>
      <c r="F3135">
        <v>5984811381</v>
      </c>
      <c r="G3135">
        <v>4712906965</v>
      </c>
      <c r="H3135">
        <v>4417596240</v>
      </c>
      <c r="I3135">
        <v>4174949703</v>
      </c>
      <c r="J3135">
        <v>1553080079</v>
      </c>
      <c r="K3135">
        <v>1522661987</v>
      </c>
      <c r="L3135">
        <v>1349703501</v>
      </c>
      <c r="M3135">
        <v>1278428526</v>
      </c>
      <c r="N3135">
        <v>1247982562</v>
      </c>
      <c r="O3135">
        <v>1193309964</v>
      </c>
      <c r="P3135">
        <v>496</v>
      </c>
      <c r="Q3135" t="s">
        <v>6611</v>
      </c>
    </row>
    <row r="3136" spans="1:17" x14ac:dyDescent="0.3">
      <c r="A3136" t="s">
        <v>4729</v>
      </c>
      <c r="B3136" t="str">
        <f>"002410"</f>
        <v>002410</v>
      </c>
      <c r="C3136" t="s">
        <v>6612</v>
      </c>
      <c r="D3136" t="s">
        <v>945</v>
      </c>
      <c r="F3136">
        <v>5787737027</v>
      </c>
      <c r="G3136">
        <v>6402241170</v>
      </c>
      <c r="H3136">
        <v>3269226859</v>
      </c>
      <c r="I3136">
        <v>3192457123</v>
      </c>
      <c r="J3136">
        <v>3083703492</v>
      </c>
      <c r="K3136">
        <v>2960009656</v>
      </c>
      <c r="L3136">
        <v>2739038667</v>
      </c>
      <c r="M3136">
        <v>2794588085</v>
      </c>
      <c r="N3136">
        <v>2465843557</v>
      </c>
      <c r="O3136">
        <v>2071141592</v>
      </c>
      <c r="P3136">
        <v>2190</v>
      </c>
      <c r="Q3136" t="s">
        <v>6613</v>
      </c>
    </row>
    <row r="3137" spans="1:17" x14ac:dyDescent="0.3">
      <c r="A3137" t="s">
        <v>4729</v>
      </c>
      <c r="B3137" t="str">
        <f>"002411"</f>
        <v>002411</v>
      </c>
      <c r="C3137" t="s">
        <v>6614</v>
      </c>
      <c r="D3137" t="s">
        <v>125</v>
      </c>
      <c r="G3137">
        <v>8556576728</v>
      </c>
      <c r="H3137">
        <v>9877581691</v>
      </c>
      <c r="I3137">
        <v>9331697139</v>
      </c>
      <c r="J3137">
        <v>9080744690</v>
      </c>
      <c r="K3137">
        <v>8310722994</v>
      </c>
      <c r="L3137">
        <v>5178973455</v>
      </c>
      <c r="M3137">
        <v>860206589</v>
      </c>
      <c r="N3137">
        <v>841798813</v>
      </c>
      <c r="O3137">
        <v>825823497</v>
      </c>
      <c r="P3137">
        <v>244</v>
      </c>
      <c r="Q3137" t="s">
        <v>6615</v>
      </c>
    </row>
    <row r="3138" spans="1:17" x14ac:dyDescent="0.3">
      <c r="A3138" t="s">
        <v>4729</v>
      </c>
      <c r="B3138" t="str">
        <f>"002412"</f>
        <v>002412</v>
      </c>
      <c r="C3138" t="s">
        <v>6616</v>
      </c>
      <c r="D3138" t="s">
        <v>188</v>
      </c>
      <c r="F3138">
        <v>1742292532</v>
      </c>
      <c r="G3138">
        <v>1594720661</v>
      </c>
      <c r="H3138">
        <v>1529977689</v>
      </c>
      <c r="I3138">
        <v>1363344314</v>
      </c>
      <c r="J3138">
        <v>1219231338</v>
      </c>
      <c r="K3138">
        <v>1258424561</v>
      </c>
      <c r="L3138">
        <v>1217607952</v>
      </c>
      <c r="M3138">
        <v>1119530541</v>
      </c>
      <c r="N3138">
        <v>1075942599</v>
      </c>
      <c r="O3138">
        <v>965109953</v>
      </c>
      <c r="P3138">
        <v>155</v>
      </c>
      <c r="Q3138" t="s">
        <v>6617</v>
      </c>
    </row>
    <row r="3139" spans="1:17" x14ac:dyDescent="0.3">
      <c r="A3139" t="s">
        <v>4729</v>
      </c>
      <c r="B3139" t="str">
        <f>"002413"</f>
        <v>002413</v>
      </c>
      <c r="C3139" t="s">
        <v>6618</v>
      </c>
      <c r="D3139" t="s">
        <v>1136</v>
      </c>
      <c r="F3139">
        <v>4943558901</v>
      </c>
      <c r="G3139">
        <v>3996128662</v>
      </c>
      <c r="H3139">
        <v>3602697795</v>
      </c>
      <c r="I3139">
        <v>3904680687</v>
      </c>
      <c r="J3139">
        <v>3611240620</v>
      </c>
      <c r="K3139">
        <v>3459242456</v>
      </c>
      <c r="L3139">
        <v>2126366439</v>
      </c>
      <c r="M3139">
        <v>1205486137</v>
      </c>
      <c r="N3139">
        <v>1195559450</v>
      </c>
      <c r="O3139">
        <v>1191968157</v>
      </c>
      <c r="P3139">
        <v>218</v>
      </c>
      <c r="Q3139" t="s">
        <v>6619</v>
      </c>
    </row>
    <row r="3140" spans="1:17" x14ac:dyDescent="0.3">
      <c r="A3140" t="s">
        <v>4729</v>
      </c>
      <c r="B3140" t="str">
        <f>"002414"</f>
        <v>002414</v>
      </c>
      <c r="C3140" t="s">
        <v>6620</v>
      </c>
      <c r="D3140" t="s">
        <v>1136</v>
      </c>
      <c r="F3140">
        <v>7544548987</v>
      </c>
      <c r="G3140">
        <v>4352648628</v>
      </c>
      <c r="H3140">
        <v>3533491235</v>
      </c>
      <c r="I3140">
        <v>3327634307</v>
      </c>
      <c r="J3140">
        <v>3201708306</v>
      </c>
      <c r="K3140">
        <v>3154456037</v>
      </c>
      <c r="L3140">
        <v>2487588242</v>
      </c>
      <c r="M3140">
        <v>2435879158</v>
      </c>
      <c r="N3140">
        <v>2379712051</v>
      </c>
      <c r="O3140">
        <v>2348244623</v>
      </c>
      <c r="P3140">
        <v>789</v>
      </c>
      <c r="Q3140" t="s">
        <v>6621</v>
      </c>
    </row>
    <row r="3141" spans="1:17" x14ac:dyDescent="0.3">
      <c r="A3141" t="s">
        <v>4729</v>
      </c>
      <c r="B3141" t="str">
        <f>"002415"</f>
        <v>002415</v>
      </c>
      <c r="C3141" t="s">
        <v>6622</v>
      </c>
      <c r="D3141" t="s">
        <v>2980</v>
      </c>
      <c r="F3141">
        <v>63460886665</v>
      </c>
      <c r="G3141">
        <v>53794311162</v>
      </c>
      <c r="H3141">
        <v>44904033877</v>
      </c>
      <c r="I3141">
        <v>37590154638</v>
      </c>
      <c r="J3141">
        <v>30358072874</v>
      </c>
      <c r="K3141">
        <v>24288634890</v>
      </c>
      <c r="L3141">
        <v>19253803739</v>
      </c>
      <c r="M3141">
        <v>14842243666</v>
      </c>
      <c r="N3141">
        <v>11178351846</v>
      </c>
      <c r="O3141">
        <v>8656704396</v>
      </c>
      <c r="P3141">
        <v>63223</v>
      </c>
      <c r="Q3141" t="s">
        <v>6623</v>
      </c>
    </row>
    <row r="3142" spans="1:17" x14ac:dyDescent="0.3">
      <c r="A3142" t="s">
        <v>4729</v>
      </c>
      <c r="B3142" t="str">
        <f>"002416"</f>
        <v>002416</v>
      </c>
      <c r="C3142" t="s">
        <v>6624</v>
      </c>
      <c r="D3142" t="s">
        <v>295</v>
      </c>
      <c r="F3142">
        <v>5780720133</v>
      </c>
      <c r="G3142">
        <v>5414309947</v>
      </c>
      <c r="H3142">
        <v>4954610253</v>
      </c>
      <c r="I3142">
        <v>4921808809</v>
      </c>
      <c r="J3142">
        <v>5386377183</v>
      </c>
      <c r="K3142">
        <v>5270988505</v>
      </c>
      <c r="L3142">
        <v>4468575072</v>
      </c>
      <c r="M3142">
        <v>4298371777</v>
      </c>
      <c r="N3142">
        <v>4591171966</v>
      </c>
      <c r="O3142">
        <v>3810110150</v>
      </c>
      <c r="P3142">
        <v>251</v>
      </c>
      <c r="Q3142" t="s">
        <v>6625</v>
      </c>
    </row>
    <row r="3143" spans="1:17" x14ac:dyDescent="0.3">
      <c r="A3143" t="s">
        <v>4729</v>
      </c>
      <c r="B3143" t="str">
        <f>"002417"</f>
        <v>002417</v>
      </c>
      <c r="C3143" t="s">
        <v>6626</v>
      </c>
      <c r="D3143" t="s">
        <v>316</v>
      </c>
      <c r="F3143">
        <v>138308032</v>
      </c>
      <c r="G3143">
        <v>253231795</v>
      </c>
      <c r="H3143">
        <v>233045139</v>
      </c>
      <c r="I3143">
        <v>300069257</v>
      </c>
      <c r="J3143">
        <v>349137093</v>
      </c>
      <c r="K3143">
        <v>341465249</v>
      </c>
      <c r="L3143">
        <v>446901050</v>
      </c>
      <c r="M3143">
        <v>417524306</v>
      </c>
      <c r="N3143">
        <v>744005055</v>
      </c>
      <c r="O3143">
        <v>876186954</v>
      </c>
      <c r="P3143">
        <v>140</v>
      </c>
      <c r="Q3143" t="s">
        <v>6627</v>
      </c>
    </row>
    <row r="3144" spans="1:17" x14ac:dyDescent="0.3">
      <c r="A3144" t="s">
        <v>4729</v>
      </c>
      <c r="B3144" t="str">
        <f>"002418"</f>
        <v>002418</v>
      </c>
      <c r="C3144" t="s">
        <v>6628</v>
      </c>
      <c r="D3144" t="s">
        <v>1253</v>
      </c>
      <c r="F3144">
        <v>1506426378</v>
      </c>
      <c r="G3144">
        <v>1436571019</v>
      </c>
      <c r="H3144">
        <v>611867357</v>
      </c>
      <c r="I3144">
        <v>1145578333</v>
      </c>
      <c r="J3144">
        <v>2233314345</v>
      </c>
      <c r="K3144">
        <v>2074742185</v>
      </c>
      <c r="L3144">
        <v>1921135937</v>
      </c>
      <c r="M3144">
        <v>1128149207</v>
      </c>
      <c r="N3144">
        <v>1155098180</v>
      </c>
      <c r="O3144">
        <v>1149363935</v>
      </c>
      <c r="P3144">
        <v>94</v>
      </c>
      <c r="Q3144" t="s">
        <v>6629</v>
      </c>
    </row>
    <row r="3145" spans="1:17" x14ac:dyDescent="0.3">
      <c r="A3145" t="s">
        <v>4729</v>
      </c>
      <c r="B3145" t="str">
        <f>"002419"</f>
        <v>002419</v>
      </c>
      <c r="C3145" t="s">
        <v>6630</v>
      </c>
      <c r="D3145" t="s">
        <v>633</v>
      </c>
      <c r="F3145">
        <v>4109345201</v>
      </c>
      <c r="G3145">
        <v>6693800191</v>
      </c>
      <c r="H3145">
        <v>6949576466</v>
      </c>
      <c r="I3145">
        <v>6567536864</v>
      </c>
      <c r="J3145">
        <v>6023034034</v>
      </c>
      <c r="K3145">
        <v>5593151283</v>
      </c>
      <c r="L3145">
        <v>5511398452</v>
      </c>
      <c r="M3145">
        <v>4569189880</v>
      </c>
      <c r="N3145">
        <v>4318844844</v>
      </c>
      <c r="O3145">
        <v>3967467740</v>
      </c>
      <c r="P3145">
        <v>421</v>
      </c>
      <c r="Q3145" t="s">
        <v>6631</v>
      </c>
    </row>
    <row r="3146" spans="1:17" x14ac:dyDescent="0.3">
      <c r="A3146" t="s">
        <v>4729</v>
      </c>
      <c r="B3146" t="str">
        <f>"002420"</f>
        <v>002420</v>
      </c>
      <c r="C3146" t="s">
        <v>6632</v>
      </c>
      <c r="D3146" t="s">
        <v>1253</v>
      </c>
      <c r="F3146">
        <v>642090654</v>
      </c>
      <c r="G3146">
        <v>567721008</v>
      </c>
      <c r="H3146">
        <v>501875573</v>
      </c>
      <c r="I3146">
        <v>367737332</v>
      </c>
      <c r="J3146">
        <v>1181774457</v>
      </c>
      <c r="K3146">
        <v>1660886160</v>
      </c>
      <c r="L3146">
        <v>1645025233</v>
      </c>
      <c r="M3146">
        <v>1597046844</v>
      </c>
      <c r="N3146">
        <v>1554761748</v>
      </c>
      <c r="O3146">
        <v>1607598936</v>
      </c>
      <c r="P3146">
        <v>82</v>
      </c>
      <c r="Q3146" t="s">
        <v>6633</v>
      </c>
    </row>
    <row r="3147" spans="1:17" x14ac:dyDescent="0.3">
      <c r="A3147" t="s">
        <v>4729</v>
      </c>
      <c r="B3147" t="str">
        <f>"002421"</f>
        <v>002421</v>
      </c>
      <c r="C3147" t="s">
        <v>6634</v>
      </c>
      <c r="D3147" t="s">
        <v>316</v>
      </c>
      <c r="F3147">
        <v>2514796549</v>
      </c>
      <c r="G3147">
        <v>3092138236</v>
      </c>
      <c r="H3147">
        <v>2822844341</v>
      </c>
      <c r="I3147">
        <v>3206812490</v>
      </c>
      <c r="J3147">
        <v>3097333239</v>
      </c>
      <c r="K3147">
        <v>2810355064</v>
      </c>
      <c r="L3147">
        <v>2536792875</v>
      </c>
      <c r="M3147">
        <v>1617669537</v>
      </c>
      <c r="N3147">
        <v>773846216</v>
      </c>
      <c r="O3147">
        <v>696172891</v>
      </c>
      <c r="P3147">
        <v>199</v>
      </c>
      <c r="Q3147" t="s">
        <v>6635</v>
      </c>
    </row>
    <row r="3148" spans="1:17" x14ac:dyDescent="0.3">
      <c r="A3148" t="s">
        <v>4729</v>
      </c>
      <c r="B3148" t="str">
        <f>"002422"</f>
        <v>002422</v>
      </c>
      <c r="C3148" t="s">
        <v>6636</v>
      </c>
      <c r="D3148" t="s">
        <v>143</v>
      </c>
      <c r="F3148">
        <v>13856827920</v>
      </c>
      <c r="G3148">
        <v>13499180423</v>
      </c>
      <c r="H3148">
        <v>13188050856</v>
      </c>
      <c r="I3148">
        <v>12763475429</v>
      </c>
      <c r="J3148">
        <v>11803033408</v>
      </c>
      <c r="K3148">
        <v>11330204890</v>
      </c>
      <c r="L3148">
        <v>11060039380</v>
      </c>
      <c r="M3148">
        <v>10739478348</v>
      </c>
      <c r="N3148">
        <v>9759926168</v>
      </c>
      <c r="O3148">
        <v>8802834955</v>
      </c>
      <c r="P3148">
        <v>927</v>
      </c>
      <c r="Q3148" t="s">
        <v>6637</v>
      </c>
    </row>
    <row r="3149" spans="1:17" x14ac:dyDescent="0.3">
      <c r="A3149" t="s">
        <v>4729</v>
      </c>
      <c r="B3149" t="str">
        <f>"002423"</f>
        <v>002423</v>
      </c>
      <c r="C3149" t="s">
        <v>6638</v>
      </c>
      <c r="D3149" t="s">
        <v>140</v>
      </c>
      <c r="F3149">
        <v>18349765479</v>
      </c>
      <c r="G3149">
        <v>17285519620</v>
      </c>
      <c r="H3149">
        <v>16334392763</v>
      </c>
      <c r="I3149">
        <v>1454921125</v>
      </c>
      <c r="J3149">
        <v>1572113845</v>
      </c>
      <c r="K3149">
        <v>1829329984</v>
      </c>
      <c r="L3149">
        <v>1823141204</v>
      </c>
      <c r="M3149">
        <v>2035924927</v>
      </c>
      <c r="N3149">
        <v>1790594722</v>
      </c>
      <c r="O3149">
        <v>1802244870</v>
      </c>
      <c r="P3149">
        <v>145</v>
      </c>
      <c r="Q3149" t="s">
        <v>6639</v>
      </c>
    </row>
    <row r="3150" spans="1:17" x14ac:dyDescent="0.3">
      <c r="A3150" t="s">
        <v>4729</v>
      </c>
      <c r="B3150" t="str">
        <f>"002424"</f>
        <v>002424</v>
      </c>
      <c r="C3150" t="s">
        <v>6640</v>
      </c>
      <c r="D3150" t="s">
        <v>188</v>
      </c>
      <c r="F3150">
        <v>3941294696</v>
      </c>
      <c r="G3150">
        <v>3893859870</v>
      </c>
      <c r="H3150">
        <v>4060542836</v>
      </c>
      <c r="I3150">
        <v>3870149871</v>
      </c>
      <c r="J3150">
        <v>3419806985</v>
      </c>
      <c r="K3150">
        <v>3021609995</v>
      </c>
      <c r="L3150">
        <v>2646788898</v>
      </c>
      <c r="M3150">
        <v>2321794255</v>
      </c>
      <c r="N3150">
        <v>2105841389</v>
      </c>
      <c r="O3150">
        <v>2024396913</v>
      </c>
      <c r="P3150">
        <v>472</v>
      </c>
      <c r="Q3150" t="s">
        <v>6641</v>
      </c>
    </row>
    <row r="3151" spans="1:17" x14ac:dyDescent="0.3">
      <c r="A3151" t="s">
        <v>4729</v>
      </c>
      <c r="B3151" t="str">
        <f>"002425"</f>
        <v>002425</v>
      </c>
      <c r="C3151" t="s">
        <v>6642</v>
      </c>
      <c r="D3151" t="s">
        <v>517</v>
      </c>
      <c r="F3151">
        <v>5030297770</v>
      </c>
      <c r="G3151">
        <v>4173007134</v>
      </c>
      <c r="H3151">
        <v>4089800330</v>
      </c>
      <c r="I3151">
        <v>3916951189</v>
      </c>
      <c r="J3151">
        <v>3651792381</v>
      </c>
      <c r="K3151">
        <v>3424605028</v>
      </c>
      <c r="L3151">
        <v>1979958798</v>
      </c>
      <c r="M3151">
        <v>1469133089</v>
      </c>
      <c r="N3151">
        <v>1469229714</v>
      </c>
      <c r="O3151">
        <v>937307934</v>
      </c>
      <c r="P3151">
        <v>257</v>
      </c>
      <c r="Q3151" t="s">
        <v>6643</v>
      </c>
    </row>
    <row r="3152" spans="1:17" x14ac:dyDescent="0.3">
      <c r="A3152" t="s">
        <v>4729</v>
      </c>
      <c r="B3152" t="str">
        <f>"002426"</f>
        <v>002426</v>
      </c>
      <c r="C3152" t="s">
        <v>6644</v>
      </c>
      <c r="D3152" t="s">
        <v>274</v>
      </c>
      <c r="F3152">
        <v>4562746643</v>
      </c>
      <c r="G3152">
        <v>4558009790</v>
      </c>
      <c r="H3152">
        <v>4167181595</v>
      </c>
      <c r="I3152">
        <v>7948258458</v>
      </c>
      <c r="J3152">
        <v>8760793085</v>
      </c>
      <c r="K3152">
        <v>8396282911</v>
      </c>
      <c r="L3152">
        <v>5021575626</v>
      </c>
      <c r="M3152">
        <v>2987412636</v>
      </c>
      <c r="N3152">
        <v>1405528706</v>
      </c>
      <c r="O3152">
        <v>1327656166</v>
      </c>
      <c r="P3152">
        <v>207</v>
      </c>
      <c r="Q3152" t="s">
        <v>6645</v>
      </c>
    </row>
    <row r="3153" spans="1:17" x14ac:dyDescent="0.3">
      <c r="A3153" t="s">
        <v>4729</v>
      </c>
      <c r="B3153" t="str">
        <f>"002427"</f>
        <v>002427</v>
      </c>
      <c r="C3153" t="s">
        <v>6646</v>
      </c>
      <c r="D3153" t="s">
        <v>2731</v>
      </c>
      <c r="F3153">
        <v>-1354018843</v>
      </c>
      <c r="G3153">
        <v>55869309</v>
      </c>
      <c r="H3153">
        <v>807137964</v>
      </c>
      <c r="I3153">
        <v>746189789</v>
      </c>
      <c r="J3153">
        <v>1797114497</v>
      </c>
      <c r="K3153">
        <v>2204565448</v>
      </c>
      <c r="L3153">
        <v>2112485431</v>
      </c>
      <c r="M3153">
        <v>1074986873</v>
      </c>
      <c r="N3153">
        <v>982473268</v>
      </c>
      <c r="O3153">
        <v>961294983</v>
      </c>
      <c r="P3153">
        <v>82</v>
      </c>
      <c r="Q3153" t="s">
        <v>6647</v>
      </c>
    </row>
    <row r="3154" spans="1:17" x14ac:dyDescent="0.3">
      <c r="A3154" t="s">
        <v>4729</v>
      </c>
      <c r="B3154" t="str">
        <f>"002428"</f>
        <v>002428</v>
      </c>
      <c r="C3154" t="s">
        <v>6648</v>
      </c>
      <c r="D3154" t="s">
        <v>636</v>
      </c>
      <c r="F3154">
        <v>1470134037</v>
      </c>
      <c r="G3154">
        <v>1455083196</v>
      </c>
      <c r="H3154">
        <v>1430300054</v>
      </c>
      <c r="I3154">
        <v>1491651838</v>
      </c>
      <c r="J3154">
        <v>1483442889</v>
      </c>
      <c r="K3154">
        <v>1473501782</v>
      </c>
      <c r="L3154">
        <v>1595676741</v>
      </c>
      <c r="M3154">
        <v>1548466709</v>
      </c>
      <c r="N3154">
        <v>1478351828</v>
      </c>
      <c r="O3154">
        <v>1386610275</v>
      </c>
      <c r="P3154">
        <v>186</v>
      </c>
      <c r="Q3154" t="s">
        <v>6649</v>
      </c>
    </row>
    <row r="3155" spans="1:17" x14ac:dyDescent="0.3">
      <c r="A3155" t="s">
        <v>4729</v>
      </c>
      <c r="B3155" t="str">
        <f>"002429"</f>
        <v>002429</v>
      </c>
      <c r="C3155" t="s">
        <v>6650</v>
      </c>
      <c r="D3155" t="s">
        <v>137</v>
      </c>
      <c r="F3155">
        <v>12487779179</v>
      </c>
      <c r="G3155">
        <v>11396211070</v>
      </c>
      <c r="H3155">
        <v>9751949961</v>
      </c>
      <c r="I3155">
        <v>8717817788</v>
      </c>
      <c r="J3155">
        <v>8237893369</v>
      </c>
      <c r="K3155">
        <v>7724424117</v>
      </c>
      <c r="L3155">
        <v>4827428357</v>
      </c>
      <c r="M3155">
        <v>4486220475</v>
      </c>
      <c r="N3155">
        <v>3826417508</v>
      </c>
      <c r="O3155">
        <v>3338798096</v>
      </c>
      <c r="P3155">
        <v>454</v>
      </c>
      <c r="Q3155" t="s">
        <v>6651</v>
      </c>
    </row>
    <row r="3156" spans="1:17" x14ac:dyDescent="0.3">
      <c r="A3156" t="s">
        <v>4729</v>
      </c>
      <c r="B3156" t="str">
        <f>"002430"</f>
        <v>002430</v>
      </c>
      <c r="C3156" t="s">
        <v>6652</v>
      </c>
      <c r="D3156" t="s">
        <v>741</v>
      </c>
      <c r="F3156">
        <v>7323694892</v>
      </c>
      <c r="G3156">
        <v>6354019484</v>
      </c>
      <c r="H3156">
        <v>5779962649</v>
      </c>
      <c r="I3156">
        <v>5307856043</v>
      </c>
      <c r="J3156">
        <v>4634005917</v>
      </c>
      <c r="K3156">
        <v>3378957421</v>
      </c>
      <c r="L3156">
        <v>3676001298</v>
      </c>
      <c r="M3156">
        <v>3538962051</v>
      </c>
      <c r="N3156">
        <v>3269036374</v>
      </c>
      <c r="O3156">
        <v>3150324858</v>
      </c>
      <c r="P3156">
        <v>395</v>
      </c>
      <c r="Q3156" t="s">
        <v>6653</v>
      </c>
    </row>
    <row r="3157" spans="1:17" x14ac:dyDescent="0.3">
      <c r="A3157" t="s">
        <v>4729</v>
      </c>
      <c r="B3157" t="str">
        <f>"002431"</f>
        <v>002431</v>
      </c>
      <c r="C3157" t="s">
        <v>6654</v>
      </c>
      <c r="D3157" t="s">
        <v>2417</v>
      </c>
      <c r="F3157">
        <v>3800567976</v>
      </c>
      <c r="G3157">
        <v>4560963039</v>
      </c>
      <c r="H3157">
        <v>4575543758</v>
      </c>
      <c r="I3157">
        <v>5544381641</v>
      </c>
      <c r="J3157">
        <v>5499469929</v>
      </c>
      <c r="K3157">
        <v>4269934066</v>
      </c>
      <c r="L3157">
        <v>4153427581</v>
      </c>
      <c r="M3157">
        <v>2938853829</v>
      </c>
      <c r="N3157">
        <v>2579707678</v>
      </c>
      <c r="O3157">
        <v>2196340942</v>
      </c>
      <c r="P3157">
        <v>124</v>
      </c>
      <c r="Q3157" t="s">
        <v>6655</v>
      </c>
    </row>
    <row r="3158" spans="1:17" x14ac:dyDescent="0.3">
      <c r="A3158" t="s">
        <v>4729</v>
      </c>
      <c r="B3158" t="str">
        <f>"002432"</f>
        <v>002432</v>
      </c>
      <c r="C3158" t="s">
        <v>6656</v>
      </c>
      <c r="D3158" t="s">
        <v>122</v>
      </c>
      <c r="F3158">
        <v>2872576260</v>
      </c>
      <c r="G3158">
        <v>1884762462</v>
      </c>
      <c r="H3158">
        <v>1662529949</v>
      </c>
      <c r="I3158">
        <v>1542699963</v>
      </c>
      <c r="J3158">
        <v>1369125465</v>
      </c>
      <c r="K3158">
        <v>1541622054</v>
      </c>
      <c r="L3158">
        <v>608946286</v>
      </c>
      <c r="M3158">
        <v>758752957</v>
      </c>
      <c r="N3158">
        <v>748499784</v>
      </c>
      <c r="O3158">
        <v>757708421</v>
      </c>
      <c r="P3158">
        <v>281</v>
      </c>
      <c r="Q3158" t="s">
        <v>6657</v>
      </c>
    </row>
    <row r="3159" spans="1:17" x14ac:dyDescent="0.3">
      <c r="A3159" t="s">
        <v>4729</v>
      </c>
      <c r="B3159" t="str">
        <f>"002433"</f>
        <v>002433</v>
      </c>
      <c r="C3159" t="s">
        <v>6658</v>
      </c>
      <c r="D3159" t="s">
        <v>188</v>
      </c>
      <c r="G3159">
        <v>5237831866</v>
      </c>
      <c r="H3159">
        <v>5230371955</v>
      </c>
      <c r="I3159">
        <v>5187447293</v>
      </c>
      <c r="J3159">
        <v>4912865202</v>
      </c>
      <c r="K3159">
        <v>4639852754</v>
      </c>
      <c r="L3159">
        <v>4416140014</v>
      </c>
      <c r="M3159">
        <v>3703298671</v>
      </c>
      <c r="N3159">
        <v>1974987579</v>
      </c>
      <c r="O3159">
        <v>1851125979</v>
      </c>
      <c r="P3159">
        <v>235</v>
      </c>
      <c r="Q3159" t="s">
        <v>6659</v>
      </c>
    </row>
    <row r="3160" spans="1:17" x14ac:dyDescent="0.3">
      <c r="A3160" t="s">
        <v>4729</v>
      </c>
      <c r="B3160" t="str">
        <f>"002434"</f>
        <v>002434</v>
      </c>
      <c r="C3160" t="s">
        <v>6660</v>
      </c>
      <c r="D3160" t="s">
        <v>348</v>
      </c>
      <c r="F3160">
        <v>5312616445</v>
      </c>
      <c r="G3160">
        <v>6650763684</v>
      </c>
      <c r="H3160">
        <v>6164728074</v>
      </c>
      <c r="I3160">
        <v>6001616592</v>
      </c>
      <c r="J3160">
        <v>6092202434</v>
      </c>
      <c r="K3160">
        <v>5584107200</v>
      </c>
      <c r="L3160">
        <v>2315367845</v>
      </c>
      <c r="M3160">
        <v>2171719193</v>
      </c>
      <c r="N3160">
        <v>2031422972</v>
      </c>
      <c r="O3160">
        <v>1919861444</v>
      </c>
      <c r="P3160">
        <v>238</v>
      </c>
      <c r="Q3160" t="s">
        <v>6661</v>
      </c>
    </row>
    <row r="3161" spans="1:17" x14ac:dyDescent="0.3">
      <c r="A3161" t="s">
        <v>4729</v>
      </c>
      <c r="B3161" t="str">
        <f>"002435"</f>
        <v>002435</v>
      </c>
      <c r="C3161" t="s">
        <v>6662</v>
      </c>
      <c r="D3161" t="s">
        <v>143</v>
      </c>
      <c r="F3161">
        <v>4498932072</v>
      </c>
      <c r="G3161">
        <v>5178603259</v>
      </c>
      <c r="H3161">
        <v>4919006464</v>
      </c>
      <c r="I3161">
        <v>5373006731</v>
      </c>
      <c r="J3161">
        <v>5324132491</v>
      </c>
      <c r="K3161">
        <v>5015052860</v>
      </c>
      <c r="L3161">
        <v>2430453107</v>
      </c>
      <c r="M3161">
        <v>857176725</v>
      </c>
      <c r="N3161">
        <v>828849762</v>
      </c>
      <c r="O3161">
        <v>790460360</v>
      </c>
      <c r="P3161">
        <v>139</v>
      </c>
      <c r="Q3161" t="s">
        <v>6663</v>
      </c>
    </row>
    <row r="3162" spans="1:17" x14ac:dyDescent="0.3">
      <c r="A3162" t="s">
        <v>4729</v>
      </c>
      <c r="B3162" t="str">
        <f>"002436"</f>
        <v>002436</v>
      </c>
      <c r="C3162" t="s">
        <v>6664</v>
      </c>
      <c r="D3162" t="s">
        <v>425</v>
      </c>
      <c r="F3162">
        <v>3727919168</v>
      </c>
      <c r="G3162">
        <v>3254774709</v>
      </c>
      <c r="H3162">
        <v>2831371265</v>
      </c>
      <c r="I3162">
        <v>2543262304</v>
      </c>
      <c r="J3162">
        <v>2395678435</v>
      </c>
      <c r="K3162">
        <v>2345788449</v>
      </c>
      <c r="L3162">
        <v>2189534963</v>
      </c>
      <c r="M3162">
        <v>1713605147</v>
      </c>
      <c r="N3162">
        <v>1623333593</v>
      </c>
      <c r="O3162">
        <v>1578709210</v>
      </c>
      <c r="P3162">
        <v>563</v>
      </c>
      <c r="Q3162" t="s">
        <v>6665</v>
      </c>
    </row>
    <row r="3163" spans="1:17" x14ac:dyDescent="0.3">
      <c r="A3163" t="s">
        <v>4729</v>
      </c>
      <c r="B3163" t="str">
        <f>"002437"</f>
        <v>002437</v>
      </c>
      <c r="C3163" t="s">
        <v>6666</v>
      </c>
      <c r="D3163" t="s">
        <v>143</v>
      </c>
      <c r="F3163">
        <v>1894213426</v>
      </c>
      <c r="G3163">
        <v>1846228322</v>
      </c>
      <c r="H3163">
        <v>1521364083</v>
      </c>
      <c r="I3163">
        <v>4324011226</v>
      </c>
      <c r="J3163">
        <v>4173917408</v>
      </c>
      <c r="K3163">
        <v>3963091331</v>
      </c>
      <c r="L3163">
        <v>3403112544</v>
      </c>
      <c r="M3163">
        <v>3021221243</v>
      </c>
      <c r="N3163">
        <v>2391120020</v>
      </c>
      <c r="O3163">
        <v>2332860682</v>
      </c>
      <c r="P3163">
        <v>189</v>
      </c>
      <c r="Q3163" t="s">
        <v>6667</v>
      </c>
    </row>
    <row r="3164" spans="1:17" x14ac:dyDescent="0.3">
      <c r="A3164" t="s">
        <v>4729</v>
      </c>
      <c r="B3164" t="str">
        <f>"002438"</f>
        <v>002438</v>
      </c>
      <c r="C3164" t="s">
        <v>6668</v>
      </c>
      <c r="D3164" t="s">
        <v>274</v>
      </c>
      <c r="F3164">
        <v>2389599864</v>
      </c>
      <c r="G3164">
        <v>2162006967</v>
      </c>
      <c r="H3164">
        <v>1970261246</v>
      </c>
      <c r="I3164">
        <v>1803301990</v>
      </c>
      <c r="J3164">
        <v>1692945897</v>
      </c>
      <c r="K3164">
        <v>1179611379</v>
      </c>
      <c r="L3164">
        <v>1131882266</v>
      </c>
      <c r="M3164">
        <v>937743678</v>
      </c>
      <c r="N3164">
        <v>894327167</v>
      </c>
      <c r="O3164">
        <v>838832606</v>
      </c>
      <c r="P3164">
        <v>185</v>
      </c>
      <c r="Q3164" t="s">
        <v>6669</v>
      </c>
    </row>
    <row r="3165" spans="1:17" x14ac:dyDescent="0.3">
      <c r="A3165" t="s">
        <v>4729</v>
      </c>
      <c r="B3165" t="str">
        <f>"002439"</f>
        <v>002439</v>
      </c>
      <c r="C3165" t="s">
        <v>6670</v>
      </c>
      <c r="D3165" t="s">
        <v>1189</v>
      </c>
      <c r="F3165">
        <v>6721577281</v>
      </c>
      <c r="G3165">
        <v>5984370978</v>
      </c>
      <c r="H3165">
        <v>4149138843</v>
      </c>
      <c r="I3165">
        <v>3590609170</v>
      </c>
      <c r="J3165">
        <v>3135128607</v>
      </c>
      <c r="K3165">
        <v>2225534913</v>
      </c>
      <c r="L3165">
        <v>1691555949</v>
      </c>
      <c r="M3165">
        <v>1495512682</v>
      </c>
      <c r="N3165">
        <v>1333777413</v>
      </c>
      <c r="O3165">
        <v>1227627839</v>
      </c>
      <c r="P3165">
        <v>1190</v>
      </c>
      <c r="Q3165" t="s">
        <v>6671</v>
      </c>
    </row>
    <row r="3166" spans="1:17" x14ac:dyDescent="0.3">
      <c r="A3166" t="s">
        <v>4729</v>
      </c>
      <c r="B3166" t="str">
        <f>"002440"</f>
        <v>002440</v>
      </c>
      <c r="C3166" t="s">
        <v>6672</v>
      </c>
      <c r="D3166" t="s">
        <v>779</v>
      </c>
      <c r="F3166">
        <v>9436497219</v>
      </c>
      <c r="G3166">
        <v>9152853542</v>
      </c>
      <c r="H3166">
        <v>8775344169</v>
      </c>
      <c r="I3166">
        <v>7966086891</v>
      </c>
      <c r="J3166">
        <v>7004483937</v>
      </c>
      <c r="K3166">
        <v>6326720407</v>
      </c>
      <c r="L3166">
        <v>5992649389</v>
      </c>
      <c r="M3166">
        <v>5712006559</v>
      </c>
      <c r="N3166">
        <v>4741940363</v>
      </c>
      <c r="O3166">
        <v>4069178141</v>
      </c>
      <c r="P3166">
        <v>537</v>
      </c>
      <c r="Q3166" t="s">
        <v>6673</v>
      </c>
    </row>
    <row r="3167" spans="1:17" x14ac:dyDescent="0.3">
      <c r="A3167" t="s">
        <v>4729</v>
      </c>
      <c r="B3167" t="str">
        <f>"002441"</f>
        <v>002441</v>
      </c>
      <c r="C3167" t="s">
        <v>6674</v>
      </c>
      <c r="D3167" t="s">
        <v>657</v>
      </c>
      <c r="F3167">
        <v>4365858997</v>
      </c>
      <c r="G3167">
        <v>4035438380</v>
      </c>
      <c r="H3167">
        <v>3843506612</v>
      </c>
      <c r="I3167">
        <v>3730243518</v>
      </c>
      <c r="J3167">
        <v>3579972745</v>
      </c>
      <c r="K3167">
        <v>3421043522</v>
      </c>
      <c r="L3167">
        <v>2343961172</v>
      </c>
      <c r="M3167">
        <v>2224980538</v>
      </c>
      <c r="N3167">
        <v>2071165123</v>
      </c>
      <c r="O3167">
        <v>1958082687</v>
      </c>
      <c r="P3167">
        <v>134</v>
      </c>
      <c r="Q3167" t="s">
        <v>6675</v>
      </c>
    </row>
    <row r="3168" spans="1:17" x14ac:dyDescent="0.3">
      <c r="A3168" t="s">
        <v>4729</v>
      </c>
      <c r="B3168" t="str">
        <f>"002442"</f>
        <v>002442</v>
      </c>
      <c r="C3168" t="s">
        <v>6676</v>
      </c>
      <c r="D3168" t="s">
        <v>3646</v>
      </c>
      <c r="F3168">
        <v>1506884863</v>
      </c>
      <c r="G3168">
        <v>1314654276</v>
      </c>
      <c r="H3168">
        <v>1237213464</v>
      </c>
      <c r="I3168">
        <v>1266127615</v>
      </c>
      <c r="J3168">
        <v>1133555681</v>
      </c>
      <c r="K3168">
        <v>1083192393</v>
      </c>
      <c r="L3168">
        <v>1054276891</v>
      </c>
      <c r="M3168">
        <v>1137409588</v>
      </c>
      <c r="N3168">
        <v>1139848042</v>
      </c>
      <c r="O3168">
        <v>1122465291</v>
      </c>
      <c r="P3168">
        <v>105</v>
      </c>
      <c r="Q3168" t="s">
        <v>6677</v>
      </c>
    </row>
    <row r="3169" spans="1:17" x14ac:dyDescent="0.3">
      <c r="A3169" t="s">
        <v>4729</v>
      </c>
      <c r="B3169" t="str">
        <f>"002443"</f>
        <v>002443</v>
      </c>
      <c r="C3169" t="s">
        <v>6678</v>
      </c>
      <c r="D3169" t="s">
        <v>281</v>
      </c>
      <c r="F3169">
        <v>3070170261</v>
      </c>
      <c r="G3169">
        <v>2866805732</v>
      </c>
      <c r="H3169">
        <v>2438879964</v>
      </c>
      <c r="I3169">
        <v>2267489773</v>
      </c>
      <c r="J3169">
        <v>2128533002</v>
      </c>
      <c r="K3169">
        <v>1986702872</v>
      </c>
      <c r="L3169">
        <v>1975935976</v>
      </c>
      <c r="M3169">
        <v>1932625303</v>
      </c>
      <c r="N3169">
        <v>1897566942</v>
      </c>
      <c r="O3169">
        <v>1341987605</v>
      </c>
      <c r="P3169">
        <v>257</v>
      </c>
      <c r="Q3169" t="s">
        <v>6679</v>
      </c>
    </row>
    <row r="3170" spans="1:17" x14ac:dyDescent="0.3">
      <c r="A3170" t="s">
        <v>4729</v>
      </c>
      <c r="B3170" t="str">
        <f>"002444"</f>
        <v>002444</v>
      </c>
      <c r="C3170" t="s">
        <v>6680</v>
      </c>
      <c r="D3170" t="s">
        <v>560</v>
      </c>
      <c r="F3170">
        <v>10598896747</v>
      </c>
      <c r="G3170">
        <v>8635681321</v>
      </c>
      <c r="H3170">
        <v>7430589865</v>
      </c>
      <c r="I3170">
        <v>6644827501</v>
      </c>
      <c r="J3170">
        <v>5965435105</v>
      </c>
      <c r="K3170">
        <v>5625949984</v>
      </c>
      <c r="L3170">
        <v>4022629751</v>
      </c>
      <c r="M3170">
        <v>3877091619</v>
      </c>
      <c r="N3170">
        <v>3539345615</v>
      </c>
      <c r="O3170">
        <v>2910914714</v>
      </c>
      <c r="P3170">
        <v>656</v>
      </c>
      <c r="Q3170" t="s">
        <v>6681</v>
      </c>
    </row>
    <row r="3171" spans="1:17" x14ac:dyDescent="0.3">
      <c r="A3171" t="s">
        <v>4729</v>
      </c>
      <c r="B3171" t="str">
        <f>"002445"</f>
        <v>002445</v>
      </c>
      <c r="C3171" t="s">
        <v>6682</v>
      </c>
      <c r="D3171" t="s">
        <v>517</v>
      </c>
      <c r="F3171">
        <v>1899552770</v>
      </c>
      <c r="G3171">
        <v>1558915831</v>
      </c>
      <c r="H3171">
        <v>181628303</v>
      </c>
      <c r="I3171">
        <v>2192662570</v>
      </c>
      <c r="J3171">
        <v>4345402132</v>
      </c>
      <c r="K3171">
        <v>3677275171</v>
      </c>
      <c r="L3171">
        <v>2150923571</v>
      </c>
      <c r="M3171">
        <v>1030620695</v>
      </c>
      <c r="N3171">
        <v>972454416</v>
      </c>
      <c r="O3171">
        <v>934250592</v>
      </c>
      <c r="P3171">
        <v>110</v>
      </c>
      <c r="Q3171" t="s">
        <v>6683</v>
      </c>
    </row>
    <row r="3172" spans="1:17" x14ac:dyDescent="0.3">
      <c r="A3172" t="s">
        <v>4729</v>
      </c>
      <c r="B3172" t="str">
        <f>"002446"</f>
        <v>002446</v>
      </c>
      <c r="C3172" t="s">
        <v>6684</v>
      </c>
      <c r="D3172" t="s">
        <v>1136</v>
      </c>
      <c r="F3172">
        <v>2843509180</v>
      </c>
      <c r="G3172">
        <v>3034709914</v>
      </c>
      <c r="H3172">
        <v>2786873359</v>
      </c>
      <c r="I3172">
        <v>2632587993</v>
      </c>
      <c r="J3172">
        <v>2522885937</v>
      </c>
      <c r="K3172">
        <v>2444523515</v>
      </c>
      <c r="L3172">
        <v>2301072551</v>
      </c>
      <c r="M3172">
        <v>1230493980</v>
      </c>
      <c r="N3172">
        <v>655006717</v>
      </c>
      <c r="O3172">
        <v>657120958</v>
      </c>
      <c r="P3172">
        <v>371</v>
      </c>
      <c r="Q3172" t="s">
        <v>6685</v>
      </c>
    </row>
    <row r="3173" spans="1:17" x14ac:dyDescent="0.3">
      <c r="A3173" t="s">
        <v>4729</v>
      </c>
      <c r="B3173" t="str">
        <f>"002447"</f>
        <v>002447</v>
      </c>
      <c r="C3173" t="s">
        <v>6686</v>
      </c>
      <c r="D3173" t="s">
        <v>517</v>
      </c>
      <c r="F3173">
        <v>240132218</v>
      </c>
      <c r="G3173">
        <v>311967992</v>
      </c>
      <c r="H3173">
        <v>561180257</v>
      </c>
      <c r="I3173">
        <v>1605744304</v>
      </c>
      <c r="J3173">
        <v>2078342661</v>
      </c>
      <c r="K3173">
        <v>2665698995</v>
      </c>
      <c r="L3173">
        <v>2370487228</v>
      </c>
      <c r="M3173">
        <v>2105536290</v>
      </c>
      <c r="N3173">
        <v>1091514437</v>
      </c>
      <c r="O3173">
        <v>945063360</v>
      </c>
      <c r="P3173">
        <v>92</v>
      </c>
      <c r="Q3173" t="s">
        <v>6687</v>
      </c>
    </row>
    <row r="3174" spans="1:17" x14ac:dyDescent="0.3">
      <c r="A3174" t="s">
        <v>4729</v>
      </c>
      <c r="B3174" t="str">
        <f>"002448"</f>
        <v>002448</v>
      </c>
      <c r="C3174" t="s">
        <v>6688</v>
      </c>
      <c r="D3174" t="s">
        <v>348</v>
      </c>
      <c r="F3174">
        <v>2894256914</v>
      </c>
      <c r="G3174">
        <v>2748645050</v>
      </c>
      <c r="H3174">
        <v>2645320184</v>
      </c>
      <c r="I3174">
        <v>2699015016</v>
      </c>
      <c r="J3174">
        <v>2397292897</v>
      </c>
      <c r="K3174">
        <v>2180820854</v>
      </c>
      <c r="L3174">
        <v>2027308487</v>
      </c>
      <c r="M3174">
        <v>1892101394</v>
      </c>
      <c r="N3174">
        <v>1758544952</v>
      </c>
      <c r="O3174">
        <v>1631425229</v>
      </c>
      <c r="P3174">
        <v>194</v>
      </c>
      <c r="Q3174" t="s">
        <v>6689</v>
      </c>
    </row>
    <row r="3175" spans="1:17" x14ac:dyDescent="0.3">
      <c r="A3175" t="s">
        <v>4729</v>
      </c>
      <c r="B3175" t="str">
        <f>"002449"</f>
        <v>002449</v>
      </c>
      <c r="C3175" t="s">
        <v>6690</v>
      </c>
      <c r="D3175" t="s">
        <v>803</v>
      </c>
      <c r="F3175">
        <v>3744951464</v>
      </c>
      <c r="G3175">
        <v>3579505024</v>
      </c>
      <c r="H3175">
        <v>3659330594</v>
      </c>
      <c r="I3175">
        <v>3451880938</v>
      </c>
      <c r="J3175">
        <v>3158571910</v>
      </c>
      <c r="K3175">
        <v>2894519580</v>
      </c>
      <c r="L3175">
        <v>2766824265</v>
      </c>
      <c r="M3175">
        <v>2269269889</v>
      </c>
      <c r="N3175">
        <v>2168548654</v>
      </c>
      <c r="O3175">
        <v>2098611528</v>
      </c>
      <c r="P3175">
        <v>392</v>
      </c>
      <c r="Q3175" t="s">
        <v>6691</v>
      </c>
    </row>
    <row r="3176" spans="1:17" x14ac:dyDescent="0.3">
      <c r="A3176" t="s">
        <v>4729</v>
      </c>
      <c r="B3176" t="str">
        <f>"002450"</f>
        <v>002450</v>
      </c>
      <c r="C3176" t="s">
        <v>6692</v>
      </c>
      <c r="G3176">
        <v>-9363253143</v>
      </c>
      <c r="H3176">
        <v>12289710501</v>
      </c>
      <c r="I3176">
        <v>18134676180</v>
      </c>
      <c r="J3176">
        <v>18011782102</v>
      </c>
      <c r="K3176">
        <v>15581436760</v>
      </c>
      <c r="L3176">
        <v>9178725294</v>
      </c>
      <c r="M3176">
        <v>4794291698</v>
      </c>
      <c r="N3176">
        <v>3766466374</v>
      </c>
      <c r="O3176">
        <v>3044271193</v>
      </c>
      <c r="P3176">
        <v>1520</v>
      </c>
      <c r="Q3176" t="s">
        <v>6693</v>
      </c>
    </row>
    <row r="3177" spans="1:17" x14ac:dyDescent="0.3">
      <c r="A3177" t="s">
        <v>4729</v>
      </c>
      <c r="B3177" t="str">
        <f>"002451"</f>
        <v>002451</v>
      </c>
      <c r="C3177" t="s">
        <v>6694</v>
      </c>
      <c r="D3177" t="s">
        <v>1164</v>
      </c>
      <c r="F3177">
        <v>744573305</v>
      </c>
      <c r="G3177">
        <v>704862961</v>
      </c>
      <c r="H3177">
        <v>697401637</v>
      </c>
      <c r="I3177">
        <v>660877468</v>
      </c>
      <c r="J3177">
        <v>652494098</v>
      </c>
      <c r="K3177">
        <v>670137267</v>
      </c>
      <c r="L3177">
        <v>678850859</v>
      </c>
      <c r="M3177">
        <v>663834208</v>
      </c>
      <c r="N3177">
        <v>637949289</v>
      </c>
      <c r="O3177">
        <v>634051989</v>
      </c>
      <c r="P3177">
        <v>105</v>
      </c>
      <c r="Q3177" t="s">
        <v>6695</v>
      </c>
    </row>
    <row r="3178" spans="1:17" x14ac:dyDescent="0.3">
      <c r="A3178" t="s">
        <v>4729</v>
      </c>
      <c r="B3178" t="str">
        <f>"002452"</f>
        <v>002452</v>
      </c>
      <c r="C3178" t="s">
        <v>6696</v>
      </c>
      <c r="D3178" t="s">
        <v>210</v>
      </c>
      <c r="F3178">
        <v>2083349832</v>
      </c>
      <c r="G3178">
        <v>1455714395</v>
      </c>
      <c r="H3178">
        <v>1256721468</v>
      </c>
      <c r="I3178">
        <v>1110745381</v>
      </c>
      <c r="J3178">
        <v>1367640274</v>
      </c>
      <c r="K3178">
        <v>1315613128</v>
      </c>
      <c r="L3178">
        <v>1220967206</v>
      </c>
      <c r="M3178">
        <v>1172263691</v>
      </c>
      <c r="N3178">
        <v>1085961183</v>
      </c>
      <c r="O3178">
        <v>1036927445</v>
      </c>
      <c r="P3178">
        <v>173</v>
      </c>
      <c r="Q3178" t="s">
        <v>6697</v>
      </c>
    </row>
    <row r="3179" spans="1:17" x14ac:dyDescent="0.3">
      <c r="A3179" t="s">
        <v>4729</v>
      </c>
      <c r="B3179" t="str">
        <f>"002453"</f>
        <v>002453</v>
      </c>
      <c r="C3179" t="s">
        <v>6698</v>
      </c>
      <c r="D3179" t="s">
        <v>386</v>
      </c>
      <c r="F3179">
        <v>1992528637</v>
      </c>
      <c r="G3179">
        <v>1581225592</v>
      </c>
      <c r="H3179">
        <v>590852840</v>
      </c>
      <c r="I3179">
        <v>902956842</v>
      </c>
      <c r="J3179">
        <v>876956719</v>
      </c>
      <c r="K3179">
        <v>889785756</v>
      </c>
      <c r="L3179">
        <v>1199947174</v>
      </c>
      <c r="M3179">
        <v>1186019110</v>
      </c>
      <c r="N3179">
        <v>1165285842</v>
      </c>
      <c r="O3179">
        <v>729276533</v>
      </c>
      <c r="P3179">
        <v>125</v>
      </c>
      <c r="Q3179" t="s">
        <v>6699</v>
      </c>
    </row>
    <row r="3180" spans="1:17" x14ac:dyDescent="0.3">
      <c r="A3180" t="s">
        <v>4729</v>
      </c>
      <c r="B3180" t="str">
        <f>"002454"</f>
        <v>002454</v>
      </c>
      <c r="C3180" t="s">
        <v>6700</v>
      </c>
      <c r="D3180" t="s">
        <v>1415</v>
      </c>
      <c r="F3180">
        <v>3688620232</v>
      </c>
      <c r="G3180">
        <v>3636699714</v>
      </c>
      <c r="H3180">
        <v>3432555809</v>
      </c>
      <c r="I3180">
        <v>3295270582</v>
      </c>
      <c r="J3180">
        <v>3119735162</v>
      </c>
      <c r="K3180">
        <v>2785186779</v>
      </c>
      <c r="L3180">
        <v>2512009026</v>
      </c>
      <c r="M3180">
        <v>2317147707</v>
      </c>
      <c r="N3180">
        <v>2134394970</v>
      </c>
      <c r="O3180">
        <v>1894876560</v>
      </c>
      <c r="P3180">
        <v>191</v>
      </c>
      <c r="Q3180" t="s">
        <v>6701</v>
      </c>
    </row>
    <row r="3181" spans="1:17" x14ac:dyDescent="0.3">
      <c r="A3181" t="s">
        <v>4729</v>
      </c>
      <c r="B3181" t="str">
        <f>"002455"</f>
        <v>002455</v>
      </c>
      <c r="C3181" t="s">
        <v>6702</v>
      </c>
      <c r="D3181" t="s">
        <v>386</v>
      </c>
      <c r="F3181">
        <v>1873753452</v>
      </c>
      <c r="G3181">
        <v>1320779955</v>
      </c>
      <c r="H3181">
        <v>1328754019</v>
      </c>
      <c r="I3181">
        <v>1341173242</v>
      </c>
      <c r="J3181">
        <v>1324807287</v>
      </c>
      <c r="K3181">
        <v>848878001</v>
      </c>
      <c r="L3181">
        <v>812396011</v>
      </c>
      <c r="M3181">
        <v>811505131</v>
      </c>
      <c r="N3181">
        <v>783026119</v>
      </c>
      <c r="O3181">
        <v>756161261</v>
      </c>
      <c r="P3181">
        <v>209</v>
      </c>
      <c r="Q3181" t="s">
        <v>6703</v>
      </c>
    </row>
    <row r="3182" spans="1:17" x14ac:dyDescent="0.3">
      <c r="A3182" t="s">
        <v>4729</v>
      </c>
      <c r="B3182" t="str">
        <f>"002456"</f>
        <v>002456</v>
      </c>
      <c r="C3182" t="s">
        <v>6704</v>
      </c>
      <c r="D3182" t="s">
        <v>164</v>
      </c>
      <c r="F3182">
        <v>8433538879</v>
      </c>
      <c r="G3182">
        <v>7457453687</v>
      </c>
      <c r="H3182">
        <v>9458789840</v>
      </c>
      <c r="I3182">
        <v>8589908951</v>
      </c>
      <c r="J3182">
        <v>9105815946</v>
      </c>
      <c r="K3182">
        <v>8040567577</v>
      </c>
      <c r="L3182">
        <v>6039833921</v>
      </c>
      <c r="M3182">
        <v>5819669794</v>
      </c>
      <c r="N3182">
        <v>3266629330</v>
      </c>
      <c r="O3182">
        <v>1294026198</v>
      </c>
      <c r="P3182">
        <v>1607</v>
      </c>
      <c r="Q3182" t="s">
        <v>6705</v>
      </c>
    </row>
    <row r="3183" spans="1:17" x14ac:dyDescent="0.3">
      <c r="A3183" t="s">
        <v>4729</v>
      </c>
      <c r="B3183" t="str">
        <f>"002457"</f>
        <v>002457</v>
      </c>
      <c r="C3183" t="s">
        <v>6706</v>
      </c>
      <c r="D3183" t="s">
        <v>3347</v>
      </c>
      <c r="F3183">
        <v>2183362179</v>
      </c>
      <c r="G3183">
        <v>2097331326</v>
      </c>
      <c r="H3183">
        <v>1969412190</v>
      </c>
      <c r="I3183">
        <v>1848502109</v>
      </c>
      <c r="J3183">
        <v>1808205205</v>
      </c>
      <c r="K3183">
        <v>1793962439</v>
      </c>
      <c r="L3183">
        <v>1777295872</v>
      </c>
      <c r="M3183">
        <v>1735443960</v>
      </c>
      <c r="N3183">
        <v>1694453202</v>
      </c>
      <c r="O3183">
        <v>1591060711</v>
      </c>
      <c r="P3183">
        <v>132</v>
      </c>
      <c r="Q3183" t="s">
        <v>6707</v>
      </c>
    </row>
    <row r="3184" spans="1:17" x14ac:dyDescent="0.3">
      <c r="A3184" t="s">
        <v>4729</v>
      </c>
      <c r="B3184" t="str">
        <f>"002458"</f>
        <v>002458</v>
      </c>
      <c r="C3184" t="s">
        <v>6708</v>
      </c>
      <c r="D3184" t="s">
        <v>6260</v>
      </c>
      <c r="F3184">
        <v>3170116617</v>
      </c>
      <c r="G3184">
        <v>3138016057</v>
      </c>
      <c r="H3184">
        <v>3600728051</v>
      </c>
      <c r="I3184">
        <v>1595173639</v>
      </c>
      <c r="J3184">
        <v>1212443856</v>
      </c>
      <c r="K3184">
        <v>1471438136</v>
      </c>
      <c r="L3184">
        <v>321305276</v>
      </c>
      <c r="M3184">
        <v>703936083</v>
      </c>
      <c r="N3184">
        <v>670825660</v>
      </c>
      <c r="O3184">
        <v>957159479</v>
      </c>
      <c r="P3184">
        <v>815</v>
      </c>
      <c r="Q3184" t="s">
        <v>6709</v>
      </c>
    </row>
    <row r="3185" spans="1:17" x14ac:dyDescent="0.3">
      <c r="A3185" t="s">
        <v>4729</v>
      </c>
      <c r="B3185" t="str">
        <f>"002459"</f>
        <v>002459</v>
      </c>
      <c r="C3185" t="s">
        <v>6710</v>
      </c>
      <c r="D3185" t="s">
        <v>356</v>
      </c>
      <c r="F3185">
        <v>16494261124</v>
      </c>
      <c r="G3185">
        <v>14656177412</v>
      </c>
      <c r="H3185">
        <v>7989392643</v>
      </c>
      <c r="I3185">
        <v>1271336890</v>
      </c>
      <c r="J3185">
        <v>1259548236</v>
      </c>
      <c r="K3185">
        <v>1236381320</v>
      </c>
      <c r="L3185">
        <v>1214621944</v>
      </c>
      <c r="M3185">
        <v>1519004899</v>
      </c>
      <c r="N3185">
        <v>500797956</v>
      </c>
      <c r="O3185">
        <v>927067785</v>
      </c>
      <c r="P3185">
        <v>1227</v>
      </c>
      <c r="Q3185" t="s">
        <v>6711</v>
      </c>
    </row>
    <row r="3186" spans="1:17" x14ac:dyDescent="0.3">
      <c r="A3186" t="s">
        <v>4729</v>
      </c>
      <c r="B3186" t="str">
        <f>"002460"</f>
        <v>002460</v>
      </c>
      <c r="C3186" t="s">
        <v>6712</v>
      </c>
      <c r="D3186" t="s">
        <v>5371</v>
      </c>
      <c r="F3186">
        <v>21893749373</v>
      </c>
      <c r="G3186">
        <v>10123241751</v>
      </c>
      <c r="H3186">
        <v>8149615025</v>
      </c>
      <c r="I3186">
        <v>7717970272</v>
      </c>
      <c r="J3186">
        <v>3831505579</v>
      </c>
      <c r="K3186">
        <v>2488288427</v>
      </c>
      <c r="L3186">
        <v>1882521550</v>
      </c>
      <c r="M3186">
        <v>1386551002</v>
      </c>
      <c r="N3186">
        <v>1341058318</v>
      </c>
      <c r="O3186">
        <v>806337823</v>
      </c>
      <c r="P3186">
        <v>2486</v>
      </c>
      <c r="Q3186" t="s">
        <v>6713</v>
      </c>
    </row>
    <row r="3187" spans="1:17" x14ac:dyDescent="0.3">
      <c r="A3187" t="s">
        <v>4729</v>
      </c>
      <c r="B3187" t="str">
        <f>"002461"</f>
        <v>002461</v>
      </c>
      <c r="C3187" t="s">
        <v>6714</v>
      </c>
      <c r="D3187" t="s">
        <v>319</v>
      </c>
      <c r="F3187">
        <v>9281877565</v>
      </c>
      <c r="G3187">
        <v>8924468628</v>
      </c>
      <c r="H3187">
        <v>8576517355</v>
      </c>
      <c r="I3187">
        <v>8219683361</v>
      </c>
      <c r="J3187">
        <v>7946685417</v>
      </c>
      <c r="K3187">
        <v>3531020106</v>
      </c>
      <c r="L3187">
        <v>3391487233</v>
      </c>
      <c r="M3187">
        <v>3323582244</v>
      </c>
      <c r="N3187">
        <v>3273390193</v>
      </c>
      <c r="O3187">
        <v>3238954127</v>
      </c>
      <c r="P3187">
        <v>461</v>
      </c>
      <c r="Q3187" t="s">
        <v>6715</v>
      </c>
    </row>
    <row r="3188" spans="1:17" x14ac:dyDescent="0.3">
      <c r="A3188" t="s">
        <v>4729</v>
      </c>
      <c r="B3188" t="str">
        <f>"002462"</f>
        <v>002462</v>
      </c>
      <c r="C3188" t="s">
        <v>6716</v>
      </c>
      <c r="D3188" t="s">
        <v>125</v>
      </c>
      <c r="F3188">
        <v>3886549170</v>
      </c>
      <c r="G3188">
        <v>3628935746</v>
      </c>
      <c r="H3188">
        <v>3425524155</v>
      </c>
      <c r="I3188">
        <v>2497261596</v>
      </c>
      <c r="J3188">
        <v>2207207308</v>
      </c>
      <c r="K3188">
        <v>1981144616</v>
      </c>
      <c r="L3188">
        <v>1431343848</v>
      </c>
      <c r="M3188">
        <v>1287167378</v>
      </c>
      <c r="N3188">
        <v>1186751006</v>
      </c>
      <c r="O3188">
        <v>1094414922</v>
      </c>
      <c r="P3188">
        <v>258</v>
      </c>
      <c r="Q3188" t="s">
        <v>6717</v>
      </c>
    </row>
    <row r="3189" spans="1:17" x14ac:dyDescent="0.3">
      <c r="A3189" t="s">
        <v>4729</v>
      </c>
      <c r="B3189" t="str">
        <f>"002463"</f>
        <v>002463</v>
      </c>
      <c r="C3189" t="s">
        <v>6718</v>
      </c>
      <c r="D3189" t="s">
        <v>425</v>
      </c>
      <c r="F3189">
        <v>7234330170</v>
      </c>
      <c r="G3189">
        <v>6282915860</v>
      </c>
      <c r="H3189">
        <v>5134060696</v>
      </c>
      <c r="I3189">
        <v>4009333752</v>
      </c>
      <c r="J3189">
        <v>3488206416</v>
      </c>
      <c r="K3189">
        <v>3365028100</v>
      </c>
      <c r="L3189">
        <v>3227799977</v>
      </c>
      <c r="M3189">
        <v>3222155959</v>
      </c>
      <c r="N3189">
        <v>3380554369</v>
      </c>
      <c r="O3189">
        <v>3433085021</v>
      </c>
      <c r="P3189">
        <v>3004</v>
      </c>
      <c r="Q3189" t="s">
        <v>6719</v>
      </c>
    </row>
    <row r="3190" spans="1:17" x14ac:dyDescent="0.3">
      <c r="A3190" t="s">
        <v>4729</v>
      </c>
      <c r="B3190" t="str">
        <f>"002464"</f>
        <v>002464</v>
      </c>
      <c r="C3190" t="s">
        <v>6720</v>
      </c>
      <c r="D3190" t="s">
        <v>517</v>
      </c>
      <c r="F3190">
        <v>27597045</v>
      </c>
      <c r="G3190">
        <v>-402982182</v>
      </c>
      <c r="H3190">
        <v>125810091</v>
      </c>
      <c r="I3190">
        <v>1473421544</v>
      </c>
      <c r="J3190">
        <v>1372188627</v>
      </c>
      <c r="K3190">
        <v>1168823751</v>
      </c>
      <c r="L3190">
        <v>973425235</v>
      </c>
      <c r="M3190">
        <v>755619641</v>
      </c>
      <c r="N3190">
        <v>900751404</v>
      </c>
      <c r="O3190">
        <v>751948208</v>
      </c>
      <c r="P3190">
        <v>110</v>
      </c>
      <c r="Q3190" t="s">
        <v>6721</v>
      </c>
    </row>
    <row r="3191" spans="1:17" x14ac:dyDescent="0.3">
      <c r="A3191" t="s">
        <v>4729</v>
      </c>
      <c r="B3191" t="str">
        <f>"002465"</f>
        <v>002465</v>
      </c>
      <c r="C3191" t="s">
        <v>6722</v>
      </c>
      <c r="D3191" t="s">
        <v>1136</v>
      </c>
      <c r="F3191">
        <v>10287555652</v>
      </c>
      <c r="G3191">
        <v>9927564039</v>
      </c>
      <c r="H3191">
        <v>9594581686</v>
      </c>
      <c r="I3191">
        <v>8424679785</v>
      </c>
      <c r="J3191">
        <v>8147588788</v>
      </c>
      <c r="K3191">
        <v>6680563115</v>
      </c>
      <c r="L3191">
        <v>6482647831</v>
      </c>
      <c r="M3191">
        <v>4941717975</v>
      </c>
      <c r="N3191">
        <v>4565492696</v>
      </c>
      <c r="O3191">
        <v>4339046150</v>
      </c>
      <c r="P3191">
        <v>544</v>
      </c>
      <c r="Q3191" t="s">
        <v>6723</v>
      </c>
    </row>
    <row r="3192" spans="1:17" x14ac:dyDescent="0.3">
      <c r="A3192" t="s">
        <v>4729</v>
      </c>
      <c r="B3192" t="str">
        <f>"002466"</f>
        <v>002466</v>
      </c>
      <c r="C3192" t="s">
        <v>6724</v>
      </c>
      <c r="D3192" t="s">
        <v>5371</v>
      </c>
      <c r="F3192">
        <v>12761280131</v>
      </c>
      <c r="G3192">
        <v>5206126194</v>
      </c>
      <c r="H3192">
        <v>6962979272</v>
      </c>
      <c r="I3192">
        <v>10136152983</v>
      </c>
      <c r="J3192">
        <v>9069670014</v>
      </c>
      <c r="K3192">
        <v>4591314808</v>
      </c>
      <c r="L3192">
        <v>3072424674</v>
      </c>
      <c r="M3192">
        <v>2957166945</v>
      </c>
      <c r="N3192">
        <v>865488220</v>
      </c>
      <c r="O3192">
        <v>1011274429</v>
      </c>
      <c r="P3192">
        <v>2365</v>
      </c>
      <c r="Q3192" t="s">
        <v>6725</v>
      </c>
    </row>
    <row r="3193" spans="1:17" x14ac:dyDescent="0.3">
      <c r="A3193" t="s">
        <v>4729</v>
      </c>
      <c r="B3193" t="str">
        <f>"002467"</f>
        <v>002467</v>
      </c>
      <c r="C3193" t="s">
        <v>6726</v>
      </c>
      <c r="D3193" t="s">
        <v>5670</v>
      </c>
      <c r="F3193">
        <v>2208738532</v>
      </c>
      <c r="G3193">
        <v>2368688927</v>
      </c>
      <c r="H3193">
        <v>2062692812</v>
      </c>
      <c r="I3193">
        <v>1902702794</v>
      </c>
      <c r="J3193">
        <v>1811879666</v>
      </c>
      <c r="K3193">
        <v>1790727729</v>
      </c>
      <c r="L3193">
        <v>2203870134</v>
      </c>
      <c r="M3193">
        <v>1418231835</v>
      </c>
      <c r="N3193">
        <v>1325300652</v>
      </c>
      <c r="O3193">
        <v>1289134959</v>
      </c>
      <c r="P3193">
        <v>200</v>
      </c>
      <c r="Q3193" t="s">
        <v>6727</v>
      </c>
    </row>
    <row r="3194" spans="1:17" x14ac:dyDescent="0.3">
      <c r="A3194" t="s">
        <v>4729</v>
      </c>
      <c r="B3194" t="str">
        <f>"002468"</f>
        <v>002468</v>
      </c>
      <c r="C3194" t="s">
        <v>6728</v>
      </c>
      <c r="D3194" t="s">
        <v>537</v>
      </c>
      <c r="F3194">
        <v>7827957573</v>
      </c>
      <c r="G3194">
        <v>8790250972</v>
      </c>
      <c r="H3194">
        <v>9136945461</v>
      </c>
      <c r="I3194">
        <v>8502309644</v>
      </c>
      <c r="J3194">
        <v>6752779278</v>
      </c>
      <c r="K3194">
        <v>5441735600</v>
      </c>
      <c r="L3194">
        <v>728052491</v>
      </c>
      <c r="M3194">
        <v>727503526</v>
      </c>
      <c r="N3194">
        <v>721938328</v>
      </c>
      <c r="O3194">
        <v>719075064</v>
      </c>
      <c r="P3194">
        <v>638</v>
      </c>
      <c r="Q3194" t="s">
        <v>6729</v>
      </c>
    </row>
    <row r="3195" spans="1:17" x14ac:dyDescent="0.3">
      <c r="A3195" t="s">
        <v>4729</v>
      </c>
      <c r="B3195" t="str">
        <f>"002469"</f>
        <v>002469</v>
      </c>
      <c r="C3195" t="s">
        <v>6730</v>
      </c>
      <c r="D3195" t="s">
        <v>2025</v>
      </c>
      <c r="F3195">
        <v>2480381483</v>
      </c>
      <c r="G3195">
        <v>2163842106</v>
      </c>
      <c r="H3195">
        <v>1229748497</v>
      </c>
      <c r="I3195">
        <v>1202704769</v>
      </c>
      <c r="J3195">
        <v>1187877066</v>
      </c>
      <c r="K3195">
        <v>1180940681</v>
      </c>
      <c r="L3195">
        <v>1219495646</v>
      </c>
      <c r="M3195">
        <v>1118526704</v>
      </c>
      <c r="N3195">
        <v>965655271</v>
      </c>
      <c r="O3195">
        <v>835803718</v>
      </c>
      <c r="P3195">
        <v>126</v>
      </c>
      <c r="Q3195" t="s">
        <v>6731</v>
      </c>
    </row>
    <row r="3196" spans="1:17" x14ac:dyDescent="0.3">
      <c r="A3196" t="s">
        <v>4729</v>
      </c>
      <c r="B3196" t="str">
        <f>"002470"</f>
        <v>002470</v>
      </c>
      <c r="C3196" t="s">
        <v>6732</v>
      </c>
      <c r="D3196" t="s">
        <v>5562</v>
      </c>
      <c r="F3196">
        <v>3955415137</v>
      </c>
      <c r="G3196">
        <v>6305380168</v>
      </c>
      <c r="H3196">
        <v>9738516305</v>
      </c>
      <c r="I3196">
        <v>10455313552</v>
      </c>
      <c r="J3196">
        <v>9412287552</v>
      </c>
      <c r="K3196">
        <v>8957801000</v>
      </c>
      <c r="L3196">
        <v>8033736759</v>
      </c>
      <c r="M3196">
        <v>6888209747</v>
      </c>
      <c r="N3196">
        <v>4084546528</v>
      </c>
      <c r="O3196">
        <v>3527713680</v>
      </c>
      <c r="P3196">
        <v>4918</v>
      </c>
      <c r="Q3196" t="s">
        <v>6733</v>
      </c>
    </row>
    <row r="3197" spans="1:17" x14ac:dyDescent="0.3">
      <c r="A3197" t="s">
        <v>4729</v>
      </c>
      <c r="B3197" t="str">
        <f>"002471"</f>
        <v>002471</v>
      </c>
      <c r="C3197" t="s">
        <v>6734</v>
      </c>
      <c r="D3197" t="s">
        <v>1164</v>
      </c>
      <c r="F3197">
        <v>1371451595</v>
      </c>
      <c r="G3197">
        <v>1435281313</v>
      </c>
      <c r="H3197">
        <v>1443115112</v>
      </c>
      <c r="I3197">
        <v>1871332681</v>
      </c>
      <c r="J3197">
        <v>1886288314</v>
      </c>
      <c r="K3197">
        <v>1815517608</v>
      </c>
      <c r="L3197">
        <v>1710003992</v>
      </c>
      <c r="M3197">
        <v>1641784182</v>
      </c>
      <c r="N3197">
        <v>1588371013</v>
      </c>
      <c r="O3197">
        <v>1474872286</v>
      </c>
      <c r="P3197">
        <v>92</v>
      </c>
      <c r="Q3197" t="s">
        <v>6735</v>
      </c>
    </row>
    <row r="3198" spans="1:17" x14ac:dyDescent="0.3">
      <c r="A3198" t="s">
        <v>4729</v>
      </c>
      <c r="B3198" t="str">
        <f>"002472"</f>
        <v>002472</v>
      </c>
      <c r="C3198" t="s">
        <v>6736</v>
      </c>
      <c r="D3198" t="s">
        <v>348</v>
      </c>
      <c r="F3198">
        <v>4873939990</v>
      </c>
      <c r="G3198">
        <v>3337727882</v>
      </c>
      <c r="H3198">
        <v>3359002093</v>
      </c>
      <c r="I3198">
        <v>3356405915</v>
      </c>
      <c r="J3198">
        <v>3125475757</v>
      </c>
      <c r="K3198">
        <v>3013998717</v>
      </c>
      <c r="L3198">
        <v>2852485715</v>
      </c>
      <c r="M3198">
        <v>1553184272</v>
      </c>
      <c r="N3198">
        <v>1448142547</v>
      </c>
      <c r="O3198">
        <v>1397526381</v>
      </c>
      <c r="P3198">
        <v>258</v>
      </c>
      <c r="Q3198" t="s">
        <v>6737</v>
      </c>
    </row>
    <row r="3199" spans="1:17" x14ac:dyDescent="0.3">
      <c r="A3199" t="s">
        <v>4729</v>
      </c>
      <c r="B3199" t="str">
        <f>"002473"</f>
        <v>002473</v>
      </c>
      <c r="C3199" t="s">
        <v>6738</v>
      </c>
      <c r="D3199" t="s">
        <v>5799</v>
      </c>
      <c r="F3199">
        <v>23421547</v>
      </c>
      <c r="G3199">
        <v>-13562253</v>
      </c>
      <c r="H3199">
        <v>169123920</v>
      </c>
      <c r="I3199">
        <v>295541182</v>
      </c>
      <c r="J3199">
        <v>283460302</v>
      </c>
      <c r="K3199">
        <v>341658648</v>
      </c>
      <c r="L3199">
        <v>376397275</v>
      </c>
      <c r="M3199">
        <v>389582934</v>
      </c>
      <c r="N3199">
        <v>427999193</v>
      </c>
      <c r="O3199">
        <v>441410671</v>
      </c>
      <c r="P3199">
        <v>61</v>
      </c>
      <c r="Q3199" t="s">
        <v>6739</v>
      </c>
    </row>
    <row r="3200" spans="1:17" x14ac:dyDescent="0.3">
      <c r="A3200" t="s">
        <v>4729</v>
      </c>
      <c r="B3200" t="str">
        <f>"002474"</f>
        <v>002474</v>
      </c>
      <c r="C3200" t="s">
        <v>6740</v>
      </c>
      <c r="D3200" t="s">
        <v>316</v>
      </c>
      <c r="F3200">
        <v>1609960761</v>
      </c>
      <c r="G3200">
        <v>1581336370</v>
      </c>
      <c r="H3200">
        <v>1537547113</v>
      </c>
      <c r="I3200">
        <v>1456980947</v>
      </c>
      <c r="J3200">
        <v>1424157730</v>
      </c>
      <c r="K3200">
        <v>1403645638</v>
      </c>
      <c r="L3200">
        <v>1367295746</v>
      </c>
      <c r="M3200">
        <v>1355839634</v>
      </c>
      <c r="N3200">
        <v>1350150043</v>
      </c>
      <c r="O3200">
        <v>1318910791</v>
      </c>
      <c r="P3200">
        <v>180</v>
      </c>
      <c r="Q3200" t="s">
        <v>6741</v>
      </c>
    </row>
    <row r="3201" spans="1:17" x14ac:dyDescent="0.3">
      <c r="A3201" t="s">
        <v>4729</v>
      </c>
      <c r="B3201" t="str">
        <f>"002475"</f>
        <v>002475</v>
      </c>
      <c r="C3201" t="s">
        <v>6742</v>
      </c>
      <c r="D3201" t="s">
        <v>313</v>
      </c>
      <c r="F3201">
        <v>34761196723</v>
      </c>
      <c r="G3201">
        <v>27574367008</v>
      </c>
      <c r="H3201">
        <v>20296618969</v>
      </c>
      <c r="I3201">
        <v>15497944981</v>
      </c>
      <c r="J3201">
        <v>12938281197</v>
      </c>
      <c r="K3201">
        <v>11252080875</v>
      </c>
      <c r="L3201">
        <v>5527487085</v>
      </c>
      <c r="M3201">
        <v>4592087701</v>
      </c>
      <c r="N3201">
        <v>2317537406</v>
      </c>
      <c r="O3201">
        <v>2051872726</v>
      </c>
      <c r="P3201">
        <v>5894</v>
      </c>
      <c r="Q3201" t="s">
        <v>6743</v>
      </c>
    </row>
    <row r="3202" spans="1:17" x14ac:dyDescent="0.3">
      <c r="A3202" t="s">
        <v>4729</v>
      </c>
      <c r="B3202" t="str">
        <f>"002476"</f>
        <v>002476</v>
      </c>
      <c r="C3202" t="s">
        <v>6744</v>
      </c>
      <c r="D3202" t="s">
        <v>1617</v>
      </c>
      <c r="F3202">
        <v>839981371</v>
      </c>
      <c r="G3202">
        <v>822017035</v>
      </c>
      <c r="H3202">
        <v>808834427</v>
      </c>
      <c r="I3202">
        <v>718146477</v>
      </c>
      <c r="J3202">
        <v>988352600</v>
      </c>
      <c r="K3202">
        <v>987959487</v>
      </c>
      <c r="L3202">
        <v>1015893321</v>
      </c>
      <c r="M3202">
        <v>1018087706</v>
      </c>
      <c r="N3202">
        <v>996880819</v>
      </c>
      <c r="O3202">
        <v>967948614</v>
      </c>
      <c r="P3202">
        <v>85</v>
      </c>
      <c r="Q3202" t="s">
        <v>6745</v>
      </c>
    </row>
    <row r="3203" spans="1:17" x14ac:dyDescent="0.3">
      <c r="A3203" t="s">
        <v>4729</v>
      </c>
      <c r="B3203" t="str">
        <f>"002477"</f>
        <v>002477</v>
      </c>
      <c r="C3203" t="s">
        <v>6746</v>
      </c>
      <c r="I3203">
        <v>1073167600</v>
      </c>
      <c r="J3203">
        <v>4963753999</v>
      </c>
      <c r="K3203">
        <v>5099709986</v>
      </c>
      <c r="L3203">
        <v>4393883508</v>
      </c>
      <c r="M3203">
        <v>2672305094</v>
      </c>
      <c r="N3203">
        <v>2094968398</v>
      </c>
      <c r="O3203">
        <v>2126147280</v>
      </c>
      <c r="P3203">
        <v>126</v>
      </c>
      <c r="Q3203" t="s">
        <v>6747</v>
      </c>
    </row>
    <row r="3204" spans="1:17" x14ac:dyDescent="0.3">
      <c r="A3204" t="s">
        <v>4729</v>
      </c>
      <c r="B3204" t="str">
        <f>"002478"</f>
        <v>002478</v>
      </c>
      <c r="C3204" t="s">
        <v>6748</v>
      </c>
      <c r="D3204" t="s">
        <v>281</v>
      </c>
      <c r="F3204">
        <v>4239883162</v>
      </c>
      <c r="G3204">
        <v>4413495316</v>
      </c>
      <c r="H3204">
        <v>4462884421</v>
      </c>
      <c r="I3204">
        <v>3973774646</v>
      </c>
      <c r="J3204">
        <v>3721920552</v>
      </c>
      <c r="K3204">
        <v>3002692384</v>
      </c>
      <c r="L3204">
        <v>2964126615</v>
      </c>
      <c r="M3204">
        <v>2856085741</v>
      </c>
      <c r="N3204">
        <v>2689470669</v>
      </c>
      <c r="O3204">
        <v>2524779555</v>
      </c>
      <c r="P3204">
        <v>208</v>
      </c>
      <c r="Q3204" t="s">
        <v>6749</v>
      </c>
    </row>
    <row r="3205" spans="1:17" x14ac:dyDescent="0.3">
      <c r="A3205" t="s">
        <v>4729</v>
      </c>
      <c r="B3205" t="str">
        <f>"002479"</f>
        <v>002479</v>
      </c>
      <c r="C3205" t="s">
        <v>6750</v>
      </c>
      <c r="D3205" t="s">
        <v>351</v>
      </c>
      <c r="F3205">
        <v>3911929757</v>
      </c>
      <c r="G3205">
        <v>3801909483</v>
      </c>
      <c r="H3205">
        <v>3803908570</v>
      </c>
      <c r="I3205">
        <v>3698461597</v>
      </c>
      <c r="J3205">
        <v>2899339400</v>
      </c>
      <c r="K3205">
        <v>2855960691</v>
      </c>
      <c r="L3205">
        <v>2730677455</v>
      </c>
      <c r="M3205">
        <v>2184357286</v>
      </c>
      <c r="N3205">
        <v>2038889034</v>
      </c>
      <c r="O3205">
        <v>2013107273</v>
      </c>
      <c r="P3205">
        <v>158</v>
      </c>
      <c r="Q3205" t="s">
        <v>6751</v>
      </c>
    </row>
    <row r="3206" spans="1:17" x14ac:dyDescent="0.3">
      <c r="A3206" t="s">
        <v>4729</v>
      </c>
      <c r="B3206" t="str">
        <f>"002480"</f>
        <v>002480</v>
      </c>
      <c r="C3206" t="s">
        <v>6752</v>
      </c>
      <c r="D3206" t="s">
        <v>274</v>
      </c>
      <c r="F3206">
        <v>2396525271</v>
      </c>
      <c r="G3206">
        <v>2721114393</v>
      </c>
      <c r="H3206">
        <v>2159860318</v>
      </c>
      <c r="I3206">
        <v>2343205058</v>
      </c>
      <c r="J3206">
        <v>2328485072</v>
      </c>
      <c r="K3206">
        <v>2326124940</v>
      </c>
      <c r="L3206">
        <v>2311276627</v>
      </c>
      <c r="M3206">
        <v>2469269095</v>
      </c>
      <c r="N3206">
        <v>1870874924</v>
      </c>
      <c r="O3206">
        <v>1859017422</v>
      </c>
      <c r="P3206">
        <v>107</v>
      </c>
      <c r="Q3206" t="s">
        <v>6753</v>
      </c>
    </row>
    <row r="3207" spans="1:17" x14ac:dyDescent="0.3">
      <c r="A3207" t="s">
        <v>4729</v>
      </c>
      <c r="B3207" t="str">
        <f>"002481"</f>
        <v>002481</v>
      </c>
      <c r="C3207" t="s">
        <v>6754</v>
      </c>
      <c r="D3207" t="s">
        <v>445</v>
      </c>
      <c r="F3207">
        <v>2725940153</v>
      </c>
      <c r="G3207">
        <v>2748805092</v>
      </c>
      <c r="H3207">
        <v>2772178708</v>
      </c>
      <c r="I3207">
        <v>2587461859</v>
      </c>
      <c r="J3207">
        <v>2599265895</v>
      </c>
      <c r="K3207">
        <v>2612589065</v>
      </c>
      <c r="L3207">
        <v>2568423564</v>
      </c>
      <c r="M3207">
        <v>2393007033</v>
      </c>
      <c r="N3207">
        <v>998413917</v>
      </c>
      <c r="O3207">
        <v>889692035</v>
      </c>
      <c r="P3207">
        <v>331</v>
      </c>
      <c r="Q3207" t="s">
        <v>6755</v>
      </c>
    </row>
    <row r="3208" spans="1:17" x14ac:dyDescent="0.3">
      <c r="A3208" t="s">
        <v>4729</v>
      </c>
      <c r="B3208" t="str">
        <f>"002482"</f>
        <v>002482</v>
      </c>
      <c r="C3208" t="s">
        <v>6756</v>
      </c>
      <c r="D3208" t="s">
        <v>450</v>
      </c>
      <c r="F3208">
        <v>524757929</v>
      </c>
      <c r="G3208">
        <v>6246221107</v>
      </c>
      <c r="H3208">
        <v>6936107677</v>
      </c>
      <c r="I3208">
        <v>6945477725</v>
      </c>
      <c r="J3208">
        <v>6673381217</v>
      </c>
      <c r="K3208">
        <v>6104881345</v>
      </c>
      <c r="L3208">
        <v>5778663311</v>
      </c>
      <c r="M3208">
        <v>4179118439</v>
      </c>
      <c r="N3208">
        <v>3711276892</v>
      </c>
      <c r="O3208">
        <v>3126653630</v>
      </c>
      <c r="P3208">
        <v>112</v>
      </c>
      <c r="Q3208" t="s">
        <v>6757</v>
      </c>
    </row>
    <row r="3209" spans="1:17" x14ac:dyDescent="0.3">
      <c r="A3209" t="s">
        <v>4729</v>
      </c>
      <c r="B3209" t="str">
        <f>"002483"</f>
        <v>002483</v>
      </c>
      <c r="C3209" t="s">
        <v>6758</v>
      </c>
      <c r="D3209" t="s">
        <v>395</v>
      </c>
      <c r="F3209">
        <v>4249557120</v>
      </c>
      <c r="G3209">
        <v>3950289468</v>
      </c>
      <c r="H3209">
        <v>2622306446</v>
      </c>
      <c r="I3209">
        <v>2521478597</v>
      </c>
      <c r="J3209">
        <v>2466370518</v>
      </c>
      <c r="K3209">
        <v>2422954839</v>
      </c>
      <c r="L3209">
        <v>2339003568</v>
      </c>
      <c r="M3209">
        <v>2190366101</v>
      </c>
      <c r="N3209">
        <v>2130078940</v>
      </c>
      <c r="O3209">
        <v>2072392958</v>
      </c>
      <c r="P3209">
        <v>93</v>
      </c>
      <c r="Q3209" t="s">
        <v>6759</v>
      </c>
    </row>
    <row r="3210" spans="1:17" x14ac:dyDescent="0.3">
      <c r="A3210" t="s">
        <v>4729</v>
      </c>
      <c r="B3210" t="str">
        <f>"002484"</f>
        <v>002484</v>
      </c>
      <c r="C3210" t="s">
        <v>6760</v>
      </c>
      <c r="D3210" t="s">
        <v>546</v>
      </c>
      <c r="F3210">
        <v>4300667915</v>
      </c>
      <c r="G3210">
        <v>3899345497</v>
      </c>
      <c r="H3210">
        <v>3428815557</v>
      </c>
      <c r="I3210">
        <v>3248959271</v>
      </c>
      <c r="J3210">
        <v>3115899537</v>
      </c>
      <c r="K3210">
        <v>2975316886</v>
      </c>
      <c r="L3210">
        <v>1677703111</v>
      </c>
      <c r="M3210">
        <v>1581998451</v>
      </c>
      <c r="N3210">
        <v>1459536023</v>
      </c>
      <c r="O3210">
        <v>1357070222</v>
      </c>
      <c r="P3210">
        <v>311</v>
      </c>
      <c r="Q3210" t="s">
        <v>6761</v>
      </c>
    </row>
    <row r="3211" spans="1:17" x14ac:dyDescent="0.3">
      <c r="A3211" t="s">
        <v>4729</v>
      </c>
      <c r="B3211" t="str">
        <f>"002485"</f>
        <v>002485</v>
      </c>
      <c r="C3211" t="s">
        <v>6762</v>
      </c>
      <c r="D3211" t="s">
        <v>255</v>
      </c>
      <c r="F3211">
        <v>1737538559</v>
      </c>
      <c r="G3211">
        <v>2180045001</v>
      </c>
      <c r="H3211">
        <v>2314334208</v>
      </c>
      <c r="I3211">
        <v>2223034507</v>
      </c>
      <c r="J3211">
        <v>2012687454</v>
      </c>
      <c r="K3211">
        <v>1976042054</v>
      </c>
      <c r="L3211">
        <v>1968573418</v>
      </c>
      <c r="M3211">
        <v>1945987353</v>
      </c>
      <c r="N3211">
        <v>2005377918</v>
      </c>
      <c r="O3211">
        <v>1997986862</v>
      </c>
      <c r="P3211">
        <v>80</v>
      </c>
      <c r="Q3211" t="s">
        <v>6763</v>
      </c>
    </row>
    <row r="3212" spans="1:17" x14ac:dyDescent="0.3">
      <c r="A3212" t="s">
        <v>4729</v>
      </c>
      <c r="B3212" t="str">
        <f>"002486"</f>
        <v>002486</v>
      </c>
      <c r="C3212" t="s">
        <v>6764</v>
      </c>
      <c r="D3212" t="s">
        <v>366</v>
      </c>
      <c r="F3212">
        <v>965602220</v>
      </c>
      <c r="G3212">
        <v>942281034</v>
      </c>
      <c r="H3212">
        <v>921711469</v>
      </c>
      <c r="I3212">
        <v>949406035</v>
      </c>
      <c r="J3212">
        <v>955298258</v>
      </c>
      <c r="K3212">
        <v>928747658</v>
      </c>
      <c r="L3212">
        <v>914205135</v>
      </c>
      <c r="M3212">
        <v>1026598111</v>
      </c>
      <c r="N3212">
        <v>1035462467</v>
      </c>
      <c r="O3212">
        <v>956087237</v>
      </c>
      <c r="P3212">
        <v>88</v>
      </c>
      <c r="Q3212" t="s">
        <v>6765</v>
      </c>
    </row>
    <row r="3213" spans="1:17" x14ac:dyDescent="0.3">
      <c r="A3213" t="s">
        <v>4729</v>
      </c>
      <c r="B3213" t="str">
        <f>"002487"</f>
        <v>002487</v>
      </c>
      <c r="C3213" t="s">
        <v>6766</v>
      </c>
      <c r="D3213" t="s">
        <v>950</v>
      </c>
      <c r="F3213">
        <v>2998969586</v>
      </c>
      <c r="G3213">
        <v>2410155926</v>
      </c>
      <c r="H3213">
        <v>2007708885</v>
      </c>
      <c r="I3213">
        <v>1814091563</v>
      </c>
      <c r="J3213">
        <v>1738986884</v>
      </c>
      <c r="K3213">
        <v>1702887366</v>
      </c>
      <c r="L3213">
        <v>1642302857</v>
      </c>
      <c r="M3213">
        <v>1553233417</v>
      </c>
      <c r="N3213">
        <v>1509818757</v>
      </c>
      <c r="O3213">
        <v>1480734433</v>
      </c>
      <c r="P3213">
        <v>248</v>
      </c>
      <c r="Q3213" t="s">
        <v>6767</v>
      </c>
    </row>
    <row r="3214" spans="1:17" x14ac:dyDescent="0.3">
      <c r="A3214" t="s">
        <v>4729</v>
      </c>
      <c r="B3214" t="str">
        <f>"002488"</f>
        <v>002488</v>
      </c>
      <c r="C3214" t="s">
        <v>6768</v>
      </c>
      <c r="D3214" t="s">
        <v>422</v>
      </c>
      <c r="F3214">
        <v>3822543986</v>
      </c>
      <c r="G3214">
        <v>3782046214</v>
      </c>
      <c r="H3214">
        <v>3997114993</v>
      </c>
      <c r="I3214">
        <v>3984778887</v>
      </c>
      <c r="J3214">
        <v>4122276932</v>
      </c>
      <c r="K3214">
        <v>1408310781</v>
      </c>
      <c r="L3214">
        <v>1583998442</v>
      </c>
      <c r="M3214">
        <v>1575614078</v>
      </c>
      <c r="N3214">
        <v>919319098</v>
      </c>
      <c r="O3214">
        <v>904076487</v>
      </c>
      <c r="P3214">
        <v>152</v>
      </c>
      <c r="Q3214" t="s">
        <v>6769</v>
      </c>
    </row>
    <row r="3215" spans="1:17" x14ac:dyDescent="0.3">
      <c r="A3215" t="s">
        <v>4729</v>
      </c>
      <c r="B3215" t="str">
        <f>"002489"</f>
        <v>002489</v>
      </c>
      <c r="C3215" t="s">
        <v>6770</v>
      </c>
      <c r="D3215" t="s">
        <v>757</v>
      </c>
      <c r="F3215">
        <v>3511577863</v>
      </c>
      <c r="G3215">
        <v>3807645502</v>
      </c>
      <c r="H3215">
        <v>3716199068</v>
      </c>
      <c r="I3215">
        <v>3109598035</v>
      </c>
      <c r="J3215">
        <v>3221152365</v>
      </c>
      <c r="K3215">
        <v>3262100807</v>
      </c>
      <c r="L3215">
        <v>3252806492</v>
      </c>
      <c r="M3215">
        <v>3283198829</v>
      </c>
      <c r="N3215">
        <v>3148856131</v>
      </c>
      <c r="O3215">
        <v>3048787676</v>
      </c>
      <c r="P3215">
        <v>206</v>
      </c>
      <c r="Q3215" t="s">
        <v>6771</v>
      </c>
    </row>
    <row r="3216" spans="1:17" x14ac:dyDescent="0.3">
      <c r="A3216" t="s">
        <v>4729</v>
      </c>
      <c r="B3216" t="str">
        <f>"002490"</f>
        <v>002490</v>
      </c>
      <c r="C3216" t="s">
        <v>6772</v>
      </c>
      <c r="D3216" t="s">
        <v>395</v>
      </c>
      <c r="F3216">
        <v>1413238862</v>
      </c>
      <c r="G3216">
        <v>1780737085</v>
      </c>
      <c r="H3216">
        <v>1747518971</v>
      </c>
      <c r="I3216">
        <v>1944091288</v>
      </c>
      <c r="J3216">
        <v>1869595562</v>
      </c>
      <c r="K3216">
        <v>1819068092</v>
      </c>
      <c r="L3216">
        <v>2433157226</v>
      </c>
      <c r="M3216">
        <v>2694285331</v>
      </c>
      <c r="N3216">
        <v>2674103956</v>
      </c>
      <c r="O3216">
        <v>2889416713</v>
      </c>
      <c r="P3216">
        <v>82</v>
      </c>
      <c r="Q3216" t="s">
        <v>6773</v>
      </c>
    </row>
    <row r="3217" spans="1:17" x14ac:dyDescent="0.3">
      <c r="A3217" t="s">
        <v>4729</v>
      </c>
      <c r="B3217" t="str">
        <f>"002491"</f>
        <v>002491</v>
      </c>
      <c r="C3217" t="s">
        <v>6774</v>
      </c>
      <c r="D3217" t="s">
        <v>250</v>
      </c>
      <c r="F3217">
        <v>2133789466</v>
      </c>
      <c r="G3217">
        <v>2836161406</v>
      </c>
      <c r="H3217">
        <v>2876377430</v>
      </c>
      <c r="I3217">
        <v>5108507069</v>
      </c>
      <c r="J3217">
        <v>4578880700</v>
      </c>
      <c r="K3217">
        <v>2933751569</v>
      </c>
      <c r="L3217">
        <v>2798318287</v>
      </c>
      <c r="M3217">
        <v>2160322847</v>
      </c>
      <c r="N3217">
        <v>1857641402</v>
      </c>
      <c r="O3217">
        <v>1670756004</v>
      </c>
      <c r="P3217">
        <v>214</v>
      </c>
      <c r="Q3217" t="s">
        <v>6775</v>
      </c>
    </row>
    <row r="3218" spans="1:17" x14ac:dyDescent="0.3">
      <c r="A3218" t="s">
        <v>4729</v>
      </c>
      <c r="B3218" t="str">
        <f>"002492"</f>
        <v>002492</v>
      </c>
      <c r="C3218" t="s">
        <v>6776</v>
      </c>
      <c r="D3218" t="s">
        <v>1592</v>
      </c>
      <c r="F3218">
        <v>1471472825</v>
      </c>
      <c r="G3218">
        <v>1362689407</v>
      </c>
      <c r="H3218">
        <v>1281257506</v>
      </c>
      <c r="I3218">
        <v>1243248353</v>
      </c>
      <c r="J3218">
        <v>1204925193</v>
      </c>
      <c r="K3218">
        <v>1154440882</v>
      </c>
      <c r="L3218">
        <v>1112859474</v>
      </c>
      <c r="M3218">
        <v>888799574</v>
      </c>
      <c r="N3218">
        <v>849050694</v>
      </c>
      <c r="O3218">
        <v>818021686</v>
      </c>
      <c r="P3218">
        <v>94</v>
      </c>
      <c r="Q3218" t="s">
        <v>6777</v>
      </c>
    </row>
    <row r="3219" spans="1:17" x14ac:dyDescent="0.3">
      <c r="A3219" t="s">
        <v>4729</v>
      </c>
      <c r="B3219" t="str">
        <f>"002493"</f>
        <v>002493</v>
      </c>
      <c r="C3219" t="s">
        <v>6778</v>
      </c>
      <c r="D3219" t="s">
        <v>74</v>
      </c>
      <c r="F3219">
        <v>48838798373</v>
      </c>
      <c r="G3219">
        <v>36966341776</v>
      </c>
      <c r="H3219">
        <v>22554598828</v>
      </c>
      <c r="I3219">
        <v>20931533319</v>
      </c>
      <c r="J3219">
        <v>14258654667</v>
      </c>
      <c r="K3219">
        <v>12671118452</v>
      </c>
      <c r="L3219">
        <v>10809562554</v>
      </c>
      <c r="M3219">
        <v>6563349222</v>
      </c>
      <c r="N3219">
        <v>7031382994</v>
      </c>
      <c r="O3219">
        <v>6808159765</v>
      </c>
      <c r="P3219">
        <v>852</v>
      </c>
      <c r="Q3219" t="s">
        <v>6779</v>
      </c>
    </row>
    <row r="3220" spans="1:17" x14ac:dyDescent="0.3">
      <c r="A3220" t="s">
        <v>4729</v>
      </c>
      <c r="B3220" t="str">
        <f>"002494"</f>
        <v>002494</v>
      </c>
      <c r="C3220" t="s">
        <v>6780</v>
      </c>
      <c r="D3220" t="s">
        <v>255</v>
      </c>
      <c r="F3220">
        <v>1565172036</v>
      </c>
      <c r="G3220">
        <v>1548183792</v>
      </c>
      <c r="H3220">
        <v>1893534099</v>
      </c>
      <c r="I3220">
        <v>1929900433</v>
      </c>
      <c r="J3220">
        <v>1912459058</v>
      </c>
      <c r="K3220">
        <v>1992332149</v>
      </c>
      <c r="L3220">
        <v>1404721864</v>
      </c>
      <c r="M3220">
        <v>1391925122</v>
      </c>
      <c r="N3220">
        <v>1025839780</v>
      </c>
      <c r="O3220">
        <v>967688326</v>
      </c>
      <c r="P3220">
        <v>81</v>
      </c>
      <c r="Q3220" t="s">
        <v>6781</v>
      </c>
    </row>
    <row r="3221" spans="1:17" x14ac:dyDescent="0.3">
      <c r="A3221" t="s">
        <v>4729</v>
      </c>
      <c r="B3221" t="str">
        <f>"002495"</f>
        <v>002495</v>
      </c>
      <c r="C3221" t="s">
        <v>6782</v>
      </c>
      <c r="D3221" t="s">
        <v>433</v>
      </c>
      <c r="F3221">
        <v>1218426702</v>
      </c>
      <c r="G3221">
        <v>1199195531</v>
      </c>
      <c r="H3221">
        <v>1189446573</v>
      </c>
      <c r="I3221">
        <v>1161468642</v>
      </c>
      <c r="J3221">
        <v>1135630928</v>
      </c>
      <c r="K3221">
        <v>1114216498</v>
      </c>
      <c r="L3221">
        <v>1088620380</v>
      </c>
      <c r="M3221">
        <v>1078906377</v>
      </c>
      <c r="N3221">
        <v>1070572031</v>
      </c>
      <c r="O3221">
        <v>1066522311</v>
      </c>
      <c r="P3221">
        <v>113</v>
      </c>
      <c r="Q3221" t="s">
        <v>6783</v>
      </c>
    </row>
    <row r="3222" spans="1:17" x14ac:dyDescent="0.3">
      <c r="A3222" t="s">
        <v>4729</v>
      </c>
      <c r="B3222" t="str">
        <f>"002496"</f>
        <v>002496</v>
      </c>
      <c r="C3222" t="s">
        <v>6784</v>
      </c>
      <c r="D3222" t="s">
        <v>853</v>
      </c>
      <c r="F3222">
        <v>2411882952</v>
      </c>
      <c r="G3222">
        <v>2460271092</v>
      </c>
      <c r="H3222">
        <v>2774288945</v>
      </c>
      <c r="I3222">
        <v>3161759505</v>
      </c>
      <c r="J3222">
        <v>3778988194</v>
      </c>
      <c r="K3222">
        <v>3446215476</v>
      </c>
      <c r="L3222">
        <v>3151520173</v>
      </c>
      <c r="M3222">
        <v>2028370429</v>
      </c>
      <c r="N3222">
        <v>1869613318</v>
      </c>
      <c r="O3222">
        <v>1747436437</v>
      </c>
      <c r="P3222">
        <v>158</v>
      </c>
      <c r="Q3222" t="s">
        <v>6785</v>
      </c>
    </row>
    <row r="3223" spans="1:17" x14ac:dyDescent="0.3">
      <c r="A3223" t="s">
        <v>4729</v>
      </c>
      <c r="B3223" t="str">
        <f>"002497"</f>
        <v>002497</v>
      </c>
      <c r="C3223" t="s">
        <v>6786</v>
      </c>
      <c r="D3223" t="s">
        <v>2736</v>
      </c>
      <c r="F3223">
        <v>6368985707</v>
      </c>
      <c r="G3223">
        <v>5089279702</v>
      </c>
      <c r="H3223">
        <v>2682262934</v>
      </c>
      <c r="I3223">
        <v>2657998236</v>
      </c>
      <c r="J3223">
        <v>2564493248</v>
      </c>
      <c r="K3223">
        <v>2389404568</v>
      </c>
      <c r="L3223">
        <v>2210672556</v>
      </c>
      <c r="M3223">
        <v>2160866048</v>
      </c>
      <c r="N3223">
        <v>2058906469</v>
      </c>
      <c r="O3223">
        <v>1942495275</v>
      </c>
      <c r="P3223">
        <v>481</v>
      </c>
      <c r="Q3223" t="s">
        <v>6787</v>
      </c>
    </row>
    <row r="3224" spans="1:17" x14ac:dyDescent="0.3">
      <c r="A3224" t="s">
        <v>4729</v>
      </c>
      <c r="B3224" t="str">
        <f>"002498"</f>
        <v>002498</v>
      </c>
      <c r="C3224" t="s">
        <v>6788</v>
      </c>
      <c r="D3224" t="s">
        <v>1164</v>
      </c>
      <c r="F3224">
        <v>6372271855</v>
      </c>
      <c r="G3224">
        <v>5637562935</v>
      </c>
      <c r="H3224">
        <v>5037572220</v>
      </c>
      <c r="I3224">
        <v>4696833734</v>
      </c>
      <c r="J3224">
        <v>4630276607</v>
      </c>
      <c r="K3224">
        <v>4439701606</v>
      </c>
      <c r="L3224">
        <v>4139383883</v>
      </c>
      <c r="M3224">
        <v>4219215217</v>
      </c>
      <c r="N3224">
        <v>4122341022</v>
      </c>
      <c r="O3224">
        <v>3814893550</v>
      </c>
      <c r="P3224">
        <v>282</v>
      </c>
      <c r="Q3224" t="s">
        <v>6789</v>
      </c>
    </row>
    <row r="3225" spans="1:17" x14ac:dyDescent="0.3">
      <c r="A3225" t="s">
        <v>4729</v>
      </c>
      <c r="B3225" t="str">
        <f>"002499"</f>
        <v>002499</v>
      </c>
      <c r="C3225" t="s">
        <v>6790</v>
      </c>
      <c r="D3225" t="s">
        <v>86</v>
      </c>
      <c r="F3225">
        <v>37615170</v>
      </c>
      <c r="G3225">
        <v>62030469</v>
      </c>
      <c r="H3225">
        <v>52251713</v>
      </c>
      <c r="I3225">
        <v>175890032</v>
      </c>
      <c r="J3225">
        <v>742201406</v>
      </c>
      <c r="K3225">
        <v>702605680</v>
      </c>
      <c r="L3225">
        <v>697985560</v>
      </c>
      <c r="M3225">
        <v>674343847</v>
      </c>
      <c r="N3225">
        <v>662022399</v>
      </c>
      <c r="O3225">
        <v>653125444</v>
      </c>
      <c r="P3225">
        <v>51</v>
      </c>
      <c r="Q3225" t="s">
        <v>6791</v>
      </c>
    </row>
    <row r="3226" spans="1:17" x14ac:dyDescent="0.3">
      <c r="A3226" t="s">
        <v>4729</v>
      </c>
      <c r="B3226" t="str">
        <f>"002500"</f>
        <v>002500</v>
      </c>
      <c r="C3226" t="s">
        <v>6792</v>
      </c>
      <c r="D3226" t="s">
        <v>80</v>
      </c>
      <c r="F3226">
        <v>17240347086</v>
      </c>
      <c r="G3226">
        <v>16905435923</v>
      </c>
      <c r="H3226">
        <v>12654476555</v>
      </c>
      <c r="I3226">
        <v>12443281412</v>
      </c>
      <c r="J3226">
        <v>12501877365</v>
      </c>
      <c r="K3226">
        <v>12278084456</v>
      </c>
      <c r="L3226">
        <v>12586758514</v>
      </c>
      <c r="M3226">
        <v>7338345488</v>
      </c>
      <c r="N3226">
        <v>6898868153</v>
      </c>
      <c r="O3226">
        <v>6037760516</v>
      </c>
      <c r="P3226">
        <v>1129</v>
      </c>
      <c r="Q3226" t="s">
        <v>6793</v>
      </c>
    </row>
    <row r="3227" spans="1:17" x14ac:dyDescent="0.3">
      <c r="A3227" t="s">
        <v>4729</v>
      </c>
      <c r="B3227" t="str">
        <f>"002501"</f>
        <v>002501</v>
      </c>
      <c r="C3227" t="s">
        <v>6794</v>
      </c>
      <c r="D3227" t="s">
        <v>504</v>
      </c>
      <c r="F3227">
        <v>1661527159</v>
      </c>
      <c r="G3227">
        <v>2112887763</v>
      </c>
      <c r="H3227">
        <v>-5426105061</v>
      </c>
      <c r="I3227">
        <v>3970479489</v>
      </c>
      <c r="J3227">
        <v>7994137069</v>
      </c>
      <c r="K3227">
        <v>4565557628</v>
      </c>
      <c r="L3227">
        <v>3837400181</v>
      </c>
      <c r="M3227">
        <v>3436334506</v>
      </c>
      <c r="N3227">
        <v>3092455086</v>
      </c>
      <c r="O3227">
        <v>1424066641</v>
      </c>
      <c r="P3227">
        <v>107</v>
      </c>
      <c r="Q3227" t="s">
        <v>6795</v>
      </c>
    </row>
    <row r="3228" spans="1:17" x14ac:dyDescent="0.3">
      <c r="A3228" t="s">
        <v>4729</v>
      </c>
      <c r="B3228" t="str">
        <f>"002502"</f>
        <v>002502</v>
      </c>
      <c r="C3228" t="s">
        <v>6796</v>
      </c>
      <c r="D3228" t="s">
        <v>113</v>
      </c>
      <c r="F3228">
        <v>1326711464</v>
      </c>
      <c r="G3228">
        <v>1318182253</v>
      </c>
      <c r="H3228">
        <v>1303375655</v>
      </c>
      <c r="I3228">
        <v>2164085330</v>
      </c>
      <c r="J3228">
        <v>3473631470</v>
      </c>
      <c r="K3228">
        <v>3154374977</v>
      </c>
      <c r="L3228">
        <v>3095328817</v>
      </c>
      <c r="M3228">
        <v>916000730</v>
      </c>
      <c r="N3228">
        <v>895725888</v>
      </c>
      <c r="O3228">
        <v>877873968</v>
      </c>
      <c r="P3228">
        <v>117</v>
      </c>
      <c r="Q3228" t="s">
        <v>6797</v>
      </c>
    </row>
    <row r="3229" spans="1:17" x14ac:dyDescent="0.3">
      <c r="A3229" t="s">
        <v>4729</v>
      </c>
      <c r="B3229" t="str">
        <f>"002503"</f>
        <v>002503</v>
      </c>
      <c r="C3229" t="s">
        <v>6798</v>
      </c>
      <c r="D3229" t="s">
        <v>255</v>
      </c>
      <c r="F3229">
        <v>201505905</v>
      </c>
      <c r="G3229">
        <v>3639108777</v>
      </c>
      <c r="H3229">
        <v>5443468848</v>
      </c>
      <c r="I3229">
        <v>5288197008</v>
      </c>
      <c r="J3229">
        <v>5606106688</v>
      </c>
      <c r="K3229">
        <v>5112769057</v>
      </c>
      <c r="L3229">
        <v>2307471464</v>
      </c>
      <c r="M3229">
        <v>2165899053</v>
      </c>
      <c r="N3229">
        <v>2107520112</v>
      </c>
      <c r="O3229">
        <v>1977326382</v>
      </c>
      <c r="P3229">
        <v>244</v>
      </c>
      <c r="Q3229" t="s">
        <v>6799</v>
      </c>
    </row>
    <row r="3230" spans="1:17" x14ac:dyDescent="0.3">
      <c r="A3230" t="s">
        <v>4729</v>
      </c>
      <c r="B3230" t="str">
        <f>"002504"</f>
        <v>002504</v>
      </c>
      <c r="C3230" t="s">
        <v>6800</v>
      </c>
      <c r="D3230" t="s">
        <v>450</v>
      </c>
      <c r="F3230">
        <v>184620416</v>
      </c>
      <c r="G3230">
        <v>560193201</v>
      </c>
      <c r="H3230">
        <v>629564862</v>
      </c>
      <c r="I3230">
        <v>958634461</v>
      </c>
      <c r="J3230">
        <v>944221732</v>
      </c>
      <c r="K3230">
        <v>1085571446</v>
      </c>
      <c r="L3230">
        <v>912489304</v>
      </c>
      <c r="M3230">
        <v>683753381</v>
      </c>
      <c r="N3230">
        <v>654830091</v>
      </c>
      <c r="O3230">
        <v>672896978</v>
      </c>
      <c r="P3230">
        <v>66</v>
      </c>
      <c r="Q3230" t="s">
        <v>6801</v>
      </c>
    </row>
    <row r="3231" spans="1:17" x14ac:dyDescent="0.3">
      <c r="A3231" t="s">
        <v>4729</v>
      </c>
      <c r="B3231" t="str">
        <f>"002505"</f>
        <v>002505</v>
      </c>
      <c r="C3231" t="s">
        <v>6802</v>
      </c>
      <c r="D3231" t="s">
        <v>1882</v>
      </c>
      <c r="F3231">
        <v>5002564364</v>
      </c>
      <c r="G3231">
        <v>5860802710</v>
      </c>
      <c r="H3231">
        <v>4571436786</v>
      </c>
      <c r="I3231">
        <v>4652595576</v>
      </c>
      <c r="J3231">
        <v>5557620031</v>
      </c>
      <c r="K3231">
        <v>5621999154</v>
      </c>
      <c r="L3231">
        <v>5762962778</v>
      </c>
      <c r="M3231">
        <v>5785277686</v>
      </c>
      <c r="N3231">
        <v>813240228</v>
      </c>
      <c r="O3231">
        <v>810385105</v>
      </c>
      <c r="P3231">
        <v>209</v>
      </c>
      <c r="Q3231" t="s">
        <v>6803</v>
      </c>
    </row>
    <row r="3232" spans="1:17" x14ac:dyDescent="0.3">
      <c r="A3232" t="s">
        <v>4729</v>
      </c>
      <c r="B3232" t="str">
        <f>"002506"</f>
        <v>002506</v>
      </c>
      <c r="C3232" t="s">
        <v>6804</v>
      </c>
      <c r="D3232" t="s">
        <v>356</v>
      </c>
      <c r="F3232">
        <v>2261170635</v>
      </c>
      <c r="G3232">
        <v>4249748915</v>
      </c>
      <c r="H3232">
        <v>4390941031</v>
      </c>
      <c r="I3232">
        <v>4248588014</v>
      </c>
      <c r="J3232">
        <v>4173659803</v>
      </c>
      <c r="K3232">
        <v>4172081958</v>
      </c>
      <c r="L3232">
        <v>3578525483</v>
      </c>
      <c r="M3232">
        <v>323965555</v>
      </c>
      <c r="N3232">
        <v>-4337608018</v>
      </c>
      <c r="O3232">
        <v>1111731506</v>
      </c>
      <c r="P3232">
        <v>315</v>
      </c>
      <c r="Q3232" t="s">
        <v>6805</v>
      </c>
    </row>
    <row r="3233" spans="1:17" x14ac:dyDescent="0.3">
      <c r="A3233" t="s">
        <v>4729</v>
      </c>
      <c r="B3233" t="str">
        <f>"002507"</f>
        <v>002507</v>
      </c>
      <c r="C3233" t="s">
        <v>6806</v>
      </c>
      <c r="D3233" t="s">
        <v>433</v>
      </c>
      <c r="F3233">
        <v>7167050881</v>
      </c>
      <c r="G3233">
        <v>3411459905</v>
      </c>
      <c r="H3233">
        <v>2871161295</v>
      </c>
      <c r="I3233">
        <v>2471252304</v>
      </c>
      <c r="J3233">
        <v>1927936252</v>
      </c>
      <c r="K3233">
        <v>1566417824</v>
      </c>
      <c r="L3233">
        <v>1374968724</v>
      </c>
      <c r="M3233">
        <v>1139586641</v>
      </c>
      <c r="N3233">
        <v>1038593661</v>
      </c>
      <c r="O3233">
        <v>952196550</v>
      </c>
      <c r="P3233">
        <v>4502</v>
      </c>
      <c r="Q3233" t="s">
        <v>6807</v>
      </c>
    </row>
    <row r="3234" spans="1:17" x14ac:dyDescent="0.3">
      <c r="A3234" t="s">
        <v>4729</v>
      </c>
      <c r="B3234" t="str">
        <f>"002508"</f>
        <v>002508</v>
      </c>
      <c r="C3234" t="s">
        <v>6808</v>
      </c>
      <c r="D3234" t="s">
        <v>3707</v>
      </c>
      <c r="F3234">
        <v>8627026739</v>
      </c>
      <c r="G3234">
        <v>8050626815</v>
      </c>
      <c r="H3234">
        <v>6864388881</v>
      </c>
      <c r="I3234">
        <v>6045384388</v>
      </c>
      <c r="J3234">
        <v>5260800801</v>
      </c>
      <c r="K3234">
        <v>4128555131</v>
      </c>
      <c r="L3234">
        <v>3169577206</v>
      </c>
      <c r="M3234">
        <v>2482151918</v>
      </c>
      <c r="N3234">
        <v>2035750065</v>
      </c>
      <c r="O3234">
        <v>1726917717</v>
      </c>
      <c r="P3234">
        <v>40627</v>
      </c>
      <c r="Q3234" t="s">
        <v>6809</v>
      </c>
    </row>
    <row r="3235" spans="1:17" x14ac:dyDescent="0.3">
      <c r="A3235" t="s">
        <v>4729</v>
      </c>
      <c r="B3235" t="str">
        <f>"002509"</f>
        <v>002509</v>
      </c>
      <c r="C3235" t="s">
        <v>6810</v>
      </c>
      <c r="H3235">
        <v>1581266484</v>
      </c>
      <c r="I3235">
        <v>4548027789</v>
      </c>
      <c r="J3235">
        <v>5023359800</v>
      </c>
      <c r="K3235">
        <v>4482917836</v>
      </c>
      <c r="L3235">
        <v>4098954773</v>
      </c>
      <c r="M3235">
        <v>1499557671</v>
      </c>
      <c r="N3235">
        <v>907414412</v>
      </c>
      <c r="O3235">
        <v>824701460</v>
      </c>
      <c r="P3235">
        <v>60</v>
      </c>
      <c r="Q3235" t="s">
        <v>6811</v>
      </c>
    </row>
    <row r="3236" spans="1:17" x14ac:dyDescent="0.3">
      <c r="A3236" t="s">
        <v>4729</v>
      </c>
      <c r="B3236" t="str">
        <f>"002510"</f>
        <v>002510</v>
      </c>
      <c r="C3236" t="s">
        <v>6812</v>
      </c>
      <c r="D3236" t="s">
        <v>985</v>
      </c>
      <c r="F3236">
        <v>1857553960</v>
      </c>
      <c r="G3236">
        <v>2017687079</v>
      </c>
      <c r="H3236">
        <v>2668464278</v>
      </c>
      <c r="I3236">
        <v>2591761897</v>
      </c>
      <c r="J3236">
        <v>2389947407</v>
      </c>
      <c r="K3236">
        <v>2021948217</v>
      </c>
      <c r="L3236">
        <v>1787816995</v>
      </c>
      <c r="M3236">
        <v>1668757401</v>
      </c>
      <c r="N3236">
        <v>1539371216</v>
      </c>
      <c r="O3236">
        <v>1447621335</v>
      </c>
      <c r="P3236">
        <v>208</v>
      </c>
      <c r="Q3236" t="s">
        <v>6813</v>
      </c>
    </row>
    <row r="3237" spans="1:17" x14ac:dyDescent="0.3">
      <c r="A3237" t="s">
        <v>4729</v>
      </c>
      <c r="B3237" t="str">
        <f>"002511"</f>
        <v>002511</v>
      </c>
      <c r="C3237" t="s">
        <v>6814</v>
      </c>
      <c r="D3237" t="s">
        <v>2751</v>
      </c>
      <c r="F3237">
        <v>4903552662</v>
      </c>
      <c r="G3237">
        <v>5042146076</v>
      </c>
      <c r="H3237">
        <v>4077004459</v>
      </c>
      <c r="I3237">
        <v>3311242724</v>
      </c>
      <c r="J3237">
        <v>3043943947</v>
      </c>
      <c r="K3237">
        <v>2696386387</v>
      </c>
      <c r="L3237">
        <v>2433966625</v>
      </c>
      <c r="M3237">
        <v>2349826508</v>
      </c>
      <c r="N3237">
        <v>2282324316</v>
      </c>
      <c r="O3237">
        <v>2202206957</v>
      </c>
      <c r="P3237">
        <v>2513</v>
      </c>
      <c r="Q3237" t="s">
        <v>6815</v>
      </c>
    </row>
    <row r="3238" spans="1:17" x14ac:dyDescent="0.3">
      <c r="A3238" t="s">
        <v>4729</v>
      </c>
      <c r="B3238" t="str">
        <f>"002512"</f>
        <v>002512</v>
      </c>
      <c r="C3238" t="s">
        <v>6816</v>
      </c>
      <c r="D3238" t="s">
        <v>236</v>
      </c>
      <c r="F3238">
        <v>801387966</v>
      </c>
      <c r="G3238">
        <v>1339670624</v>
      </c>
      <c r="H3238">
        <v>1312599304</v>
      </c>
      <c r="I3238">
        <v>1144642241</v>
      </c>
      <c r="J3238">
        <v>2923686317</v>
      </c>
      <c r="K3238">
        <v>2792995054</v>
      </c>
      <c r="L3238">
        <v>2646890431</v>
      </c>
      <c r="M3238">
        <v>1409523630</v>
      </c>
      <c r="N3238">
        <v>1408850422</v>
      </c>
      <c r="O3238">
        <v>953654428</v>
      </c>
      <c r="P3238">
        <v>162</v>
      </c>
      <c r="Q3238" t="s">
        <v>6817</v>
      </c>
    </row>
    <row r="3239" spans="1:17" x14ac:dyDescent="0.3">
      <c r="A3239" t="s">
        <v>4729</v>
      </c>
      <c r="B3239" t="str">
        <f>"002513"</f>
        <v>002513</v>
      </c>
      <c r="C3239" t="s">
        <v>6818</v>
      </c>
      <c r="D3239" t="s">
        <v>853</v>
      </c>
      <c r="F3239">
        <v>666636974</v>
      </c>
      <c r="G3239">
        <v>1159910074</v>
      </c>
      <c r="H3239">
        <v>1135355718</v>
      </c>
      <c r="I3239">
        <v>1657103931</v>
      </c>
      <c r="J3239">
        <v>2533185235</v>
      </c>
      <c r="K3239">
        <v>2510887599</v>
      </c>
      <c r="L3239">
        <v>2406957039</v>
      </c>
      <c r="M3239">
        <v>1149032628</v>
      </c>
      <c r="N3239">
        <v>1186236994</v>
      </c>
      <c r="O3239">
        <v>1181606104</v>
      </c>
      <c r="P3239">
        <v>46</v>
      </c>
      <c r="Q3239" t="s">
        <v>6819</v>
      </c>
    </row>
    <row r="3240" spans="1:17" x14ac:dyDescent="0.3">
      <c r="A3240" t="s">
        <v>4729</v>
      </c>
      <c r="B3240" t="str">
        <f>"002514"</f>
        <v>002514</v>
      </c>
      <c r="C3240" t="s">
        <v>6820</v>
      </c>
      <c r="D3240" t="s">
        <v>274</v>
      </c>
      <c r="F3240">
        <v>629042444</v>
      </c>
      <c r="G3240">
        <v>620196928</v>
      </c>
      <c r="H3240">
        <v>1011026884</v>
      </c>
      <c r="I3240">
        <v>944959030</v>
      </c>
      <c r="J3240">
        <v>860673663</v>
      </c>
      <c r="K3240">
        <v>823723246</v>
      </c>
      <c r="L3240">
        <v>996402884</v>
      </c>
      <c r="M3240">
        <v>944251225</v>
      </c>
      <c r="N3240">
        <v>530918730</v>
      </c>
      <c r="O3240">
        <v>512587431</v>
      </c>
      <c r="P3240">
        <v>61</v>
      </c>
      <c r="Q3240" t="s">
        <v>6821</v>
      </c>
    </row>
    <row r="3241" spans="1:17" x14ac:dyDescent="0.3">
      <c r="A3241" t="s">
        <v>4729</v>
      </c>
      <c r="B3241" t="str">
        <f>"002515"</f>
        <v>002515</v>
      </c>
      <c r="C3241" t="s">
        <v>6822</v>
      </c>
      <c r="D3241" t="s">
        <v>170</v>
      </c>
      <c r="F3241">
        <v>1340805365</v>
      </c>
      <c r="G3241">
        <v>1326105471</v>
      </c>
      <c r="H3241">
        <v>1313727448</v>
      </c>
      <c r="I3241">
        <v>1378341526</v>
      </c>
      <c r="J3241">
        <v>1522986114</v>
      </c>
      <c r="K3241">
        <v>1352053237</v>
      </c>
      <c r="L3241">
        <v>1350140609</v>
      </c>
      <c r="M3241">
        <v>863269535</v>
      </c>
      <c r="N3241">
        <v>850740032</v>
      </c>
      <c r="O3241">
        <v>842480724</v>
      </c>
      <c r="P3241">
        <v>296</v>
      </c>
      <c r="Q3241" t="s">
        <v>6823</v>
      </c>
    </row>
    <row r="3242" spans="1:17" x14ac:dyDescent="0.3">
      <c r="A3242" t="s">
        <v>4729</v>
      </c>
      <c r="B3242" t="str">
        <f>"002516"</f>
        <v>002516</v>
      </c>
      <c r="C3242" t="s">
        <v>6824</v>
      </c>
      <c r="D3242" t="s">
        <v>191</v>
      </c>
      <c r="F3242">
        <v>3425174341</v>
      </c>
      <c r="G3242">
        <v>3417622629</v>
      </c>
      <c r="H3242">
        <v>3574941840</v>
      </c>
      <c r="I3242">
        <v>3790969642</v>
      </c>
      <c r="J3242">
        <v>4060437584</v>
      </c>
      <c r="K3242">
        <v>3633609719</v>
      </c>
      <c r="L3242">
        <v>2126901528</v>
      </c>
      <c r="M3242">
        <v>1884231721</v>
      </c>
      <c r="N3242">
        <v>1765333853</v>
      </c>
      <c r="O3242">
        <v>1652717385</v>
      </c>
      <c r="P3242">
        <v>160</v>
      </c>
      <c r="Q3242" t="s">
        <v>6825</v>
      </c>
    </row>
    <row r="3243" spans="1:17" x14ac:dyDescent="0.3">
      <c r="A3243" t="s">
        <v>4729</v>
      </c>
      <c r="B3243" t="str">
        <f>"002517"</f>
        <v>002517</v>
      </c>
      <c r="C3243" t="s">
        <v>6826</v>
      </c>
      <c r="D3243" t="s">
        <v>517</v>
      </c>
      <c r="F3243">
        <v>3405916875</v>
      </c>
      <c r="G3243">
        <v>2888980872</v>
      </c>
      <c r="H3243">
        <v>2850726892</v>
      </c>
      <c r="I3243">
        <v>4846757816</v>
      </c>
      <c r="J3243">
        <v>4824418098</v>
      </c>
      <c r="K3243">
        <v>3391925491</v>
      </c>
      <c r="L3243">
        <v>768215716</v>
      </c>
      <c r="M3243">
        <v>600111545</v>
      </c>
      <c r="N3243">
        <v>652894029</v>
      </c>
      <c r="O3243">
        <v>648315664</v>
      </c>
      <c r="P3243">
        <v>289</v>
      </c>
      <c r="Q3243" t="s">
        <v>6827</v>
      </c>
    </row>
    <row r="3244" spans="1:17" x14ac:dyDescent="0.3">
      <c r="A3244" t="s">
        <v>4729</v>
      </c>
      <c r="B3244" t="str">
        <f>"002518"</f>
        <v>002518</v>
      </c>
      <c r="C3244" t="s">
        <v>6828</v>
      </c>
      <c r="D3244" t="s">
        <v>880</v>
      </c>
      <c r="F3244">
        <v>3062363704</v>
      </c>
      <c r="G3244">
        <v>2805610824</v>
      </c>
      <c r="H3244">
        <v>2618979219</v>
      </c>
      <c r="I3244">
        <v>2418951168</v>
      </c>
      <c r="J3244">
        <v>2264352031</v>
      </c>
      <c r="K3244">
        <v>1970272265</v>
      </c>
      <c r="L3244">
        <v>1740224609</v>
      </c>
      <c r="M3244">
        <v>1554215745</v>
      </c>
      <c r="N3244">
        <v>1410663868</v>
      </c>
      <c r="O3244">
        <v>1285535829</v>
      </c>
      <c r="P3244">
        <v>401</v>
      </c>
      <c r="Q3244" t="s">
        <v>6829</v>
      </c>
    </row>
    <row r="3245" spans="1:17" x14ac:dyDescent="0.3">
      <c r="A3245" t="s">
        <v>4729</v>
      </c>
      <c r="B3245" t="str">
        <f>"002519"</f>
        <v>002519</v>
      </c>
      <c r="C3245" t="s">
        <v>6830</v>
      </c>
      <c r="D3245" t="s">
        <v>4467</v>
      </c>
      <c r="F3245">
        <v>2881722594</v>
      </c>
      <c r="G3245">
        <v>2809330761</v>
      </c>
      <c r="H3245">
        <v>2533113030</v>
      </c>
      <c r="I3245">
        <v>2389674698</v>
      </c>
      <c r="J3245">
        <v>3614739412</v>
      </c>
      <c r="K3245">
        <v>3658309414</v>
      </c>
      <c r="L3245">
        <v>1947870520</v>
      </c>
      <c r="M3245">
        <v>1973390719</v>
      </c>
      <c r="N3245">
        <v>1144318182</v>
      </c>
      <c r="O3245">
        <v>1082695085</v>
      </c>
      <c r="P3245">
        <v>160</v>
      </c>
      <c r="Q3245" t="s">
        <v>6831</v>
      </c>
    </row>
    <row r="3246" spans="1:17" x14ac:dyDescent="0.3">
      <c r="A3246" t="s">
        <v>4729</v>
      </c>
      <c r="B3246" t="str">
        <f>"002520"</f>
        <v>002520</v>
      </c>
      <c r="C3246" t="s">
        <v>6832</v>
      </c>
      <c r="D3246" t="s">
        <v>2321</v>
      </c>
      <c r="F3246">
        <v>3509440944</v>
      </c>
      <c r="G3246">
        <v>2893366950</v>
      </c>
      <c r="H3246">
        <v>2854060189</v>
      </c>
      <c r="I3246">
        <v>2904506043</v>
      </c>
      <c r="J3246">
        <v>1750124234</v>
      </c>
      <c r="K3246">
        <v>1685345860</v>
      </c>
      <c r="L3246">
        <v>1655162392</v>
      </c>
      <c r="M3246">
        <v>667793421</v>
      </c>
      <c r="N3246">
        <v>619872188</v>
      </c>
      <c r="O3246">
        <v>726848728</v>
      </c>
      <c r="P3246">
        <v>99</v>
      </c>
      <c r="Q3246" t="s">
        <v>6833</v>
      </c>
    </row>
    <row r="3247" spans="1:17" x14ac:dyDescent="0.3">
      <c r="A3247" t="s">
        <v>4729</v>
      </c>
      <c r="B3247" t="str">
        <f>"002521"</f>
        <v>002521</v>
      </c>
      <c r="C3247" t="s">
        <v>6834</v>
      </c>
      <c r="D3247" t="s">
        <v>244</v>
      </c>
      <c r="F3247">
        <v>3586221933</v>
      </c>
      <c r="G3247">
        <v>3470451176</v>
      </c>
      <c r="H3247">
        <v>3483136176</v>
      </c>
      <c r="I3247">
        <v>3376126280</v>
      </c>
      <c r="J3247">
        <v>3416709909</v>
      </c>
      <c r="K3247">
        <v>3404594277</v>
      </c>
      <c r="L3247">
        <v>3351288969</v>
      </c>
      <c r="M3247">
        <v>2566050402</v>
      </c>
      <c r="N3247">
        <v>2279351731</v>
      </c>
      <c r="O3247">
        <v>2115572736</v>
      </c>
      <c r="P3247">
        <v>132</v>
      </c>
      <c r="Q3247" t="s">
        <v>6835</v>
      </c>
    </row>
    <row r="3248" spans="1:17" x14ac:dyDescent="0.3">
      <c r="A3248" t="s">
        <v>4729</v>
      </c>
      <c r="B3248" t="str">
        <f>"002522"</f>
        <v>002522</v>
      </c>
      <c r="C3248" t="s">
        <v>6836</v>
      </c>
      <c r="D3248" t="s">
        <v>324</v>
      </c>
      <c r="F3248">
        <v>2026672397</v>
      </c>
      <c r="G3248">
        <v>1923043042</v>
      </c>
      <c r="H3248">
        <v>1820997342</v>
      </c>
      <c r="I3248">
        <v>1785954949</v>
      </c>
      <c r="J3248">
        <v>1812122883</v>
      </c>
      <c r="K3248">
        <v>1450480814</v>
      </c>
      <c r="L3248">
        <v>1380547253</v>
      </c>
      <c r="M3248">
        <v>1356769319</v>
      </c>
      <c r="N3248">
        <v>1062340975</v>
      </c>
      <c r="O3248">
        <v>1126099517</v>
      </c>
      <c r="P3248">
        <v>367</v>
      </c>
      <c r="Q3248" t="s">
        <v>6837</v>
      </c>
    </row>
    <row r="3249" spans="1:17" x14ac:dyDescent="0.3">
      <c r="A3249" t="s">
        <v>4729</v>
      </c>
      <c r="B3249" t="str">
        <f>"002523"</f>
        <v>002523</v>
      </c>
      <c r="C3249" t="s">
        <v>6838</v>
      </c>
      <c r="D3249" t="s">
        <v>395</v>
      </c>
      <c r="F3249">
        <v>2362535012</v>
      </c>
      <c r="G3249">
        <v>2145562356</v>
      </c>
      <c r="H3249">
        <v>2117570971</v>
      </c>
      <c r="I3249">
        <v>2081449726</v>
      </c>
      <c r="J3249">
        <v>2079347354</v>
      </c>
      <c r="K3249">
        <v>1841019129</v>
      </c>
      <c r="L3249">
        <v>1760234363</v>
      </c>
      <c r="M3249">
        <v>1077716794</v>
      </c>
      <c r="N3249">
        <v>1080655958</v>
      </c>
      <c r="O3249">
        <v>1065841061</v>
      </c>
      <c r="P3249">
        <v>53</v>
      </c>
      <c r="Q3249" t="s">
        <v>6839</v>
      </c>
    </row>
    <row r="3250" spans="1:17" x14ac:dyDescent="0.3">
      <c r="A3250" t="s">
        <v>4729</v>
      </c>
      <c r="B3250" t="str">
        <f>"002524"</f>
        <v>002524</v>
      </c>
      <c r="C3250" t="s">
        <v>6840</v>
      </c>
      <c r="D3250" t="s">
        <v>1147</v>
      </c>
      <c r="F3250">
        <v>346292934</v>
      </c>
      <c r="G3250">
        <v>324981969</v>
      </c>
      <c r="H3250">
        <v>888217713</v>
      </c>
      <c r="I3250">
        <v>811863449</v>
      </c>
      <c r="J3250">
        <v>765382247</v>
      </c>
      <c r="K3250">
        <v>736649222</v>
      </c>
      <c r="L3250">
        <v>781579263</v>
      </c>
      <c r="M3250">
        <v>766776713</v>
      </c>
      <c r="N3250">
        <v>850342847</v>
      </c>
      <c r="O3250">
        <v>512767972</v>
      </c>
      <c r="P3250">
        <v>180</v>
      </c>
      <c r="Q3250" t="s">
        <v>6841</v>
      </c>
    </row>
    <row r="3251" spans="1:17" x14ac:dyDescent="0.3">
      <c r="A3251" t="s">
        <v>4729</v>
      </c>
      <c r="B3251" t="str">
        <f>"002526"</f>
        <v>002526</v>
      </c>
      <c r="C3251" t="s">
        <v>6842</v>
      </c>
      <c r="D3251" t="s">
        <v>395</v>
      </c>
      <c r="F3251">
        <v>2766201830</v>
      </c>
      <c r="G3251">
        <v>2725349888</v>
      </c>
      <c r="H3251">
        <v>2632200541</v>
      </c>
      <c r="I3251">
        <v>2441970662</v>
      </c>
      <c r="J3251">
        <v>2278644257</v>
      </c>
      <c r="K3251">
        <v>1701584258</v>
      </c>
      <c r="L3251">
        <v>1692466960</v>
      </c>
      <c r="M3251">
        <v>1950755844</v>
      </c>
      <c r="N3251">
        <v>1963668632</v>
      </c>
      <c r="O3251">
        <v>1939203857</v>
      </c>
      <c r="P3251">
        <v>103</v>
      </c>
      <c r="Q3251" t="s">
        <v>6843</v>
      </c>
    </row>
    <row r="3252" spans="1:17" x14ac:dyDescent="0.3">
      <c r="A3252" t="s">
        <v>4729</v>
      </c>
      <c r="B3252" t="str">
        <f>"002527"</f>
        <v>002527</v>
      </c>
      <c r="C3252" t="s">
        <v>6844</v>
      </c>
      <c r="D3252" t="s">
        <v>2938</v>
      </c>
      <c r="F3252">
        <v>3068973232</v>
      </c>
      <c r="G3252">
        <v>2541426964</v>
      </c>
      <c r="H3252">
        <v>2494950380</v>
      </c>
      <c r="I3252">
        <v>2491088517</v>
      </c>
      <c r="J3252">
        <v>2794473327</v>
      </c>
      <c r="K3252">
        <v>2718909523</v>
      </c>
      <c r="L3252">
        <v>2184775701</v>
      </c>
      <c r="M3252">
        <v>2040945186</v>
      </c>
      <c r="N3252">
        <v>1532236121</v>
      </c>
      <c r="O3252">
        <v>1398761079</v>
      </c>
      <c r="P3252">
        <v>161</v>
      </c>
      <c r="Q3252" t="s">
        <v>6845</v>
      </c>
    </row>
    <row r="3253" spans="1:17" x14ac:dyDescent="0.3">
      <c r="A3253" t="s">
        <v>4729</v>
      </c>
      <c r="B3253" t="str">
        <f>"002528"</f>
        <v>002528</v>
      </c>
      <c r="C3253" t="s">
        <v>6846</v>
      </c>
      <c r="D3253" t="s">
        <v>2980</v>
      </c>
      <c r="F3253">
        <v>2328133939</v>
      </c>
      <c r="G3253">
        <v>3796464688</v>
      </c>
      <c r="H3253">
        <v>3775399713</v>
      </c>
      <c r="I3253">
        <v>3657839401</v>
      </c>
      <c r="J3253">
        <v>2919460973</v>
      </c>
      <c r="K3253">
        <v>2879685387</v>
      </c>
      <c r="L3253">
        <v>2394885528</v>
      </c>
      <c r="M3253">
        <v>2172997618</v>
      </c>
      <c r="N3253">
        <v>2183987057</v>
      </c>
      <c r="O3253">
        <v>2207155809</v>
      </c>
      <c r="P3253">
        <v>169</v>
      </c>
      <c r="Q3253" t="s">
        <v>6847</v>
      </c>
    </row>
    <row r="3254" spans="1:17" x14ac:dyDescent="0.3">
      <c r="A3254" t="s">
        <v>4729</v>
      </c>
      <c r="B3254" t="str">
        <f>"002529"</f>
        <v>002529</v>
      </c>
      <c r="C3254" t="s">
        <v>6848</v>
      </c>
      <c r="D3254" t="s">
        <v>741</v>
      </c>
      <c r="F3254">
        <v>748520545</v>
      </c>
      <c r="G3254">
        <v>856933501</v>
      </c>
      <c r="H3254">
        <v>823146363</v>
      </c>
      <c r="I3254">
        <v>1393179781</v>
      </c>
      <c r="J3254">
        <v>1567636402</v>
      </c>
      <c r="K3254">
        <v>1560375161</v>
      </c>
      <c r="L3254">
        <v>998946957</v>
      </c>
      <c r="M3254">
        <v>995438309</v>
      </c>
      <c r="N3254">
        <v>997530297</v>
      </c>
      <c r="O3254">
        <v>992934330</v>
      </c>
      <c r="P3254">
        <v>68</v>
      </c>
      <c r="Q3254" t="s">
        <v>6849</v>
      </c>
    </row>
    <row r="3255" spans="1:17" x14ac:dyDescent="0.3">
      <c r="A3255" t="s">
        <v>4729</v>
      </c>
      <c r="B3255" t="str">
        <f>"002530"</f>
        <v>002530</v>
      </c>
      <c r="C3255" t="s">
        <v>6850</v>
      </c>
      <c r="D3255" t="s">
        <v>316</v>
      </c>
      <c r="F3255">
        <v>1716687403</v>
      </c>
      <c r="G3255">
        <v>2115025530</v>
      </c>
      <c r="H3255">
        <v>3375976593</v>
      </c>
      <c r="I3255">
        <v>4181261490</v>
      </c>
      <c r="J3255">
        <v>3931752339</v>
      </c>
      <c r="K3255">
        <v>3701873084</v>
      </c>
      <c r="L3255">
        <v>696374132</v>
      </c>
      <c r="M3255">
        <v>670748274</v>
      </c>
      <c r="N3255">
        <v>650519989</v>
      </c>
      <c r="O3255">
        <v>623533384</v>
      </c>
      <c r="P3255">
        <v>135</v>
      </c>
      <c r="Q3255" t="s">
        <v>6851</v>
      </c>
    </row>
    <row r="3256" spans="1:17" x14ac:dyDescent="0.3">
      <c r="A3256" t="s">
        <v>4729</v>
      </c>
      <c r="B3256" t="str">
        <f>"002531"</f>
        <v>002531</v>
      </c>
      <c r="C3256" t="s">
        <v>6852</v>
      </c>
      <c r="D3256" t="s">
        <v>950</v>
      </c>
      <c r="F3256">
        <v>7776355631</v>
      </c>
      <c r="G3256">
        <v>6680115517</v>
      </c>
      <c r="H3256">
        <v>5809885482</v>
      </c>
      <c r="I3256">
        <v>5220903119</v>
      </c>
      <c r="J3256">
        <v>4853135176</v>
      </c>
      <c r="K3256">
        <v>4592050863</v>
      </c>
      <c r="L3256">
        <v>2259030225</v>
      </c>
      <c r="M3256">
        <v>2003667650</v>
      </c>
      <c r="N3256">
        <v>1888109825</v>
      </c>
      <c r="O3256">
        <v>1777231771</v>
      </c>
      <c r="P3256">
        <v>599</v>
      </c>
      <c r="Q3256" t="s">
        <v>6853</v>
      </c>
    </row>
    <row r="3257" spans="1:17" x14ac:dyDescent="0.3">
      <c r="A3257" t="s">
        <v>4729</v>
      </c>
      <c r="B3257" t="str">
        <f>"002532"</f>
        <v>002532</v>
      </c>
      <c r="C3257" t="s">
        <v>6854</v>
      </c>
      <c r="D3257" t="s">
        <v>504</v>
      </c>
      <c r="F3257">
        <v>21266624993</v>
      </c>
      <c r="G3257">
        <v>19296248828</v>
      </c>
      <c r="H3257">
        <v>1409651648</v>
      </c>
      <c r="I3257">
        <v>1379817028</v>
      </c>
      <c r="J3257">
        <v>1414905170</v>
      </c>
      <c r="K3257">
        <v>1300169591</v>
      </c>
      <c r="L3257">
        <v>1207336754</v>
      </c>
      <c r="M3257">
        <v>1086113229</v>
      </c>
      <c r="N3257">
        <v>1010132946</v>
      </c>
      <c r="O3257">
        <v>900558599</v>
      </c>
      <c r="P3257">
        <v>424</v>
      </c>
      <c r="Q3257" t="s">
        <v>6855</v>
      </c>
    </row>
    <row r="3258" spans="1:17" x14ac:dyDescent="0.3">
      <c r="A3258" t="s">
        <v>4729</v>
      </c>
      <c r="B3258" t="str">
        <f>"002533"</f>
        <v>002533</v>
      </c>
      <c r="C3258" t="s">
        <v>6856</v>
      </c>
      <c r="D3258" t="s">
        <v>1164</v>
      </c>
      <c r="F3258">
        <v>3473472954</v>
      </c>
      <c r="G3258">
        <v>3320559229</v>
      </c>
      <c r="H3258">
        <v>2484341651</v>
      </c>
      <c r="I3258">
        <v>2345857505</v>
      </c>
      <c r="J3258">
        <v>2306004724</v>
      </c>
      <c r="K3258">
        <v>2226602518</v>
      </c>
      <c r="L3258">
        <v>2036859851</v>
      </c>
      <c r="M3258">
        <v>1962582599</v>
      </c>
      <c r="N3258">
        <v>1819134481</v>
      </c>
      <c r="O3258">
        <v>1769242189</v>
      </c>
      <c r="P3258">
        <v>192</v>
      </c>
      <c r="Q3258" t="s">
        <v>6857</v>
      </c>
    </row>
    <row r="3259" spans="1:17" x14ac:dyDescent="0.3">
      <c r="A3259" t="s">
        <v>4729</v>
      </c>
      <c r="B3259" t="str">
        <f>"002534"</f>
        <v>002534</v>
      </c>
      <c r="C3259" t="s">
        <v>6858</v>
      </c>
      <c r="D3259" t="s">
        <v>470</v>
      </c>
      <c r="F3259">
        <v>3504150605</v>
      </c>
      <c r="G3259">
        <v>3383512273</v>
      </c>
      <c r="H3259">
        <v>3252353042</v>
      </c>
      <c r="I3259">
        <v>3112015073</v>
      </c>
      <c r="J3259">
        <v>2981384143</v>
      </c>
      <c r="K3259">
        <v>2610082979</v>
      </c>
      <c r="L3259">
        <v>2443147653</v>
      </c>
      <c r="M3259">
        <v>2646824318</v>
      </c>
      <c r="N3259">
        <v>2617795933</v>
      </c>
      <c r="O3259">
        <v>2628219922</v>
      </c>
      <c r="P3259">
        <v>191</v>
      </c>
      <c r="Q3259" t="s">
        <v>6859</v>
      </c>
    </row>
    <row r="3260" spans="1:17" x14ac:dyDescent="0.3">
      <c r="A3260" t="s">
        <v>4729</v>
      </c>
      <c r="B3260" t="str">
        <f>"002535"</f>
        <v>002535</v>
      </c>
      <c r="C3260" t="s">
        <v>6860</v>
      </c>
      <c r="D3260" t="s">
        <v>395</v>
      </c>
      <c r="F3260">
        <v>394310552</v>
      </c>
      <c r="G3260">
        <v>823069794</v>
      </c>
      <c r="H3260">
        <v>787185540</v>
      </c>
      <c r="I3260">
        <v>2780371284</v>
      </c>
      <c r="J3260">
        <v>2920777978</v>
      </c>
      <c r="K3260">
        <v>2951185511</v>
      </c>
      <c r="L3260">
        <v>2939867653</v>
      </c>
      <c r="M3260">
        <v>2168502509</v>
      </c>
      <c r="N3260">
        <v>2187671006</v>
      </c>
      <c r="O3260">
        <v>2050860485</v>
      </c>
      <c r="P3260">
        <v>89</v>
      </c>
      <c r="Q3260" t="s">
        <v>6861</v>
      </c>
    </row>
    <row r="3261" spans="1:17" x14ac:dyDescent="0.3">
      <c r="A3261" t="s">
        <v>4729</v>
      </c>
      <c r="B3261" t="str">
        <f>"002536"</f>
        <v>002536</v>
      </c>
      <c r="C3261" t="s">
        <v>6862</v>
      </c>
      <c r="D3261" t="s">
        <v>348</v>
      </c>
      <c r="F3261">
        <v>2264845928</v>
      </c>
      <c r="G3261">
        <v>2172751285</v>
      </c>
      <c r="H3261">
        <v>2091919621</v>
      </c>
      <c r="I3261">
        <v>2193856030</v>
      </c>
      <c r="J3261">
        <v>2048606305</v>
      </c>
      <c r="K3261">
        <v>1840435019</v>
      </c>
      <c r="L3261">
        <v>1755790081</v>
      </c>
      <c r="M3261">
        <v>1186465899</v>
      </c>
      <c r="N3261">
        <v>1165242975</v>
      </c>
      <c r="O3261">
        <v>1158071872</v>
      </c>
      <c r="P3261">
        <v>254</v>
      </c>
      <c r="Q3261" t="s">
        <v>6863</v>
      </c>
    </row>
    <row r="3262" spans="1:17" x14ac:dyDescent="0.3">
      <c r="A3262" t="s">
        <v>4729</v>
      </c>
      <c r="B3262" t="str">
        <f>"002537"</f>
        <v>002537</v>
      </c>
      <c r="C3262" t="s">
        <v>6864</v>
      </c>
      <c r="D3262" t="s">
        <v>191</v>
      </c>
      <c r="F3262">
        <v>4301600761</v>
      </c>
      <c r="G3262">
        <v>4028815922</v>
      </c>
      <c r="H3262">
        <v>3813278950</v>
      </c>
      <c r="I3262">
        <v>6527353511</v>
      </c>
      <c r="J3262">
        <v>6967479623</v>
      </c>
      <c r="K3262">
        <v>6584367007</v>
      </c>
      <c r="L3262">
        <v>1473000211</v>
      </c>
      <c r="M3262">
        <v>1407894785</v>
      </c>
      <c r="N3262">
        <v>1399583602</v>
      </c>
      <c r="O3262">
        <v>1337246060</v>
      </c>
      <c r="P3262">
        <v>182</v>
      </c>
      <c r="Q3262" t="s">
        <v>6865</v>
      </c>
    </row>
    <row r="3263" spans="1:17" x14ac:dyDescent="0.3">
      <c r="A3263" t="s">
        <v>4729</v>
      </c>
      <c r="B3263" t="str">
        <f>"002538"</f>
        <v>002538</v>
      </c>
      <c r="C3263" t="s">
        <v>6866</v>
      </c>
      <c r="D3263" t="s">
        <v>5562</v>
      </c>
      <c r="F3263">
        <v>5038338054</v>
      </c>
      <c r="G3263">
        <v>3920864634</v>
      </c>
      <c r="H3263">
        <v>3683919437</v>
      </c>
      <c r="I3263">
        <v>3518652126</v>
      </c>
      <c r="J3263">
        <v>3326952560</v>
      </c>
      <c r="K3263">
        <v>3185020142</v>
      </c>
      <c r="L3263">
        <v>3011882618</v>
      </c>
      <c r="M3263">
        <v>1766758396</v>
      </c>
      <c r="N3263">
        <v>1652289910</v>
      </c>
      <c r="O3263">
        <v>1570286866</v>
      </c>
      <c r="P3263">
        <v>174</v>
      </c>
      <c r="Q3263" t="s">
        <v>6867</v>
      </c>
    </row>
    <row r="3264" spans="1:17" x14ac:dyDescent="0.3">
      <c r="A3264" t="s">
        <v>4729</v>
      </c>
      <c r="B3264" t="str">
        <f>"002539"</f>
        <v>002539</v>
      </c>
      <c r="C3264" t="s">
        <v>6868</v>
      </c>
      <c r="D3264" t="s">
        <v>5562</v>
      </c>
      <c r="F3264">
        <v>4482528915</v>
      </c>
      <c r="G3264">
        <v>3442326088</v>
      </c>
      <c r="H3264">
        <v>3215527194</v>
      </c>
      <c r="I3264">
        <v>3104374990</v>
      </c>
      <c r="J3264">
        <v>3067897544</v>
      </c>
      <c r="K3264">
        <v>3040345397</v>
      </c>
      <c r="L3264">
        <v>2981244439</v>
      </c>
      <c r="M3264">
        <v>2326738958</v>
      </c>
      <c r="N3264">
        <v>2283826143</v>
      </c>
      <c r="O3264">
        <v>2255123383</v>
      </c>
      <c r="P3264">
        <v>240</v>
      </c>
      <c r="Q3264" t="s">
        <v>6869</v>
      </c>
    </row>
    <row r="3265" spans="1:17" x14ac:dyDescent="0.3">
      <c r="A3265" t="s">
        <v>4729</v>
      </c>
      <c r="B3265" t="str">
        <f>"002540"</f>
        <v>002540</v>
      </c>
      <c r="C3265" t="s">
        <v>6870</v>
      </c>
      <c r="D3265" t="s">
        <v>504</v>
      </c>
      <c r="F3265">
        <v>5015048366</v>
      </c>
      <c r="G3265">
        <v>4628950914</v>
      </c>
      <c r="H3265">
        <v>4620685855</v>
      </c>
      <c r="I3265">
        <v>4892910445</v>
      </c>
      <c r="J3265">
        <v>4659851428</v>
      </c>
      <c r="K3265">
        <v>2950670921</v>
      </c>
      <c r="L3265">
        <v>2706394233</v>
      </c>
      <c r="M3265">
        <v>2465422856</v>
      </c>
      <c r="N3265">
        <v>2326643596</v>
      </c>
      <c r="O3265">
        <v>2220631397</v>
      </c>
      <c r="P3265">
        <v>161</v>
      </c>
      <c r="Q3265" t="s">
        <v>6871</v>
      </c>
    </row>
    <row r="3266" spans="1:17" x14ac:dyDescent="0.3">
      <c r="A3266" t="s">
        <v>4729</v>
      </c>
      <c r="B3266" t="str">
        <f>"002541"</f>
        <v>002541</v>
      </c>
      <c r="C3266" t="s">
        <v>6872</v>
      </c>
      <c r="D3266" t="s">
        <v>978</v>
      </c>
      <c r="F3266">
        <v>6980868966</v>
      </c>
      <c r="G3266">
        <v>5631441523</v>
      </c>
      <c r="H3266">
        <v>4938020823</v>
      </c>
      <c r="I3266">
        <v>4423420501</v>
      </c>
      <c r="J3266">
        <v>4030059848</v>
      </c>
      <c r="K3266">
        <v>3838003867</v>
      </c>
      <c r="L3266">
        <v>2521415276</v>
      </c>
      <c r="M3266">
        <v>2363440108</v>
      </c>
      <c r="N3266">
        <v>2244236856</v>
      </c>
      <c r="O3266">
        <v>2089437594</v>
      </c>
      <c r="P3266">
        <v>443</v>
      </c>
      <c r="Q3266" t="s">
        <v>6873</v>
      </c>
    </row>
    <row r="3267" spans="1:17" x14ac:dyDescent="0.3">
      <c r="A3267" t="s">
        <v>4729</v>
      </c>
      <c r="B3267" t="str">
        <f>"002542"</f>
        <v>002542</v>
      </c>
      <c r="C3267" t="s">
        <v>6874</v>
      </c>
      <c r="D3267" t="s">
        <v>1992</v>
      </c>
      <c r="F3267">
        <v>3496605435</v>
      </c>
      <c r="G3267">
        <v>3915352659</v>
      </c>
      <c r="H3267">
        <v>3948371025</v>
      </c>
      <c r="I3267">
        <v>3714658853</v>
      </c>
      <c r="J3267">
        <v>3462796196</v>
      </c>
      <c r="K3267">
        <v>3255394541</v>
      </c>
      <c r="L3267">
        <v>2604136468</v>
      </c>
      <c r="M3267">
        <v>1670340209</v>
      </c>
      <c r="N3267">
        <v>848730235</v>
      </c>
      <c r="O3267">
        <v>792055077</v>
      </c>
      <c r="P3267">
        <v>161</v>
      </c>
      <c r="Q3267" t="s">
        <v>6875</v>
      </c>
    </row>
    <row r="3268" spans="1:17" x14ac:dyDescent="0.3">
      <c r="A3268" t="s">
        <v>4729</v>
      </c>
      <c r="B3268" t="str">
        <f>"002543"</f>
        <v>002543</v>
      </c>
      <c r="C3268" t="s">
        <v>6876</v>
      </c>
      <c r="D3268" t="s">
        <v>2892</v>
      </c>
      <c r="F3268">
        <v>4008724625</v>
      </c>
      <c r="G3268">
        <v>4064520647</v>
      </c>
      <c r="H3268">
        <v>3732228823</v>
      </c>
      <c r="I3268">
        <v>3284846889</v>
      </c>
      <c r="J3268">
        <v>3015736104</v>
      </c>
      <c r="K3268">
        <v>2923447272</v>
      </c>
      <c r="L3268">
        <v>2820518606</v>
      </c>
      <c r="M3268">
        <v>2580477073</v>
      </c>
      <c r="N3268">
        <v>2497475509</v>
      </c>
      <c r="O3268">
        <v>2310229223</v>
      </c>
      <c r="P3268">
        <v>434</v>
      </c>
      <c r="Q3268" t="s">
        <v>6877</v>
      </c>
    </row>
    <row r="3269" spans="1:17" x14ac:dyDescent="0.3">
      <c r="A3269" t="s">
        <v>4729</v>
      </c>
      <c r="B3269" t="str">
        <f>"002544"</f>
        <v>002544</v>
      </c>
      <c r="C3269" t="s">
        <v>6878</v>
      </c>
      <c r="D3269" t="s">
        <v>654</v>
      </c>
      <c r="F3269">
        <v>3611197818</v>
      </c>
      <c r="G3269">
        <v>3516665649</v>
      </c>
      <c r="H3269">
        <v>2077679686</v>
      </c>
      <c r="I3269">
        <v>2047759070</v>
      </c>
      <c r="J3269">
        <v>2114588089</v>
      </c>
      <c r="K3269">
        <v>1323678654</v>
      </c>
      <c r="L3269">
        <v>1228531133</v>
      </c>
      <c r="M3269">
        <v>1134660343</v>
      </c>
      <c r="N3269">
        <v>1066969997</v>
      </c>
      <c r="O3269">
        <v>1011442329</v>
      </c>
      <c r="P3269">
        <v>324</v>
      </c>
      <c r="Q3269" t="s">
        <v>6879</v>
      </c>
    </row>
    <row r="3270" spans="1:17" x14ac:dyDescent="0.3">
      <c r="A3270" t="s">
        <v>4729</v>
      </c>
      <c r="B3270" t="str">
        <f>"002545"</f>
        <v>002545</v>
      </c>
      <c r="C3270" t="s">
        <v>6880</v>
      </c>
      <c r="D3270" t="s">
        <v>978</v>
      </c>
      <c r="F3270">
        <v>7939201473</v>
      </c>
      <c r="G3270">
        <v>7821889017</v>
      </c>
      <c r="H3270">
        <v>7703745339</v>
      </c>
      <c r="I3270">
        <v>7464720084</v>
      </c>
      <c r="J3270">
        <v>7026117030</v>
      </c>
      <c r="K3270">
        <v>6851756128</v>
      </c>
      <c r="L3270">
        <v>2561076496</v>
      </c>
      <c r="M3270">
        <v>2854306384</v>
      </c>
      <c r="N3270">
        <v>2825462013</v>
      </c>
      <c r="O3270">
        <v>2706434511</v>
      </c>
      <c r="P3270">
        <v>138</v>
      </c>
      <c r="Q3270" t="s">
        <v>6881</v>
      </c>
    </row>
    <row r="3271" spans="1:17" x14ac:dyDescent="0.3">
      <c r="A3271" t="s">
        <v>4729</v>
      </c>
      <c r="B3271" t="str">
        <f>"002546"</f>
        <v>002546</v>
      </c>
      <c r="C3271" t="s">
        <v>6882</v>
      </c>
      <c r="D3271" t="s">
        <v>2180</v>
      </c>
      <c r="F3271">
        <v>3275746644</v>
      </c>
      <c r="G3271">
        <v>3164066051</v>
      </c>
      <c r="H3271">
        <v>2972800459</v>
      </c>
      <c r="I3271">
        <v>2903706411</v>
      </c>
      <c r="J3271">
        <v>2843129381</v>
      </c>
      <c r="K3271">
        <v>2735139908</v>
      </c>
      <c r="L3271">
        <v>1398390818</v>
      </c>
      <c r="M3271">
        <v>1317547465</v>
      </c>
      <c r="N3271">
        <v>1231070680</v>
      </c>
      <c r="O3271">
        <v>1149966819</v>
      </c>
      <c r="P3271">
        <v>76</v>
      </c>
      <c r="Q3271" t="s">
        <v>6883</v>
      </c>
    </row>
    <row r="3272" spans="1:17" x14ac:dyDescent="0.3">
      <c r="A3272" t="s">
        <v>4729</v>
      </c>
      <c r="B3272" t="str">
        <f>"002547"</f>
        <v>002547</v>
      </c>
      <c r="C3272" t="s">
        <v>6884</v>
      </c>
      <c r="D3272" t="s">
        <v>313</v>
      </c>
      <c r="F3272">
        <v>628553106</v>
      </c>
      <c r="G3272">
        <v>1662687123</v>
      </c>
      <c r="H3272">
        <v>2740305082</v>
      </c>
      <c r="I3272">
        <v>2724656929</v>
      </c>
      <c r="J3272">
        <v>2684100985</v>
      </c>
      <c r="K3272">
        <v>2018717664</v>
      </c>
      <c r="L3272">
        <v>1872410727</v>
      </c>
      <c r="M3272">
        <v>1706374349</v>
      </c>
      <c r="N3272">
        <v>789956091</v>
      </c>
      <c r="O3272">
        <v>758854367</v>
      </c>
      <c r="P3272">
        <v>306</v>
      </c>
      <c r="Q3272" t="s">
        <v>6885</v>
      </c>
    </row>
    <row r="3273" spans="1:17" x14ac:dyDescent="0.3">
      <c r="A3273" t="s">
        <v>4729</v>
      </c>
      <c r="B3273" t="str">
        <f>"002548"</f>
        <v>002548</v>
      </c>
      <c r="C3273" t="s">
        <v>6886</v>
      </c>
      <c r="D3273" t="s">
        <v>2886</v>
      </c>
      <c r="F3273">
        <v>1613143026</v>
      </c>
      <c r="G3273">
        <v>2606547282</v>
      </c>
      <c r="H3273">
        <v>1797545661</v>
      </c>
      <c r="I3273">
        <v>1124035540</v>
      </c>
      <c r="J3273">
        <v>1636103773</v>
      </c>
      <c r="K3273">
        <v>1650471001</v>
      </c>
      <c r="L3273">
        <v>1548528268</v>
      </c>
      <c r="M3273">
        <v>810023640</v>
      </c>
      <c r="N3273">
        <v>805405530</v>
      </c>
      <c r="O3273">
        <v>805581882</v>
      </c>
      <c r="P3273">
        <v>260</v>
      </c>
      <c r="Q3273" t="s">
        <v>6887</v>
      </c>
    </row>
    <row r="3274" spans="1:17" x14ac:dyDescent="0.3">
      <c r="A3274" t="s">
        <v>4729</v>
      </c>
      <c r="B3274" t="str">
        <f>"002549"</f>
        <v>002549</v>
      </c>
      <c r="C3274" t="s">
        <v>6888</v>
      </c>
      <c r="D3274" t="s">
        <v>386</v>
      </c>
      <c r="F3274">
        <v>1087305136</v>
      </c>
      <c r="G3274">
        <v>978286747</v>
      </c>
      <c r="H3274">
        <v>969113603</v>
      </c>
      <c r="I3274">
        <v>940589987</v>
      </c>
      <c r="J3274">
        <v>875359955</v>
      </c>
      <c r="K3274">
        <v>879602120</v>
      </c>
      <c r="L3274">
        <v>859588538</v>
      </c>
      <c r="M3274">
        <v>826857133</v>
      </c>
      <c r="N3274">
        <v>795697936</v>
      </c>
      <c r="O3274">
        <v>753413593</v>
      </c>
      <c r="P3274">
        <v>172</v>
      </c>
      <c r="Q3274" t="s">
        <v>6889</v>
      </c>
    </row>
    <row r="3275" spans="1:17" x14ac:dyDescent="0.3">
      <c r="A3275" t="s">
        <v>4729</v>
      </c>
      <c r="B3275" t="str">
        <f>"002550"</f>
        <v>002550</v>
      </c>
      <c r="C3275" t="s">
        <v>6890</v>
      </c>
      <c r="D3275" t="s">
        <v>143</v>
      </c>
      <c r="F3275">
        <v>2127250479</v>
      </c>
      <c r="G3275">
        <v>2079989812</v>
      </c>
      <c r="H3275">
        <v>2331861746</v>
      </c>
      <c r="I3275">
        <v>2529786332</v>
      </c>
      <c r="J3275">
        <v>2437036286</v>
      </c>
      <c r="K3275">
        <v>2400623431</v>
      </c>
      <c r="L3275">
        <v>2274186482</v>
      </c>
      <c r="M3275">
        <v>2099073584</v>
      </c>
      <c r="N3275">
        <v>1934036851</v>
      </c>
      <c r="O3275">
        <v>1827015110</v>
      </c>
      <c r="P3275">
        <v>172</v>
      </c>
      <c r="Q3275" t="s">
        <v>6891</v>
      </c>
    </row>
    <row r="3276" spans="1:17" x14ac:dyDescent="0.3">
      <c r="A3276" t="s">
        <v>4729</v>
      </c>
      <c r="B3276" t="str">
        <f>"002551"</f>
        <v>002551</v>
      </c>
      <c r="C3276" t="s">
        <v>6892</v>
      </c>
      <c r="D3276" t="s">
        <v>1077</v>
      </c>
      <c r="F3276">
        <v>3116551279</v>
      </c>
      <c r="G3276">
        <v>2977173164</v>
      </c>
      <c r="H3276">
        <v>2320255993</v>
      </c>
      <c r="I3276">
        <v>2320697196</v>
      </c>
      <c r="J3276">
        <v>2251368265</v>
      </c>
      <c r="K3276">
        <v>1764151341</v>
      </c>
      <c r="L3276">
        <v>1430411651</v>
      </c>
      <c r="M3276">
        <v>1364011637</v>
      </c>
      <c r="N3276">
        <v>1250378284</v>
      </c>
      <c r="O3276">
        <v>1213472982</v>
      </c>
      <c r="P3276">
        <v>242</v>
      </c>
      <c r="Q3276" t="s">
        <v>6893</v>
      </c>
    </row>
    <row r="3277" spans="1:17" x14ac:dyDescent="0.3">
      <c r="A3277" t="s">
        <v>4729</v>
      </c>
      <c r="B3277" t="str">
        <f>"002552"</f>
        <v>002552</v>
      </c>
      <c r="C3277" t="s">
        <v>6894</v>
      </c>
      <c r="D3277" t="s">
        <v>274</v>
      </c>
      <c r="F3277">
        <v>676510980</v>
      </c>
      <c r="G3277">
        <v>670143917</v>
      </c>
      <c r="H3277">
        <v>662561327</v>
      </c>
      <c r="I3277">
        <v>606493754</v>
      </c>
      <c r="J3277">
        <v>592966336</v>
      </c>
      <c r="K3277">
        <v>716220375</v>
      </c>
      <c r="L3277">
        <v>808050264</v>
      </c>
      <c r="M3277">
        <v>809808994</v>
      </c>
      <c r="N3277">
        <v>803055721</v>
      </c>
      <c r="O3277">
        <v>805911171</v>
      </c>
      <c r="P3277">
        <v>83</v>
      </c>
      <c r="Q3277" t="s">
        <v>6895</v>
      </c>
    </row>
    <row r="3278" spans="1:17" x14ac:dyDescent="0.3">
      <c r="A3278" t="s">
        <v>4729</v>
      </c>
      <c r="B3278" t="str">
        <f>"002553"</f>
        <v>002553</v>
      </c>
      <c r="C3278" t="s">
        <v>6896</v>
      </c>
      <c r="D3278" t="s">
        <v>348</v>
      </c>
      <c r="F3278">
        <v>1206523412</v>
      </c>
      <c r="G3278">
        <v>1045211710</v>
      </c>
      <c r="H3278">
        <v>686634085</v>
      </c>
      <c r="I3278">
        <v>722418958</v>
      </c>
      <c r="J3278">
        <v>701847003</v>
      </c>
      <c r="K3278">
        <v>692878722</v>
      </c>
      <c r="L3278">
        <v>655400891</v>
      </c>
      <c r="M3278">
        <v>624978726</v>
      </c>
      <c r="N3278">
        <v>598860537</v>
      </c>
      <c r="O3278">
        <v>560365622</v>
      </c>
      <c r="P3278">
        <v>140</v>
      </c>
      <c r="Q3278" t="s">
        <v>6897</v>
      </c>
    </row>
    <row r="3279" spans="1:17" x14ac:dyDescent="0.3">
      <c r="A3279" t="s">
        <v>4729</v>
      </c>
      <c r="B3279" t="str">
        <f>"002554"</f>
        <v>002554</v>
      </c>
      <c r="C3279" t="s">
        <v>6898</v>
      </c>
      <c r="D3279" t="s">
        <v>762</v>
      </c>
      <c r="F3279">
        <v>2315385962</v>
      </c>
      <c r="G3279">
        <v>2205140052</v>
      </c>
      <c r="H3279">
        <v>1769519656</v>
      </c>
      <c r="I3279">
        <v>1679116869</v>
      </c>
      <c r="J3279">
        <v>2140839225</v>
      </c>
      <c r="K3279">
        <v>2152227402</v>
      </c>
      <c r="L3279">
        <v>2084364296</v>
      </c>
      <c r="M3279">
        <v>1440920720</v>
      </c>
      <c r="N3279">
        <v>1308610563</v>
      </c>
      <c r="O3279">
        <v>1225931344</v>
      </c>
      <c r="P3279">
        <v>112</v>
      </c>
      <c r="Q3279" t="s">
        <v>6899</v>
      </c>
    </row>
    <row r="3280" spans="1:17" x14ac:dyDescent="0.3">
      <c r="A3280" t="s">
        <v>4729</v>
      </c>
      <c r="B3280" t="str">
        <f>"002555"</f>
        <v>002555</v>
      </c>
      <c r="C3280" t="s">
        <v>6900</v>
      </c>
      <c r="D3280" t="s">
        <v>517</v>
      </c>
      <c r="F3280">
        <v>10773716314</v>
      </c>
      <c r="G3280">
        <v>6037383626</v>
      </c>
      <c r="H3280">
        <v>7029307859</v>
      </c>
      <c r="I3280">
        <v>5972675406</v>
      </c>
      <c r="J3280">
        <v>7014822364</v>
      </c>
      <c r="K3280">
        <v>4521717435</v>
      </c>
      <c r="L3280">
        <v>3563355145</v>
      </c>
      <c r="M3280">
        <v>2644746835</v>
      </c>
      <c r="N3280">
        <v>737538768</v>
      </c>
      <c r="O3280">
        <v>774057605</v>
      </c>
      <c r="P3280">
        <v>2918</v>
      </c>
      <c r="Q3280" t="s">
        <v>6901</v>
      </c>
    </row>
    <row r="3281" spans="1:17" x14ac:dyDescent="0.3">
      <c r="A3281" t="s">
        <v>4729</v>
      </c>
      <c r="B3281" t="str">
        <f>"002556"</f>
        <v>002556</v>
      </c>
      <c r="C3281" t="s">
        <v>6902</v>
      </c>
      <c r="D3281" t="s">
        <v>6903</v>
      </c>
      <c r="F3281">
        <v>3844100045</v>
      </c>
      <c r="G3281">
        <v>3127658254</v>
      </c>
      <c r="H3281">
        <v>2576534631</v>
      </c>
      <c r="I3281">
        <v>2382205564</v>
      </c>
      <c r="J3281">
        <v>2267451825</v>
      </c>
      <c r="K3281">
        <v>2206150590</v>
      </c>
      <c r="L3281">
        <v>2149337721</v>
      </c>
      <c r="M3281">
        <v>2024990921</v>
      </c>
      <c r="N3281">
        <v>1929095050</v>
      </c>
      <c r="O3281">
        <v>1888803415</v>
      </c>
      <c r="P3281">
        <v>110</v>
      </c>
      <c r="Q3281" t="s">
        <v>6904</v>
      </c>
    </row>
    <row r="3282" spans="1:17" x14ac:dyDescent="0.3">
      <c r="A3282" t="s">
        <v>4729</v>
      </c>
      <c r="B3282" t="str">
        <f>"002557"</f>
        <v>002557</v>
      </c>
      <c r="C3282" t="s">
        <v>6905</v>
      </c>
      <c r="D3282" t="s">
        <v>3194</v>
      </c>
      <c r="F3282">
        <v>4689348576</v>
      </c>
      <c r="G3282">
        <v>4102149403</v>
      </c>
      <c r="H3282">
        <v>3654291819</v>
      </c>
      <c r="I3282">
        <v>3326154268</v>
      </c>
      <c r="J3282">
        <v>3062983659</v>
      </c>
      <c r="K3282">
        <v>2949232217</v>
      </c>
      <c r="L3282">
        <v>2854019022</v>
      </c>
      <c r="M3282">
        <v>2726995480</v>
      </c>
      <c r="N3282">
        <v>2603300411</v>
      </c>
      <c r="O3282">
        <v>2585397268</v>
      </c>
      <c r="P3282">
        <v>1823</v>
      </c>
      <c r="Q3282" t="s">
        <v>6906</v>
      </c>
    </row>
    <row r="3283" spans="1:17" x14ac:dyDescent="0.3">
      <c r="A3283" t="s">
        <v>4729</v>
      </c>
      <c r="B3283" t="str">
        <f>"002558"</f>
        <v>002558</v>
      </c>
      <c r="C3283" t="s">
        <v>6907</v>
      </c>
      <c r="D3283" t="s">
        <v>517</v>
      </c>
      <c r="F3283">
        <v>10547186387</v>
      </c>
      <c r="G3283">
        <v>9467890358</v>
      </c>
      <c r="H3283">
        <v>8010075490</v>
      </c>
      <c r="I3283">
        <v>9044986965</v>
      </c>
      <c r="J3283">
        <v>8526019884</v>
      </c>
      <c r="K3283">
        <v>7558566630</v>
      </c>
      <c r="L3283">
        <v>579794430</v>
      </c>
      <c r="M3283">
        <v>608598083</v>
      </c>
      <c r="N3283">
        <v>601858586</v>
      </c>
      <c r="O3283">
        <v>606418983</v>
      </c>
      <c r="P3283">
        <v>458</v>
      </c>
      <c r="Q3283" t="s">
        <v>6908</v>
      </c>
    </row>
    <row r="3284" spans="1:17" x14ac:dyDescent="0.3">
      <c r="A3284" t="s">
        <v>4729</v>
      </c>
      <c r="B3284" t="str">
        <f>"002559"</f>
        <v>002559</v>
      </c>
      <c r="C3284" t="s">
        <v>6909</v>
      </c>
      <c r="D3284" t="s">
        <v>2321</v>
      </c>
      <c r="F3284">
        <v>1776202306</v>
      </c>
      <c r="G3284">
        <v>1710136603</v>
      </c>
      <c r="H3284">
        <v>1589731520</v>
      </c>
      <c r="I3284">
        <v>1639485616</v>
      </c>
      <c r="J3284">
        <v>1610781203</v>
      </c>
      <c r="K3284">
        <v>1564269342</v>
      </c>
      <c r="L3284">
        <v>1440294835</v>
      </c>
      <c r="M3284">
        <v>1280597422</v>
      </c>
      <c r="N3284">
        <v>1239576782</v>
      </c>
      <c r="O3284">
        <v>1193053217</v>
      </c>
      <c r="P3284">
        <v>149</v>
      </c>
      <c r="Q3284" t="s">
        <v>6910</v>
      </c>
    </row>
    <row r="3285" spans="1:17" x14ac:dyDescent="0.3">
      <c r="A3285" t="s">
        <v>4729</v>
      </c>
      <c r="B3285" t="str">
        <f>"002560"</f>
        <v>002560</v>
      </c>
      <c r="C3285" t="s">
        <v>6911</v>
      </c>
      <c r="D3285" t="s">
        <v>1164</v>
      </c>
      <c r="F3285">
        <v>2343580301</v>
      </c>
      <c r="G3285">
        <v>2319552865</v>
      </c>
      <c r="H3285">
        <v>1647284200</v>
      </c>
      <c r="I3285">
        <v>1516980415</v>
      </c>
      <c r="J3285">
        <v>1511110699</v>
      </c>
      <c r="K3285">
        <v>1517871959</v>
      </c>
      <c r="L3285">
        <v>1425351198</v>
      </c>
      <c r="M3285">
        <v>1388632642</v>
      </c>
      <c r="N3285">
        <v>927934020</v>
      </c>
      <c r="O3285">
        <v>888569609</v>
      </c>
      <c r="P3285">
        <v>138</v>
      </c>
      <c r="Q3285" t="s">
        <v>6912</v>
      </c>
    </row>
    <row r="3286" spans="1:17" x14ac:dyDescent="0.3">
      <c r="A3286" t="s">
        <v>4729</v>
      </c>
      <c r="B3286" t="str">
        <f>"002561"</f>
        <v>002561</v>
      </c>
      <c r="C3286" t="s">
        <v>6913</v>
      </c>
      <c r="D3286" t="s">
        <v>633</v>
      </c>
      <c r="F3286">
        <v>2271256742</v>
      </c>
      <c r="G3286">
        <v>2218025199</v>
      </c>
      <c r="H3286">
        <v>2292667852</v>
      </c>
      <c r="I3286">
        <v>2229183668</v>
      </c>
      <c r="J3286">
        <v>2147391400</v>
      </c>
      <c r="K3286">
        <v>2060322630</v>
      </c>
      <c r="L3286">
        <v>1966453767</v>
      </c>
      <c r="M3286">
        <v>1862995921</v>
      </c>
      <c r="N3286">
        <v>1754655981</v>
      </c>
      <c r="O3286">
        <v>1659750159</v>
      </c>
      <c r="P3286">
        <v>183</v>
      </c>
      <c r="Q3286" t="s">
        <v>6914</v>
      </c>
    </row>
    <row r="3287" spans="1:17" x14ac:dyDescent="0.3">
      <c r="A3287" t="s">
        <v>4729</v>
      </c>
      <c r="B3287" t="str">
        <f>"002562"</f>
        <v>002562</v>
      </c>
      <c r="C3287" t="s">
        <v>6915</v>
      </c>
      <c r="D3287" t="s">
        <v>677</v>
      </c>
      <c r="F3287">
        <v>2933563144</v>
      </c>
      <c r="G3287">
        <v>2964874126</v>
      </c>
      <c r="H3287">
        <v>2199363780</v>
      </c>
      <c r="I3287">
        <v>2110947434</v>
      </c>
      <c r="J3287">
        <v>2122539648</v>
      </c>
      <c r="K3287">
        <v>1764149684</v>
      </c>
      <c r="L3287">
        <v>1671516276</v>
      </c>
      <c r="M3287">
        <v>825162524</v>
      </c>
      <c r="N3287">
        <v>785096140</v>
      </c>
      <c r="O3287">
        <v>766920554</v>
      </c>
      <c r="P3287">
        <v>260</v>
      </c>
      <c r="Q3287" t="s">
        <v>6916</v>
      </c>
    </row>
    <row r="3288" spans="1:17" x14ac:dyDescent="0.3">
      <c r="A3288" t="s">
        <v>4729</v>
      </c>
      <c r="B3288" t="str">
        <f>"002563"</f>
        <v>002563</v>
      </c>
      <c r="C3288" t="s">
        <v>6917</v>
      </c>
      <c r="D3288" t="s">
        <v>255</v>
      </c>
      <c r="F3288">
        <v>11663308144</v>
      </c>
      <c r="G3288">
        <v>11472972747</v>
      </c>
      <c r="H3288">
        <v>11764748254</v>
      </c>
      <c r="I3288">
        <v>11145833906</v>
      </c>
      <c r="J3288">
        <v>10101419715</v>
      </c>
      <c r="K3288">
        <v>9993072581</v>
      </c>
      <c r="L3288">
        <v>9235472496</v>
      </c>
      <c r="M3288">
        <v>8502749550</v>
      </c>
      <c r="N3288">
        <v>8080489311</v>
      </c>
      <c r="O3288">
        <v>7848471213</v>
      </c>
      <c r="P3288">
        <v>904</v>
      </c>
      <c r="Q3288" t="s">
        <v>6918</v>
      </c>
    </row>
    <row r="3289" spans="1:17" x14ac:dyDescent="0.3">
      <c r="A3289" t="s">
        <v>4729</v>
      </c>
      <c r="B3289" t="str">
        <f>"002564"</f>
        <v>002564</v>
      </c>
      <c r="C3289" t="s">
        <v>6919</v>
      </c>
      <c r="D3289" t="s">
        <v>395</v>
      </c>
      <c r="F3289">
        <v>1810295015</v>
      </c>
      <c r="G3289">
        <v>2503107980</v>
      </c>
      <c r="H3289">
        <v>3669226189</v>
      </c>
      <c r="I3289">
        <v>3797412728</v>
      </c>
      <c r="J3289">
        <v>2712090017</v>
      </c>
      <c r="K3289">
        <v>2485525646</v>
      </c>
      <c r="L3289">
        <v>2874830809</v>
      </c>
      <c r="M3289">
        <v>2890041184</v>
      </c>
      <c r="N3289">
        <v>2833246247</v>
      </c>
      <c r="O3289">
        <v>2151024987</v>
      </c>
      <c r="P3289">
        <v>130</v>
      </c>
      <c r="Q3289" t="s">
        <v>6920</v>
      </c>
    </row>
    <row r="3290" spans="1:17" x14ac:dyDescent="0.3">
      <c r="A3290" t="s">
        <v>4729</v>
      </c>
      <c r="B3290" t="str">
        <f>"002565"</f>
        <v>002565</v>
      </c>
      <c r="C3290" t="s">
        <v>6921</v>
      </c>
      <c r="D3290" t="s">
        <v>2165</v>
      </c>
      <c r="F3290">
        <v>1921906722</v>
      </c>
      <c r="G3290">
        <v>1948429528</v>
      </c>
      <c r="H3290">
        <v>1941850935</v>
      </c>
      <c r="I3290">
        <v>2102942755</v>
      </c>
      <c r="J3290">
        <v>2272182920</v>
      </c>
      <c r="K3290">
        <v>2096140659</v>
      </c>
      <c r="L3290">
        <v>1766557692</v>
      </c>
      <c r="M3290">
        <v>1642598331</v>
      </c>
      <c r="N3290">
        <v>1860800537</v>
      </c>
      <c r="O3290">
        <v>1624929035</v>
      </c>
      <c r="P3290">
        <v>107</v>
      </c>
      <c r="Q3290" t="s">
        <v>6922</v>
      </c>
    </row>
    <row r="3291" spans="1:17" x14ac:dyDescent="0.3">
      <c r="A3291" t="s">
        <v>4729</v>
      </c>
      <c r="B3291" t="str">
        <f>"002566"</f>
        <v>002566</v>
      </c>
      <c r="C3291" t="s">
        <v>6923</v>
      </c>
      <c r="D3291" t="s">
        <v>188</v>
      </c>
      <c r="F3291">
        <v>2081809740</v>
      </c>
      <c r="G3291">
        <v>1995717938</v>
      </c>
      <c r="H3291">
        <v>1932205432</v>
      </c>
      <c r="I3291">
        <v>1855606695</v>
      </c>
      <c r="J3291">
        <v>1802913403</v>
      </c>
      <c r="K3291">
        <v>1740874501</v>
      </c>
      <c r="L3291">
        <v>1724739106</v>
      </c>
      <c r="M3291">
        <v>1730494336</v>
      </c>
      <c r="N3291">
        <v>1656148946</v>
      </c>
      <c r="O3291">
        <v>1568829896</v>
      </c>
      <c r="P3291">
        <v>134</v>
      </c>
      <c r="Q3291" t="s">
        <v>6924</v>
      </c>
    </row>
    <row r="3292" spans="1:17" x14ac:dyDescent="0.3">
      <c r="A3292" t="s">
        <v>4729</v>
      </c>
      <c r="B3292" t="str">
        <f>"002567"</f>
        <v>002567</v>
      </c>
      <c r="C3292" t="s">
        <v>6925</v>
      </c>
      <c r="D3292" t="s">
        <v>2886</v>
      </c>
      <c r="F3292">
        <v>5511762662</v>
      </c>
      <c r="G3292">
        <v>5337000310</v>
      </c>
      <c r="H3292">
        <v>3325654718</v>
      </c>
      <c r="I3292">
        <v>3407291794</v>
      </c>
      <c r="J3292">
        <v>3434371387</v>
      </c>
      <c r="K3292">
        <v>2526852490</v>
      </c>
      <c r="L3292">
        <v>2389575723</v>
      </c>
      <c r="M3292">
        <v>1790589919</v>
      </c>
      <c r="N3292">
        <v>1747347022</v>
      </c>
      <c r="O3292">
        <v>1622577520</v>
      </c>
      <c r="P3292">
        <v>451</v>
      </c>
      <c r="Q3292" t="s">
        <v>6926</v>
      </c>
    </row>
    <row r="3293" spans="1:17" x14ac:dyDescent="0.3">
      <c r="A3293" t="s">
        <v>4729</v>
      </c>
      <c r="B3293" t="str">
        <f>"002568"</f>
        <v>002568</v>
      </c>
      <c r="C3293" t="s">
        <v>6927</v>
      </c>
      <c r="D3293" t="s">
        <v>134</v>
      </c>
      <c r="F3293">
        <v>3614947676</v>
      </c>
      <c r="G3293">
        <v>3216299711</v>
      </c>
      <c r="H3293">
        <v>2001136585</v>
      </c>
      <c r="I3293">
        <v>1921232305</v>
      </c>
      <c r="J3293">
        <v>1782237694</v>
      </c>
      <c r="K3293">
        <v>1599592413</v>
      </c>
      <c r="L3293">
        <v>996326763</v>
      </c>
      <c r="M3293">
        <v>649015904</v>
      </c>
      <c r="N3293">
        <v>640011294</v>
      </c>
      <c r="O3293">
        <v>638135527</v>
      </c>
      <c r="P3293">
        <v>1074</v>
      </c>
      <c r="Q3293" t="s">
        <v>6928</v>
      </c>
    </row>
    <row r="3294" spans="1:17" x14ac:dyDescent="0.3">
      <c r="A3294" t="s">
        <v>4729</v>
      </c>
      <c r="B3294" t="str">
        <f>"002569"</f>
        <v>002569</v>
      </c>
      <c r="C3294" t="s">
        <v>6929</v>
      </c>
      <c r="D3294" t="s">
        <v>255</v>
      </c>
      <c r="F3294">
        <v>248263647</v>
      </c>
      <c r="G3294">
        <v>194162800</v>
      </c>
      <c r="H3294">
        <v>338957520</v>
      </c>
      <c r="I3294">
        <v>298544974</v>
      </c>
      <c r="J3294">
        <v>491367145</v>
      </c>
      <c r="K3294">
        <v>525174174</v>
      </c>
      <c r="L3294">
        <v>518574612</v>
      </c>
      <c r="M3294">
        <v>507070482</v>
      </c>
      <c r="N3294">
        <v>609728443</v>
      </c>
      <c r="O3294">
        <v>612996168</v>
      </c>
      <c r="P3294">
        <v>59</v>
      </c>
      <c r="Q3294" t="s">
        <v>6930</v>
      </c>
    </row>
    <row r="3295" spans="1:17" x14ac:dyDescent="0.3">
      <c r="A3295" t="s">
        <v>4729</v>
      </c>
      <c r="B3295" t="str">
        <f>"002570"</f>
        <v>002570</v>
      </c>
      <c r="C3295" t="s">
        <v>6931</v>
      </c>
      <c r="D3295" t="s">
        <v>900</v>
      </c>
      <c r="F3295">
        <v>1785836480</v>
      </c>
      <c r="G3295">
        <v>1453144557</v>
      </c>
      <c r="H3295">
        <v>1688037529</v>
      </c>
      <c r="I3295">
        <v>1816409683</v>
      </c>
      <c r="J3295">
        <v>1861947109</v>
      </c>
      <c r="K3295">
        <v>2882950643</v>
      </c>
      <c r="L3295">
        <v>3668061859</v>
      </c>
      <c r="M3295">
        <v>3566160175</v>
      </c>
      <c r="N3295">
        <v>3913039476</v>
      </c>
      <c r="O3295">
        <v>3396364812</v>
      </c>
      <c r="P3295">
        <v>261</v>
      </c>
      <c r="Q3295" t="s">
        <v>6932</v>
      </c>
    </row>
    <row r="3296" spans="1:17" x14ac:dyDescent="0.3">
      <c r="A3296" t="s">
        <v>4729</v>
      </c>
      <c r="B3296" t="str">
        <f>"002571"</f>
        <v>002571</v>
      </c>
      <c r="C3296" t="s">
        <v>6933</v>
      </c>
      <c r="D3296" t="s">
        <v>2445</v>
      </c>
      <c r="F3296">
        <v>1442235113</v>
      </c>
      <c r="G3296">
        <v>1439274404</v>
      </c>
      <c r="H3296">
        <v>1437141013</v>
      </c>
      <c r="I3296">
        <v>1404716157</v>
      </c>
      <c r="J3296">
        <v>1530404846</v>
      </c>
      <c r="K3296">
        <v>1469562653</v>
      </c>
      <c r="L3296">
        <v>1519238451</v>
      </c>
      <c r="M3296">
        <v>1581928374</v>
      </c>
      <c r="N3296">
        <v>1572328610</v>
      </c>
      <c r="O3296">
        <v>984994084</v>
      </c>
      <c r="P3296">
        <v>92</v>
      </c>
      <c r="Q3296" t="s">
        <v>6934</v>
      </c>
    </row>
    <row r="3297" spans="1:17" x14ac:dyDescent="0.3">
      <c r="A3297" t="s">
        <v>4729</v>
      </c>
      <c r="B3297" t="str">
        <f>"002572"</f>
        <v>002572</v>
      </c>
      <c r="C3297" t="s">
        <v>6935</v>
      </c>
      <c r="D3297" t="s">
        <v>2664</v>
      </c>
      <c r="F3297">
        <v>5640651887</v>
      </c>
      <c r="G3297">
        <v>6122841158</v>
      </c>
      <c r="H3297">
        <v>5444552992</v>
      </c>
      <c r="I3297">
        <v>4832346541</v>
      </c>
      <c r="J3297">
        <v>4471384323</v>
      </c>
      <c r="K3297">
        <v>3888385780</v>
      </c>
      <c r="L3297">
        <v>2304440536</v>
      </c>
      <c r="M3297">
        <v>1941179673</v>
      </c>
      <c r="N3297">
        <v>1743759432</v>
      </c>
      <c r="O3297">
        <v>1477962184</v>
      </c>
      <c r="P3297">
        <v>9141</v>
      </c>
      <c r="Q3297" t="s">
        <v>6936</v>
      </c>
    </row>
    <row r="3298" spans="1:17" x14ac:dyDescent="0.3">
      <c r="A3298" t="s">
        <v>4729</v>
      </c>
      <c r="B3298" t="str">
        <f>"002573"</f>
        <v>002573</v>
      </c>
      <c r="C3298" t="s">
        <v>6937</v>
      </c>
      <c r="D3298" t="s">
        <v>663</v>
      </c>
      <c r="F3298">
        <v>6089171641</v>
      </c>
      <c r="G3298">
        <v>4670206686</v>
      </c>
      <c r="H3298">
        <v>4896277670</v>
      </c>
      <c r="I3298">
        <v>4654558738</v>
      </c>
      <c r="J3298">
        <v>4233276516</v>
      </c>
      <c r="K3298">
        <v>3626849718</v>
      </c>
      <c r="L3298">
        <v>2891736261</v>
      </c>
      <c r="M3298">
        <v>2421344051</v>
      </c>
      <c r="N3298">
        <v>2230576674</v>
      </c>
      <c r="O3298">
        <v>2109754057</v>
      </c>
      <c r="P3298">
        <v>613</v>
      </c>
      <c r="Q3298" t="s">
        <v>6938</v>
      </c>
    </row>
    <row r="3299" spans="1:17" x14ac:dyDescent="0.3">
      <c r="A3299" t="s">
        <v>4729</v>
      </c>
      <c r="B3299" t="str">
        <f>"002574"</f>
        <v>002574</v>
      </c>
      <c r="C3299" t="s">
        <v>6939</v>
      </c>
      <c r="D3299" t="s">
        <v>1238</v>
      </c>
      <c r="F3299">
        <v>3089159844</v>
      </c>
      <c r="G3299">
        <v>2962671000</v>
      </c>
      <c r="H3299">
        <v>3237032253</v>
      </c>
      <c r="I3299">
        <v>3198445193</v>
      </c>
      <c r="J3299">
        <v>3132364591</v>
      </c>
      <c r="K3299">
        <v>3072884837</v>
      </c>
      <c r="L3299">
        <v>3054152591</v>
      </c>
      <c r="M3299">
        <v>3044780140</v>
      </c>
      <c r="N3299">
        <v>2869106314</v>
      </c>
      <c r="O3299">
        <v>2809985776</v>
      </c>
      <c r="P3299">
        <v>105</v>
      </c>
      <c r="Q3299" t="s">
        <v>6940</v>
      </c>
    </row>
    <row r="3300" spans="1:17" x14ac:dyDescent="0.3">
      <c r="A3300" t="s">
        <v>4729</v>
      </c>
      <c r="B3300" t="str">
        <f>"002575"</f>
        <v>002575</v>
      </c>
      <c r="C3300" t="s">
        <v>6941</v>
      </c>
      <c r="D3300" t="s">
        <v>2931</v>
      </c>
      <c r="F3300">
        <v>783431693</v>
      </c>
      <c r="G3300">
        <v>804713557</v>
      </c>
      <c r="H3300">
        <v>721082472</v>
      </c>
      <c r="I3300">
        <v>898623677</v>
      </c>
      <c r="J3300">
        <v>891409742</v>
      </c>
      <c r="K3300">
        <v>907607088</v>
      </c>
      <c r="L3300">
        <v>894773148</v>
      </c>
      <c r="M3300">
        <v>903204791</v>
      </c>
      <c r="N3300">
        <v>901710417</v>
      </c>
      <c r="O3300">
        <v>884001961</v>
      </c>
      <c r="P3300">
        <v>57</v>
      </c>
      <c r="Q3300" t="s">
        <v>6942</v>
      </c>
    </row>
    <row r="3301" spans="1:17" x14ac:dyDescent="0.3">
      <c r="A3301" t="s">
        <v>4729</v>
      </c>
      <c r="B3301" t="str">
        <f>"002576"</f>
        <v>002576</v>
      </c>
      <c r="C3301" t="s">
        <v>6943</v>
      </c>
      <c r="D3301" t="s">
        <v>1171</v>
      </c>
      <c r="F3301">
        <v>1063817258</v>
      </c>
      <c r="G3301">
        <v>977722701</v>
      </c>
      <c r="H3301">
        <v>896676541</v>
      </c>
      <c r="I3301">
        <v>871002715</v>
      </c>
      <c r="J3301">
        <v>853286480</v>
      </c>
      <c r="K3301">
        <v>851016749</v>
      </c>
      <c r="L3301">
        <v>851125095</v>
      </c>
      <c r="M3301">
        <v>841667135</v>
      </c>
      <c r="N3301">
        <v>863214936</v>
      </c>
      <c r="O3301">
        <v>857989605</v>
      </c>
      <c r="P3301">
        <v>123</v>
      </c>
      <c r="Q3301" t="s">
        <v>6944</v>
      </c>
    </row>
    <row r="3302" spans="1:17" x14ac:dyDescent="0.3">
      <c r="A3302" t="s">
        <v>4729</v>
      </c>
      <c r="B3302" t="str">
        <f>"002577"</f>
        <v>002577</v>
      </c>
      <c r="C3302" t="s">
        <v>6945</v>
      </c>
      <c r="D3302" t="s">
        <v>236</v>
      </c>
      <c r="F3302">
        <v>1102875935</v>
      </c>
      <c r="G3302">
        <v>1057750483</v>
      </c>
      <c r="H3302">
        <v>1002842120</v>
      </c>
      <c r="I3302">
        <v>1180239648</v>
      </c>
      <c r="J3302">
        <v>1178968373</v>
      </c>
      <c r="K3302">
        <v>1164679689</v>
      </c>
      <c r="L3302">
        <v>1156497171</v>
      </c>
      <c r="M3302">
        <v>1405179541</v>
      </c>
      <c r="N3302">
        <v>1399496778</v>
      </c>
      <c r="O3302">
        <v>1440256315</v>
      </c>
      <c r="P3302">
        <v>83</v>
      </c>
      <c r="Q3302" t="s">
        <v>6946</v>
      </c>
    </row>
    <row r="3303" spans="1:17" x14ac:dyDescent="0.3">
      <c r="A3303" t="s">
        <v>4729</v>
      </c>
      <c r="B3303" t="str">
        <f>"002578"</f>
        <v>002578</v>
      </c>
      <c r="C3303" t="s">
        <v>6947</v>
      </c>
      <c r="D3303" t="s">
        <v>504</v>
      </c>
      <c r="F3303">
        <v>1466685882</v>
      </c>
      <c r="G3303">
        <v>1436608872</v>
      </c>
      <c r="H3303">
        <v>1388099273</v>
      </c>
      <c r="I3303">
        <v>1502366329</v>
      </c>
      <c r="J3303">
        <v>1483381193</v>
      </c>
      <c r="K3303">
        <v>1447424526</v>
      </c>
      <c r="L3303">
        <v>974383034</v>
      </c>
      <c r="M3303">
        <v>987760185</v>
      </c>
      <c r="N3303">
        <v>952322909</v>
      </c>
      <c r="O3303">
        <v>906643560</v>
      </c>
      <c r="P3303">
        <v>91</v>
      </c>
      <c r="Q3303" t="s">
        <v>6948</v>
      </c>
    </row>
    <row r="3304" spans="1:17" x14ac:dyDescent="0.3">
      <c r="A3304" t="s">
        <v>4729</v>
      </c>
      <c r="B3304" t="str">
        <f>"002579"</f>
        <v>002579</v>
      </c>
      <c r="C3304" t="s">
        <v>6949</v>
      </c>
      <c r="D3304" t="s">
        <v>425</v>
      </c>
      <c r="F3304">
        <v>2829856536</v>
      </c>
      <c r="G3304">
        <v>2629850121</v>
      </c>
      <c r="H3304">
        <v>1292711245</v>
      </c>
      <c r="I3304">
        <v>1010469258</v>
      </c>
      <c r="J3304">
        <v>981569305</v>
      </c>
      <c r="K3304">
        <v>971928665</v>
      </c>
      <c r="L3304">
        <v>650277496</v>
      </c>
      <c r="M3304">
        <v>628050906</v>
      </c>
      <c r="N3304">
        <v>608332770</v>
      </c>
      <c r="O3304">
        <v>599622937</v>
      </c>
      <c r="P3304">
        <v>279</v>
      </c>
      <c r="Q3304" t="s">
        <v>6950</v>
      </c>
    </row>
    <row r="3305" spans="1:17" x14ac:dyDescent="0.3">
      <c r="A3305" t="s">
        <v>4729</v>
      </c>
      <c r="B3305" t="str">
        <f>"002580"</f>
        <v>002580</v>
      </c>
      <c r="C3305" t="s">
        <v>6951</v>
      </c>
      <c r="D3305" t="s">
        <v>555</v>
      </c>
      <c r="F3305">
        <v>1731633320</v>
      </c>
      <c r="G3305">
        <v>1710250176</v>
      </c>
      <c r="H3305">
        <v>1205845719</v>
      </c>
      <c r="I3305">
        <v>1185482362</v>
      </c>
      <c r="J3305">
        <v>1170272013</v>
      </c>
      <c r="K3305">
        <v>1180009893</v>
      </c>
      <c r="L3305">
        <v>1131582004</v>
      </c>
      <c r="M3305">
        <v>823258991</v>
      </c>
      <c r="N3305">
        <v>813137795</v>
      </c>
      <c r="O3305">
        <v>800258512</v>
      </c>
      <c r="P3305">
        <v>114</v>
      </c>
      <c r="Q3305" t="s">
        <v>6952</v>
      </c>
    </row>
    <row r="3306" spans="1:17" x14ac:dyDescent="0.3">
      <c r="A3306" t="s">
        <v>4729</v>
      </c>
      <c r="B3306" t="str">
        <f>"002581"</f>
        <v>002581</v>
      </c>
      <c r="C3306" t="s">
        <v>6953</v>
      </c>
      <c r="D3306" t="s">
        <v>1379</v>
      </c>
      <c r="F3306">
        <v>2388210566</v>
      </c>
      <c r="G3306">
        <v>2117208894</v>
      </c>
      <c r="H3306">
        <v>2311907379</v>
      </c>
      <c r="I3306">
        <v>2758804167</v>
      </c>
      <c r="J3306">
        <v>2856596691</v>
      </c>
      <c r="K3306">
        <v>2469481680</v>
      </c>
      <c r="L3306">
        <v>2084773315</v>
      </c>
      <c r="M3306">
        <v>749404057</v>
      </c>
      <c r="N3306">
        <v>738307321</v>
      </c>
      <c r="O3306">
        <v>704409994</v>
      </c>
      <c r="P3306">
        <v>228</v>
      </c>
      <c r="Q3306" t="s">
        <v>6954</v>
      </c>
    </row>
    <row r="3307" spans="1:17" x14ac:dyDescent="0.3">
      <c r="A3307" t="s">
        <v>4729</v>
      </c>
      <c r="B3307" t="str">
        <f>"002582"</f>
        <v>002582</v>
      </c>
      <c r="C3307" t="s">
        <v>6955</v>
      </c>
      <c r="D3307" t="s">
        <v>3194</v>
      </c>
      <c r="F3307">
        <v>4448823217</v>
      </c>
      <c r="G3307">
        <v>5490870301</v>
      </c>
      <c r="H3307">
        <v>3402127854</v>
      </c>
      <c r="I3307">
        <v>3340878774</v>
      </c>
      <c r="J3307">
        <v>3271852970</v>
      </c>
      <c r="K3307">
        <v>3183006256</v>
      </c>
      <c r="L3307">
        <v>1382268817</v>
      </c>
      <c r="M3307">
        <v>1400261939</v>
      </c>
      <c r="N3307">
        <v>1361321152</v>
      </c>
      <c r="O3307">
        <v>1274053327</v>
      </c>
      <c r="P3307">
        <v>439</v>
      </c>
      <c r="Q3307" t="s">
        <v>6956</v>
      </c>
    </row>
    <row r="3308" spans="1:17" x14ac:dyDescent="0.3">
      <c r="A3308" t="s">
        <v>4729</v>
      </c>
      <c r="B3308" t="str">
        <f>"002583"</f>
        <v>002583</v>
      </c>
      <c r="C3308" t="s">
        <v>6957</v>
      </c>
      <c r="D3308" t="s">
        <v>1019</v>
      </c>
      <c r="F3308">
        <v>5600186253</v>
      </c>
      <c r="G3308">
        <v>6259047379</v>
      </c>
      <c r="H3308">
        <v>6138306544</v>
      </c>
      <c r="I3308">
        <v>6114541210</v>
      </c>
      <c r="J3308">
        <v>5650180168</v>
      </c>
      <c r="K3308">
        <v>4754931387</v>
      </c>
      <c r="L3308">
        <v>2286760789</v>
      </c>
      <c r="M3308">
        <v>2003353985</v>
      </c>
      <c r="N3308">
        <v>1977922033</v>
      </c>
      <c r="O3308">
        <v>1857286573</v>
      </c>
      <c r="P3308">
        <v>397</v>
      </c>
      <c r="Q3308" t="s">
        <v>6958</v>
      </c>
    </row>
    <row r="3309" spans="1:17" x14ac:dyDescent="0.3">
      <c r="A3309" t="s">
        <v>4729</v>
      </c>
      <c r="B3309" t="str">
        <f>"002584"</f>
        <v>002584</v>
      </c>
      <c r="C3309" t="s">
        <v>6959</v>
      </c>
      <c r="D3309" t="s">
        <v>2408</v>
      </c>
      <c r="F3309">
        <v>2241063959</v>
      </c>
      <c r="G3309">
        <v>2016599497</v>
      </c>
      <c r="H3309">
        <v>1942128282</v>
      </c>
      <c r="I3309">
        <v>1760122160</v>
      </c>
      <c r="J3309">
        <v>1699389813</v>
      </c>
      <c r="K3309">
        <v>1741175562</v>
      </c>
      <c r="L3309">
        <v>1722261343</v>
      </c>
      <c r="M3309">
        <v>1106341243</v>
      </c>
      <c r="N3309">
        <v>1030153626</v>
      </c>
      <c r="O3309">
        <v>1039476046</v>
      </c>
      <c r="P3309">
        <v>119</v>
      </c>
      <c r="Q3309" t="s">
        <v>6960</v>
      </c>
    </row>
    <row r="3310" spans="1:17" x14ac:dyDescent="0.3">
      <c r="A3310" t="s">
        <v>4729</v>
      </c>
      <c r="B3310" t="str">
        <f>"002585"</f>
        <v>002585</v>
      </c>
      <c r="C3310" t="s">
        <v>6961</v>
      </c>
      <c r="D3310" t="s">
        <v>324</v>
      </c>
      <c r="F3310">
        <v>9398787859</v>
      </c>
      <c r="G3310">
        <v>8310419100</v>
      </c>
      <c r="H3310">
        <v>7643443249</v>
      </c>
      <c r="I3310">
        <v>7701212493</v>
      </c>
      <c r="J3310">
        <v>7391426840</v>
      </c>
      <c r="K3310">
        <v>5346807252</v>
      </c>
      <c r="L3310">
        <v>5228131070</v>
      </c>
      <c r="M3310">
        <v>5124177055</v>
      </c>
      <c r="N3310">
        <v>3666252840</v>
      </c>
      <c r="O3310">
        <v>3617815168</v>
      </c>
      <c r="P3310">
        <v>382</v>
      </c>
      <c r="Q3310" t="s">
        <v>6962</v>
      </c>
    </row>
    <row r="3311" spans="1:17" x14ac:dyDescent="0.3">
      <c r="A3311" t="s">
        <v>4729</v>
      </c>
      <c r="B3311" t="str">
        <f>"002586"</f>
        <v>002586</v>
      </c>
      <c r="C3311" t="s">
        <v>6963</v>
      </c>
      <c r="D3311" t="s">
        <v>101</v>
      </c>
      <c r="F3311">
        <v>3577264806</v>
      </c>
      <c r="G3311">
        <v>3227585032</v>
      </c>
      <c r="H3311">
        <v>3740083821</v>
      </c>
      <c r="I3311">
        <v>5348023643</v>
      </c>
      <c r="J3311">
        <v>4277713406</v>
      </c>
      <c r="K3311">
        <v>1652934110</v>
      </c>
      <c r="L3311">
        <v>1584932966</v>
      </c>
      <c r="M3311">
        <v>1556358372</v>
      </c>
      <c r="N3311">
        <v>934305142</v>
      </c>
      <c r="O3311">
        <v>867110453</v>
      </c>
      <c r="P3311">
        <v>62</v>
      </c>
      <c r="Q3311" t="s">
        <v>6964</v>
      </c>
    </row>
    <row r="3312" spans="1:17" x14ac:dyDescent="0.3">
      <c r="A3312" t="s">
        <v>4729</v>
      </c>
      <c r="B3312" t="str">
        <f>"002587"</f>
        <v>002587</v>
      </c>
      <c r="C3312" t="s">
        <v>6965</v>
      </c>
      <c r="D3312" t="s">
        <v>803</v>
      </c>
      <c r="F3312">
        <v>1385542890</v>
      </c>
      <c r="G3312">
        <v>1366690565</v>
      </c>
      <c r="H3312">
        <v>1364225219</v>
      </c>
      <c r="I3312">
        <v>1269739475</v>
      </c>
      <c r="J3312">
        <v>1142252491</v>
      </c>
      <c r="K3312">
        <v>895226045</v>
      </c>
      <c r="L3312">
        <v>588030078</v>
      </c>
      <c r="M3312">
        <v>610781053</v>
      </c>
      <c r="N3312">
        <v>561845722</v>
      </c>
      <c r="O3312">
        <v>522674510</v>
      </c>
      <c r="P3312">
        <v>142</v>
      </c>
      <c r="Q3312" t="s">
        <v>6966</v>
      </c>
    </row>
    <row r="3313" spans="1:17" x14ac:dyDescent="0.3">
      <c r="A3313" t="s">
        <v>4729</v>
      </c>
      <c r="B3313" t="str">
        <f>"002588"</f>
        <v>002588</v>
      </c>
      <c r="C3313" t="s">
        <v>6967</v>
      </c>
      <c r="D3313" t="s">
        <v>5562</v>
      </c>
      <c r="F3313">
        <v>5032588468</v>
      </c>
      <c r="G3313">
        <v>4659217967</v>
      </c>
      <c r="H3313">
        <v>4381933199</v>
      </c>
      <c r="I3313">
        <v>4295478730</v>
      </c>
      <c r="J3313">
        <v>4163703498</v>
      </c>
      <c r="K3313">
        <v>4035440408</v>
      </c>
      <c r="L3313">
        <v>3638490737</v>
      </c>
      <c r="M3313">
        <v>3052273543</v>
      </c>
      <c r="N3313">
        <v>2666904686</v>
      </c>
      <c r="O3313">
        <v>2303526889</v>
      </c>
      <c r="P3313">
        <v>164</v>
      </c>
      <c r="Q3313" t="s">
        <v>6968</v>
      </c>
    </row>
    <row r="3314" spans="1:17" x14ac:dyDescent="0.3">
      <c r="A3314" t="s">
        <v>4729</v>
      </c>
      <c r="B3314" t="str">
        <f>"002589"</f>
        <v>002589</v>
      </c>
      <c r="C3314" t="s">
        <v>6969</v>
      </c>
      <c r="D3314" t="s">
        <v>125</v>
      </c>
      <c r="F3314">
        <v>7567035855</v>
      </c>
      <c r="G3314">
        <v>7469056191</v>
      </c>
      <c r="H3314">
        <v>7186492674</v>
      </c>
      <c r="I3314">
        <v>8451390062</v>
      </c>
      <c r="J3314">
        <v>7805968445</v>
      </c>
      <c r="K3314">
        <v>6875616185</v>
      </c>
      <c r="L3314">
        <v>3194403037</v>
      </c>
      <c r="M3314">
        <v>1797890332</v>
      </c>
      <c r="N3314">
        <v>1631688316</v>
      </c>
      <c r="O3314">
        <v>916408655</v>
      </c>
      <c r="P3314">
        <v>460</v>
      </c>
      <c r="Q3314" t="s">
        <v>6970</v>
      </c>
    </row>
    <row r="3315" spans="1:17" x14ac:dyDescent="0.3">
      <c r="A3315" t="s">
        <v>4729</v>
      </c>
      <c r="B3315" t="str">
        <f>"002590"</f>
        <v>002590</v>
      </c>
      <c r="C3315" t="s">
        <v>6971</v>
      </c>
      <c r="D3315" t="s">
        <v>348</v>
      </c>
      <c r="F3315">
        <v>1918912185</v>
      </c>
      <c r="G3315">
        <v>1923380873</v>
      </c>
      <c r="H3315">
        <v>1896079508</v>
      </c>
      <c r="I3315">
        <v>1777782296</v>
      </c>
      <c r="J3315">
        <v>1833957650</v>
      </c>
      <c r="K3315">
        <v>1718533880</v>
      </c>
      <c r="L3315">
        <v>812634295</v>
      </c>
      <c r="M3315">
        <v>737913280</v>
      </c>
      <c r="N3315">
        <v>670825377</v>
      </c>
      <c r="O3315">
        <v>641243087</v>
      </c>
      <c r="P3315">
        <v>119</v>
      </c>
      <c r="Q3315" t="s">
        <v>6972</v>
      </c>
    </row>
    <row r="3316" spans="1:17" x14ac:dyDescent="0.3">
      <c r="A3316" t="s">
        <v>4729</v>
      </c>
      <c r="B3316" t="str">
        <f>"002591"</f>
        <v>002591</v>
      </c>
      <c r="C3316" t="s">
        <v>6973</v>
      </c>
      <c r="D3316" t="s">
        <v>207</v>
      </c>
      <c r="F3316">
        <v>776120903</v>
      </c>
      <c r="G3316">
        <v>758297113</v>
      </c>
      <c r="H3316">
        <v>1276794533</v>
      </c>
      <c r="I3316">
        <v>1182005703</v>
      </c>
      <c r="J3316">
        <v>1259264914</v>
      </c>
      <c r="K3316">
        <v>708312639</v>
      </c>
      <c r="L3316">
        <v>700128150</v>
      </c>
      <c r="M3316">
        <v>748417557</v>
      </c>
      <c r="N3316">
        <v>755772223</v>
      </c>
      <c r="O3316">
        <v>719196695</v>
      </c>
      <c r="P3316">
        <v>113</v>
      </c>
      <c r="Q3316" t="s">
        <v>6974</v>
      </c>
    </row>
    <row r="3317" spans="1:17" x14ac:dyDescent="0.3">
      <c r="A3317" t="s">
        <v>4729</v>
      </c>
      <c r="B3317" t="str">
        <f>"002592"</f>
        <v>002592</v>
      </c>
      <c r="C3317" t="s">
        <v>6975</v>
      </c>
      <c r="D3317" t="s">
        <v>348</v>
      </c>
      <c r="F3317">
        <v>715025418</v>
      </c>
      <c r="G3317">
        <v>704092422</v>
      </c>
      <c r="H3317">
        <v>1454434370</v>
      </c>
      <c r="I3317">
        <v>1860840666</v>
      </c>
      <c r="J3317">
        <v>2136106450</v>
      </c>
      <c r="K3317">
        <v>2072035410</v>
      </c>
      <c r="L3317">
        <v>1994754613</v>
      </c>
      <c r="M3317">
        <v>1321614862</v>
      </c>
      <c r="N3317">
        <v>714267706</v>
      </c>
      <c r="O3317">
        <v>653686224</v>
      </c>
      <c r="P3317">
        <v>76</v>
      </c>
      <c r="Q3317" t="s">
        <v>6976</v>
      </c>
    </row>
    <row r="3318" spans="1:17" x14ac:dyDescent="0.3">
      <c r="A3318" t="s">
        <v>4729</v>
      </c>
      <c r="B3318" t="str">
        <f>"002593"</f>
        <v>002593</v>
      </c>
      <c r="C3318" t="s">
        <v>6977</v>
      </c>
      <c r="D3318" t="s">
        <v>978</v>
      </c>
      <c r="F3318">
        <v>2339345851</v>
      </c>
      <c r="G3318">
        <v>1953974530</v>
      </c>
      <c r="H3318">
        <v>1913243415</v>
      </c>
      <c r="I3318">
        <v>1879516128</v>
      </c>
      <c r="J3318">
        <v>1829374805</v>
      </c>
      <c r="K3318">
        <v>1796037395</v>
      </c>
      <c r="L3318">
        <v>1749458193</v>
      </c>
      <c r="M3318">
        <v>1217023981</v>
      </c>
      <c r="N3318">
        <v>1190417799</v>
      </c>
      <c r="O3318">
        <v>1181098533</v>
      </c>
      <c r="P3318">
        <v>88</v>
      </c>
      <c r="Q3318" t="s">
        <v>6978</v>
      </c>
    </row>
    <row r="3319" spans="1:17" x14ac:dyDescent="0.3">
      <c r="A3319" t="s">
        <v>4729</v>
      </c>
      <c r="B3319" t="str">
        <f>"002594"</f>
        <v>002594</v>
      </c>
      <c r="C3319" t="s">
        <v>6979</v>
      </c>
      <c r="D3319" t="s">
        <v>6980</v>
      </c>
      <c r="F3319">
        <v>95069671000</v>
      </c>
      <c r="G3319">
        <v>55779682000</v>
      </c>
      <c r="H3319">
        <v>52367697000</v>
      </c>
      <c r="I3319">
        <v>51302489000</v>
      </c>
      <c r="J3319">
        <v>51108394000</v>
      </c>
      <c r="K3319">
        <v>47460129000</v>
      </c>
      <c r="L3319">
        <v>29094404000</v>
      </c>
      <c r="M3319">
        <v>25365597000</v>
      </c>
      <c r="N3319">
        <v>21709764000</v>
      </c>
      <c r="O3319">
        <v>21196984000</v>
      </c>
      <c r="P3319">
        <v>5218</v>
      </c>
      <c r="Q3319" t="s">
        <v>6981</v>
      </c>
    </row>
    <row r="3320" spans="1:17" x14ac:dyDescent="0.3">
      <c r="A3320" t="s">
        <v>4729</v>
      </c>
      <c r="B3320" t="str">
        <f>"002595"</f>
        <v>002595</v>
      </c>
      <c r="C3320" t="s">
        <v>6982</v>
      </c>
      <c r="D3320" t="s">
        <v>741</v>
      </c>
      <c r="F3320">
        <v>6504747968</v>
      </c>
      <c r="G3320">
        <v>5769854730</v>
      </c>
      <c r="H3320">
        <v>4951177386</v>
      </c>
      <c r="I3320">
        <v>4342713308</v>
      </c>
      <c r="J3320">
        <v>3898767719</v>
      </c>
      <c r="K3320">
        <v>3526657639</v>
      </c>
      <c r="L3320">
        <v>3006732509</v>
      </c>
      <c r="M3320">
        <v>2560872832</v>
      </c>
      <c r="N3320">
        <v>2247523196</v>
      </c>
      <c r="O3320">
        <v>2049872095</v>
      </c>
      <c r="P3320">
        <v>4171</v>
      </c>
      <c r="Q3320" t="s">
        <v>6983</v>
      </c>
    </row>
    <row r="3321" spans="1:17" x14ac:dyDescent="0.3">
      <c r="A3321" t="s">
        <v>4729</v>
      </c>
      <c r="B3321" t="str">
        <f>"002596"</f>
        <v>002596</v>
      </c>
      <c r="C3321" t="s">
        <v>6984</v>
      </c>
      <c r="D3321" t="s">
        <v>3098</v>
      </c>
      <c r="F3321">
        <v>1993071995</v>
      </c>
      <c r="G3321">
        <v>3141013766</v>
      </c>
      <c r="H3321">
        <v>3111819195</v>
      </c>
      <c r="I3321">
        <v>3076735214</v>
      </c>
      <c r="J3321">
        <v>2302920418</v>
      </c>
      <c r="K3321">
        <v>2146808075</v>
      </c>
      <c r="L3321">
        <v>2063240437</v>
      </c>
      <c r="M3321">
        <v>1270422955</v>
      </c>
      <c r="N3321">
        <v>896646145</v>
      </c>
      <c r="O3321">
        <v>871236443</v>
      </c>
      <c r="P3321">
        <v>100</v>
      </c>
      <c r="Q3321" t="s">
        <v>6985</v>
      </c>
    </row>
    <row r="3322" spans="1:17" x14ac:dyDescent="0.3">
      <c r="A3322" t="s">
        <v>4729</v>
      </c>
      <c r="B3322" t="str">
        <f>"002597"</f>
        <v>002597</v>
      </c>
      <c r="C3322" t="s">
        <v>6986</v>
      </c>
      <c r="D3322" t="s">
        <v>677</v>
      </c>
      <c r="F3322">
        <v>5698438361</v>
      </c>
      <c r="G3322">
        <v>4803454086</v>
      </c>
      <c r="H3322">
        <v>4327275301</v>
      </c>
      <c r="I3322">
        <v>3765103151</v>
      </c>
      <c r="J3322">
        <v>3293902642</v>
      </c>
      <c r="K3322">
        <v>2463756159</v>
      </c>
      <c r="L3322">
        <v>2019106389</v>
      </c>
      <c r="M3322">
        <v>1928413432</v>
      </c>
      <c r="N3322">
        <v>1790278704</v>
      </c>
      <c r="O3322">
        <v>1692402592</v>
      </c>
      <c r="P3322">
        <v>1878</v>
      </c>
      <c r="Q3322" t="s">
        <v>6987</v>
      </c>
    </row>
    <row r="3323" spans="1:17" x14ac:dyDescent="0.3">
      <c r="A3323" t="s">
        <v>4729</v>
      </c>
      <c r="B3323" t="str">
        <f>"002598"</f>
        <v>002598</v>
      </c>
      <c r="C3323" t="s">
        <v>6988</v>
      </c>
      <c r="D3323" t="s">
        <v>560</v>
      </c>
      <c r="F3323">
        <v>983541448</v>
      </c>
      <c r="G3323">
        <v>877833469</v>
      </c>
      <c r="H3323">
        <v>854725427</v>
      </c>
      <c r="I3323">
        <v>840067069</v>
      </c>
      <c r="J3323">
        <v>755755595</v>
      </c>
      <c r="K3323">
        <v>748988694</v>
      </c>
      <c r="L3323">
        <v>755136261</v>
      </c>
      <c r="M3323">
        <v>731315239</v>
      </c>
      <c r="N3323">
        <v>717653417</v>
      </c>
      <c r="O3323">
        <v>698769722</v>
      </c>
      <c r="P3323">
        <v>88</v>
      </c>
      <c r="Q3323" t="s">
        <v>6989</v>
      </c>
    </row>
    <row r="3324" spans="1:17" x14ac:dyDescent="0.3">
      <c r="A3324" t="s">
        <v>4729</v>
      </c>
      <c r="B3324" t="str">
        <f>"002599"</f>
        <v>002599</v>
      </c>
      <c r="C3324" t="s">
        <v>6990</v>
      </c>
      <c r="D3324" t="s">
        <v>1694</v>
      </c>
      <c r="F3324">
        <v>1396805158</v>
      </c>
      <c r="G3324">
        <v>1384871520</v>
      </c>
      <c r="H3324">
        <v>1741094842</v>
      </c>
      <c r="I3324">
        <v>1568175521</v>
      </c>
      <c r="J3324">
        <v>1536798018</v>
      </c>
      <c r="K3324">
        <v>687199275</v>
      </c>
      <c r="L3324">
        <v>649167116</v>
      </c>
      <c r="M3324">
        <v>590259575</v>
      </c>
      <c r="N3324">
        <v>582817945</v>
      </c>
      <c r="O3324">
        <v>567672083</v>
      </c>
      <c r="P3324">
        <v>87</v>
      </c>
      <c r="Q3324" t="s">
        <v>6991</v>
      </c>
    </row>
    <row r="3325" spans="1:17" x14ac:dyDescent="0.3">
      <c r="A3325" t="s">
        <v>4729</v>
      </c>
      <c r="B3325" t="str">
        <f>"002600"</f>
        <v>002600</v>
      </c>
      <c r="C3325" t="s">
        <v>6992</v>
      </c>
      <c r="D3325" t="s">
        <v>313</v>
      </c>
      <c r="F3325">
        <v>15805657027</v>
      </c>
      <c r="G3325">
        <v>14457125136</v>
      </c>
      <c r="H3325">
        <v>11619265300</v>
      </c>
      <c r="I3325">
        <v>9848983374</v>
      </c>
      <c r="J3325">
        <v>6536767869</v>
      </c>
      <c r="K3325">
        <v>5251063789</v>
      </c>
      <c r="L3325">
        <v>2709424406</v>
      </c>
      <c r="M3325">
        <v>1248442785</v>
      </c>
      <c r="N3325">
        <v>1275801834</v>
      </c>
      <c r="O3325">
        <v>1290884024</v>
      </c>
      <c r="P3325">
        <v>877</v>
      </c>
      <c r="Q3325" t="s">
        <v>6993</v>
      </c>
    </row>
    <row r="3326" spans="1:17" x14ac:dyDescent="0.3">
      <c r="A3326" t="s">
        <v>4729</v>
      </c>
      <c r="B3326" t="str">
        <f>"002601"</f>
        <v>002601</v>
      </c>
      <c r="C3326" t="s">
        <v>6994</v>
      </c>
      <c r="D3326" t="s">
        <v>1474</v>
      </c>
      <c r="F3326">
        <v>18917780631</v>
      </c>
      <c r="G3326">
        <v>14194594419</v>
      </c>
      <c r="H3326">
        <v>13870935212</v>
      </c>
      <c r="I3326">
        <v>12422895246</v>
      </c>
      <c r="J3326">
        <v>12886662147</v>
      </c>
      <c r="K3326">
        <v>12339880136</v>
      </c>
      <c r="L3326">
        <v>2298228110</v>
      </c>
      <c r="M3326">
        <v>2212677415</v>
      </c>
      <c r="N3326">
        <v>2166607155</v>
      </c>
      <c r="O3326">
        <v>2135465078</v>
      </c>
      <c r="P3326">
        <v>1262</v>
      </c>
      <c r="Q3326" t="s">
        <v>6995</v>
      </c>
    </row>
    <row r="3327" spans="1:17" x14ac:dyDescent="0.3">
      <c r="A3327" t="s">
        <v>4729</v>
      </c>
      <c r="B3327" t="str">
        <f>"002602"</f>
        <v>002602</v>
      </c>
      <c r="C3327" t="s">
        <v>6996</v>
      </c>
      <c r="D3327" t="s">
        <v>517</v>
      </c>
      <c r="F3327">
        <v>31082287519</v>
      </c>
      <c r="G3327">
        <v>28918874828</v>
      </c>
      <c r="H3327">
        <v>24545721819</v>
      </c>
      <c r="I3327">
        <v>13864375487</v>
      </c>
      <c r="J3327">
        <v>5049562386</v>
      </c>
      <c r="K3327">
        <v>4385029480</v>
      </c>
      <c r="L3327">
        <v>3983809851</v>
      </c>
      <c r="M3327">
        <v>3627016016</v>
      </c>
      <c r="N3327">
        <v>1638980029</v>
      </c>
      <c r="O3327">
        <v>1584068979</v>
      </c>
      <c r="P3327">
        <v>718</v>
      </c>
      <c r="Q3327" t="s">
        <v>6997</v>
      </c>
    </row>
    <row r="3328" spans="1:17" x14ac:dyDescent="0.3">
      <c r="A3328" t="s">
        <v>4729</v>
      </c>
      <c r="B3328" t="str">
        <f>"002603"</f>
        <v>002603</v>
      </c>
      <c r="C3328" t="s">
        <v>6998</v>
      </c>
      <c r="D3328" t="s">
        <v>188</v>
      </c>
      <c r="F3328">
        <v>9069131676</v>
      </c>
      <c r="G3328">
        <v>8919266488</v>
      </c>
      <c r="H3328">
        <v>7944414541</v>
      </c>
      <c r="I3328">
        <v>7561126277</v>
      </c>
      <c r="J3328">
        <v>7110187472</v>
      </c>
      <c r="K3328">
        <v>5321835715</v>
      </c>
      <c r="L3328">
        <v>4815605368</v>
      </c>
      <c r="M3328">
        <v>4554101831</v>
      </c>
      <c r="N3328">
        <v>4258340815</v>
      </c>
      <c r="O3328">
        <v>3844971033</v>
      </c>
      <c r="P3328">
        <v>833</v>
      </c>
      <c r="Q3328" t="s">
        <v>6999</v>
      </c>
    </row>
    <row r="3329" spans="1:17" x14ac:dyDescent="0.3">
      <c r="A3329" t="s">
        <v>4729</v>
      </c>
      <c r="B3329" t="str">
        <f>"002604"</f>
        <v>002604</v>
      </c>
      <c r="C3329" t="s">
        <v>7000</v>
      </c>
      <c r="H3329">
        <v>-4048429167</v>
      </c>
      <c r="I3329">
        <v>-3236367274</v>
      </c>
      <c r="J3329">
        <v>-348656489</v>
      </c>
      <c r="K3329">
        <v>3049189374</v>
      </c>
      <c r="L3329">
        <v>1890311983</v>
      </c>
      <c r="M3329">
        <v>1847759057</v>
      </c>
      <c r="N3329">
        <v>1771597992</v>
      </c>
      <c r="O3329">
        <v>1715323017</v>
      </c>
      <c r="P3329">
        <v>49</v>
      </c>
      <c r="Q3329" t="s">
        <v>7001</v>
      </c>
    </row>
    <row r="3330" spans="1:17" x14ac:dyDescent="0.3">
      <c r="A3330" t="s">
        <v>4729</v>
      </c>
      <c r="B3330" t="str">
        <f>"002605"</f>
        <v>002605</v>
      </c>
      <c r="C3330" t="s">
        <v>7002</v>
      </c>
      <c r="D3330" t="s">
        <v>517</v>
      </c>
      <c r="F3330">
        <v>2447923448</v>
      </c>
      <c r="G3330">
        <v>2060002721</v>
      </c>
      <c r="H3330">
        <v>1493007959</v>
      </c>
      <c r="I3330">
        <v>1798498223</v>
      </c>
      <c r="J3330">
        <v>1599512827</v>
      </c>
      <c r="K3330">
        <v>1502547198</v>
      </c>
      <c r="L3330">
        <v>1044811106</v>
      </c>
      <c r="M3330">
        <v>949769202</v>
      </c>
      <c r="N3330">
        <v>846161811</v>
      </c>
      <c r="O3330">
        <v>790898982</v>
      </c>
      <c r="P3330">
        <v>432</v>
      </c>
      <c r="Q3330" t="s">
        <v>7003</v>
      </c>
    </row>
    <row r="3331" spans="1:17" x14ac:dyDescent="0.3">
      <c r="A3331" t="s">
        <v>4729</v>
      </c>
      <c r="B3331" t="str">
        <f>"002606"</f>
        <v>002606</v>
      </c>
      <c r="C3331" t="s">
        <v>7004</v>
      </c>
      <c r="D3331" t="s">
        <v>1164</v>
      </c>
      <c r="F3331">
        <v>1348304071</v>
      </c>
      <c r="G3331">
        <v>1083992826</v>
      </c>
      <c r="H3331">
        <v>920567655</v>
      </c>
      <c r="I3331">
        <v>875605255</v>
      </c>
      <c r="J3331">
        <v>891385551</v>
      </c>
      <c r="K3331">
        <v>847828206</v>
      </c>
      <c r="L3331">
        <v>753156574</v>
      </c>
      <c r="M3331">
        <v>730326544</v>
      </c>
      <c r="N3331">
        <v>724507498</v>
      </c>
      <c r="O3331">
        <v>721149670</v>
      </c>
      <c r="P3331">
        <v>160</v>
      </c>
      <c r="Q3331" t="s">
        <v>7005</v>
      </c>
    </row>
    <row r="3332" spans="1:17" x14ac:dyDescent="0.3">
      <c r="A3332" t="s">
        <v>4729</v>
      </c>
      <c r="B3332" t="str">
        <f>"002607"</f>
        <v>002607</v>
      </c>
      <c r="C3332" t="s">
        <v>7006</v>
      </c>
      <c r="D3332" t="s">
        <v>1336</v>
      </c>
      <c r="F3332">
        <v>1888818754</v>
      </c>
      <c r="G3332">
        <v>4275127793</v>
      </c>
      <c r="H3332">
        <v>3431545904</v>
      </c>
      <c r="I3332">
        <v>2953951905</v>
      </c>
      <c r="J3332">
        <v>1912062816</v>
      </c>
      <c r="K3332">
        <v>1861396443</v>
      </c>
      <c r="L3332">
        <v>821836131</v>
      </c>
      <c r="M3332">
        <v>806371964</v>
      </c>
      <c r="N3332">
        <v>872485474</v>
      </c>
      <c r="O3332">
        <v>851576394</v>
      </c>
      <c r="P3332">
        <v>1791</v>
      </c>
      <c r="Q3332" t="s">
        <v>7007</v>
      </c>
    </row>
    <row r="3333" spans="1:17" x14ac:dyDescent="0.3">
      <c r="A3333" t="s">
        <v>4729</v>
      </c>
      <c r="B3333" t="str">
        <f>"002608"</f>
        <v>002608</v>
      </c>
      <c r="C3333" t="s">
        <v>7008</v>
      </c>
      <c r="D3333" t="s">
        <v>41</v>
      </c>
      <c r="F3333">
        <v>28602589565</v>
      </c>
      <c r="G3333">
        <v>29387091231</v>
      </c>
      <c r="H3333">
        <v>27031394233</v>
      </c>
      <c r="I3333">
        <v>24217785930</v>
      </c>
      <c r="J3333">
        <v>17561354477</v>
      </c>
      <c r="K3333">
        <v>15480476665</v>
      </c>
      <c r="L3333">
        <v>-5234259396</v>
      </c>
      <c r="M3333">
        <v>213079473</v>
      </c>
      <c r="N3333">
        <v>2043531367</v>
      </c>
      <c r="O3333">
        <v>46260131</v>
      </c>
      <c r="P3333">
        <v>138</v>
      </c>
      <c r="Q3333" t="s">
        <v>7009</v>
      </c>
    </row>
    <row r="3334" spans="1:17" x14ac:dyDescent="0.3">
      <c r="A3334" t="s">
        <v>4729</v>
      </c>
      <c r="B3334" t="str">
        <f>"002609"</f>
        <v>002609</v>
      </c>
      <c r="C3334" t="s">
        <v>7010</v>
      </c>
      <c r="D3334" t="s">
        <v>316</v>
      </c>
      <c r="F3334">
        <v>2333747991</v>
      </c>
      <c r="G3334">
        <v>2214760383</v>
      </c>
      <c r="H3334">
        <v>2054254719</v>
      </c>
      <c r="I3334">
        <v>1979997389</v>
      </c>
      <c r="J3334">
        <v>2260100748</v>
      </c>
      <c r="K3334">
        <v>2085518883</v>
      </c>
      <c r="L3334">
        <v>969164574</v>
      </c>
      <c r="M3334">
        <v>812993043</v>
      </c>
      <c r="N3334">
        <v>725178252</v>
      </c>
      <c r="O3334">
        <v>661015437</v>
      </c>
      <c r="P3334">
        <v>212</v>
      </c>
      <c r="Q3334" t="s">
        <v>7011</v>
      </c>
    </row>
    <row r="3335" spans="1:17" x14ac:dyDescent="0.3">
      <c r="A3335" t="s">
        <v>4729</v>
      </c>
      <c r="B3335" t="str">
        <f>"002610"</f>
        <v>002610</v>
      </c>
      <c r="C3335" t="s">
        <v>7012</v>
      </c>
      <c r="D3335" t="s">
        <v>478</v>
      </c>
      <c r="F3335">
        <v>3641153461</v>
      </c>
      <c r="G3335">
        <v>4096274560</v>
      </c>
      <c r="H3335">
        <v>4107192414</v>
      </c>
      <c r="I3335">
        <v>5867084922</v>
      </c>
      <c r="J3335">
        <v>5715066630</v>
      </c>
      <c r="K3335">
        <v>5639829791</v>
      </c>
      <c r="L3335">
        <v>2408993829</v>
      </c>
      <c r="M3335">
        <v>2298834165</v>
      </c>
      <c r="N3335">
        <v>1236919492</v>
      </c>
      <c r="O3335">
        <v>1227760780</v>
      </c>
      <c r="P3335">
        <v>301</v>
      </c>
      <c r="Q3335" t="s">
        <v>7013</v>
      </c>
    </row>
    <row r="3336" spans="1:17" x14ac:dyDescent="0.3">
      <c r="A3336" t="s">
        <v>4729</v>
      </c>
      <c r="B3336" t="str">
        <f>"002611"</f>
        <v>002611</v>
      </c>
      <c r="C3336" t="s">
        <v>7014</v>
      </c>
      <c r="D3336" t="s">
        <v>3415</v>
      </c>
      <c r="F3336">
        <v>3681970298</v>
      </c>
      <c r="G3336">
        <v>4158538500</v>
      </c>
      <c r="H3336">
        <v>4337064608</v>
      </c>
      <c r="I3336">
        <v>4026565236</v>
      </c>
      <c r="J3336">
        <v>7670809269</v>
      </c>
      <c r="K3336">
        <v>1518001813</v>
      </c>
      <c r="L3336">
        <v>909579969</v>
      </c>
      <c r="M3336">
        <v>892747622</v>
      </c>
      <c r="N3336">
        <v>802550258</v>
      </c>
      <c r="O3336">
        <v>761704000</v>
      </c>
      <c r="P3336">
        <v>208</v>
      </c>
      <c r="Q3336" t="s">
        <v>7015</v>
      </c>
    </row>
    <row r="3337" spans="1:17" x14ac:dyDescent="0.3">
      <c r="A3337" t="s">
        <v>4729</v>
      </c>
      <c r="B3337" t="str">
        <f>"002612"</f>
        <v>002612</v>
      </c>
      <c r="C3337" t="s">
        <v>7016</v>
      </c>
      <c r="D3337" t="s">
        <v>255</v>
      </c>
      <c r="F3337">
        <v>2956287788</v>
      </c>
      <c r="G3337">
        <v>2961058106</v>
      </c>
      <c r="H3337">
        <v>2978032577</v>
      </c>
      <c r="I3337">
        <v>2779607077</v>
      </c>
      <c r="J3337">
        <v>2677323508</v>
      </c>
      <c r="K3337">
        <v>2463974548</v>
      </c>
      <c r="L3337">
        <v>2325034676</v>
      </c>
      <c r="M3337">
        <v>2255832916</v>
      </c>
      <c r="N3337">
        <v>2334661178</v>
      </c>
      <c r="O3337">
        <v>2280865641</v>
      </c>
      <c r="P3337">
        <v>370</v>
      </c>
      <c r="Q3337" t="s">
        <v>7017</v>
      </c>
    </row>
    <row r="3338" spans="1:17" x14ac:dyDescent="0.3">
      <c r="A3338" t="s">
        <v>4729</v>
      </c>
      <c r="B3338" t="str">
        <f>"002613"</f>
        <v>002613</v>
      </c>
      <c r="C3338" t="s">
        <v>7018</v>
      </c>
      <c r="D3338" t="s">
        <v>666</v>
      </c>
      <c r="F3338">
        <v>1532494324</v>
      </c>
      <c r="G3338">
        <v>1513965336</v>
      </c>
      <c r="H3338">
        <v>1500261452</v>
      </c>
      <c r="I3338">
        <v>1483342896</v>
      </c>
      <c r="J3338">
        <v>1443047135</v>
      </c>
      <c r="K3338">
        <v>1502311504</v>
      </c>
      <c r="L3338">
        <v>1492613748</v>
      </c>
      <c r="M3338">
        <v>1469440474</v>
      </c>
      <c r="N3338">
        <v>1470905547</v>
      </c>
      <c r="O3338">
        <v>1427103315</v>
      </c>
      <c r="P3338">
        <v>90</v>
      </c>
      <c r="Q3338" t="s">
        <v>7019</v>
      </c>
    </row>
    <row r="3339" spans="1:17" x14ac:dyDescent="0.3">
      <c r="A3339" t="s">
        <v>4729</v>
      </c>
      <c r="B3339" t="str">
        <f>"002614"</f>
        <v>002614</v>
      </c>
      <c r="C3339" t="s">
        <v>7020</v>
      </c>
      <c r="D3339" t="s">
        <v>3042</v>
      </c>
      <c r="F3339">
        <v>4751743439</v>
      </c>
      <c r="G3339">
        <v>4441655420</v>
      </c>
      <c r="H3339">
        <v>3386900804</v>
      </c>
      <c r="I3339">
        <v>3244843064</v>
      </c>
      <c r="J3339">
        <v>2892445994</v>
      </c>
      <c r="K3339">
        <v>2522934832</v>
      </c>
      <c r="L3339">
        <v>2312583851</v>
      </c>
      <c r="M3339">
        <v>2178769661</v>
      </c>
      <c r="N3339">
        <v>2067252729</v>
      </c>
      <c r="O3339">
        <v>1990526192</v>
      </c>
      <c r="P3339">
        <v>525</v>
      </c>
      <c r="Q3339" t="s">
        <v>7021</v>
      </c>
    </row>
    <row r="3340" spans="1:17" x14ac:dyDescent="0.3">
      <c r="A3340" t="s">
        <v>4729</v>
      </c>
      <c r="B3340" t="str">
        <f>"002615"</f>
        <v>002615</v>
      </c>
      <c r="C3340" t="s">
        <v>7022</v>
      </c>
      <c r="D3340" t="s">
        <v>2445</v>
      </c>
      <c r="F3340">
        <v>903599577</v>
      </c>
      <c r="G3340">
        <v>759697786</v>
      </c>
      <c r="H3340">
        <v>841268129</v>
      </c>
      <c r="I3340">
        <v>824549414</v>
      </c>
      <c r="J3340">
        <v>808040725</v>
      </c>
      <c r="K3340">
        <v>747406619</v>
      </c>
      <c r="L3340">
        <v>637097665</v>
      </c>
      <c r="M3340">
        <v>645500081</v>
      </c>
      <c r="N3340">
        <v>604368282</v>
      </c>
      <c r="O3340">
        <v>559572678</v>
      </c>
      <c r="P3340">
        <v>178</v>
      </c>
      <c r="Q3340" t="s">
        <v>7023</v>
      </c>
    </row>
    <row r="3341" spans="1:17" x14ac:dyDescent="0.3">
      <c r="A3341" t="s">
        <v>4729</v>
      </c>
      <c r="B3341" t="str">
        <f>"002616"</f>
        <v>002616</v>
      </c>
      <c r="C3341" t="s">
        <v>7024</v>
      </c>
      <c r="D3341" t="s">
        <v>7025</v>
      </c>
      <c r="F3341">
        <v>2306513908</v>
      </c>
      <c r="G3341">
        <v>2609877198</v>
      </c>
      <c r="H3341">
        <v>2408647746</v>
      </c>
      <c r="I3341">
        <v>2114983164</v>
      </c>
      <c r="J3341">
        <v>2099750544</v>
      </c>
      <c r="K3341">
        <v>1979053325</v>
      </c>
      <c r="L3341">
        <v>1597728072</v>
      </c>
      <c r="M3341">
        <v>1662219452</v>
      </c>
      <c r="N3341">
        <v>1067692862</v>
      </c>
      <c r="O3341">
        <v>1078750738</v>
      </c>
      <c r="P3341">
        <v>202</v>
      </c>
      <c r="Q3341" t="s">
        <v>7026</v>
      </c>
    </row>
    <row r="3342" spans="1:17" x14ac:dyDescent="0.3">
      <c r="A3342" t="s">
        <v>4729</v>
      </c>
      <c r="B3342" t="str">
        <f>"002617"</f>
        <v>002617</v>
      </c>
      <c r="C3342" t="s">
        <v>7027</v>
      </c>
      <c r="D3342" t="s">
        <v>86</v>
      </c>
      <c r="F3342">
        <v>3665079122</v>
      </c>
      <c r="G3342">
        <v>2985247711</v>
      </c>
      <c r="H3342">
        <v>2870794444</v>
      </c>
      <c r="I3342">
        <v>1575253841</v>
      </c>
      <c r="J3342">
        <v>2562225462</v>
      </c>
      <c r="K3342">
        <v>2270248344</v>
      </c>
      <c r="L3342">
        <v>928387077</v>
      </c>
      <c r="M3342">
        <v>847711812</v>
      </c>
      <c r="N3342">
        <v>895850031</v>
      </c>
      <c r="O3342">
        <v>879238794</v>
      </c>
      <c r="P3342">
        <v>321</v>
      </c>
      <c r="Q3342" t="s">
        <v>7028</v>
      </c>
    </row>
    <row r="3343" spans="1:17" x14ac:dyDescent="0.3">
      <c r="A3343" t="s">
        <v>4729</v>
      </c>
      <c r="B3343" t="str">
        <f>"002618"</f>
        <v>002618</v>
      </c>
      <c r="C3343" t="s">
        <v>7029</v>
      </c>
      <c r="D3343" t="s">
        <v>425</v>
      </c>
      <c r="F3343">
        <v>933517998</v>
      </c>
      <c r="G3343">
        <v>915387835</v>
      </c>
      <c r="H3343">
        <v>1735360272</v>
      </c>
      <c r="I3343">
        <v>1715897670</v>
      </c>
      <c r="J3343">
        <v>1692763139</v>
      </c>
      <c r="K3343">
        <v>1669560886</v>
      </c>
      <c r="L3343">
        <v>1651439930</v>
      </c>
      <c r="M3343">
        <v>1592958809</v>
      </c>
      <c r="N3343">
        <v>1509489481</v>
      </c>
      <c r="O3343">
        <v>882986791</v>
      </c>
      <c r="P3343">
        <v>135</v>
      </c>
      <c r="Q3343" t="s">
        <v>7030</v>
      </c>
    </row>
    <row r="3344" spans="1:17" x14ac:dyDescent="0.3">
      <c r="A3344" t="s">
        <v>4729</v>
      </c>
      <c r="B3344" t="str">
        <f>"002619"</f>
        <v>002619</v>
      </c>
      <c r="C3344" t="s">
        <v>7031</v>
      </c>
      <c r="D3344" t="s">
        <v>517</v>
      </c>
      <c r="G3344">
        <v>2131215672</v>
      </c>
      <c r="H3344">
        <v>3369057137</v>
      </c>
      <c r="I3344">
        <v>6449211404</v>
      </c>
      <c r="J3344">
        <v>5807134268</v>
      </c>
      <c r="K3344">
        <v>3418050075</v>
      </c>
      <c r="L3344">
        <v>3203933174</v>
      </c>
      <c r="M3344">
        <v>553714750</v>
      </c>
      <c r="N3344">
        <v>623732438</v>
      </c>
      <c r="O3344">
        <v>604006229</v>
      </c>
      <c r="P3344">
        <v>124</v>
      </c>
      <c r="Q3344" t="s">
        <v>7032</v>
      </c>
    </row>
    <row r="3345" spans="1:17" x14ac:dyDescent="0.3">
      <c r="A3345" t="s">
        <v>4729</v>
      </c>
      <c r="B3345" t="str">
        <f>"002620"</f>
        <v>002620</v>
      </c>
      <c r="C3345" t="s">
        <v>7033</v>
      </c>
      <c r="D3345" t="s">
        <v>450</v>
      </c>
      <c r="F3345">
        <v>625382949</v>
      </c>
      <c r="G3345">
        <v>2494969388</v>
      </c>
      <c r="H3345">
        <v>2317366597</v>
      </c>
      <c r="I3345">
        <v>2187815553</v>
      </c>
      <c r="J3345">
        <v>2088410422</v>
      </c>
      <c r="K3345">
        <v>1988793430</v>
      </c>
      <c r="L3345">
        <v>1079428366</v>
      </c>
      <c r="M3345">
        <v>1018734298</v>
      </c>
      <c r="N3345">
        <v>976253320</v>
      </c>
      <c r="O3345">
        <v>898499664</v>
      </c>
      <c r="P3345">
        <v>90</v>
      </c>
      <c r="Q3345" t="s">
        <v>7034</v>
      </c>
    </row>
    <row r="3346" spans="1:17" x14ac:dyDescent="0.3">
      <c r="A3346" t="s">
        <v>4729</v>
      </c>
      <c r="B3346" t="str">
        <f>"002621"</f>
        <v>002621</v>
      </c>
      <c r="C3346" t="s">
        <v>7035</v>
      </c>
      <c r="D3346" t="s">
        <v>1336</v>
      </c>
      <c r="F3346">
        <v>892502916</v>
      </c>
      <c r="G3346">
        <v>854125922</v>
      </c>
      <c r="H3346">
        <v>1345802583</v>
      </c>
      <c r="I3346">
        <v>1202372547</v>
      </c>
      <c r="J3346">
        <v>1145473098</v>
      </c>
      <c r="K3346">
        <v>1126972453</v>
      </c>
      <c r="L3346">
        <v>1130337207</v>
      </c>
      <c r="M3346">
        <v>1088519726</v>
      </c>
      <c r="N3346">
        <v>1034394874</v>
      </c>
      <c r="O3346">
        <v>992345494</v>
      </c>
      <c r="P3346">
        <v>143</v>
      </c>
      <c r="Q3346" t="s">
        <v>7036</v>
      </c>
    </row>
    <row r="3347" spans="1:17" x14ac:dyDescent="0.3">
      <c r="A3347" t="s">
        <v>4729</v>
      </c>
      <c r="B3347" t="str">
        <f>"002622"</f>
        <v>002622</v>
      </c>
      <c r="C3347" t="s">
        <v>7037</v>
      </c>
      <c r="D3347" t="s">
        <v>210</v>
      </c>
      <c r="F3347">
        <v>859104421</v>
      </c>
      <c r="G3347">
        <v>871063279</v>
      </c>
      <c r="H3347">
        <v>1284022264</v>
      </c>
      <c r="I3347">
        <v>1280529058</v>
      </c>
      <c r="J3347">
        <v>1238319207</v>
      </c>
      <c r="K3347">
        <v>1169530290</v>
      </c>
      <c r="L3347">
        <v>1153904399</v>
      </c>
      <c r="M3347">
        <v>1219608515</v>
      </c>
      <c r="N3347">
        <v>1176254980</v>
      </c>
      <c r="O3347">
        <v>1137583434</v>
      </c>
      <c r="P3347">
        <v>120</v>
      </c>
      <c r="Q3347" t="s">
        <v>7038</v>
      </c>
    </row>
    <row r="3348" spans="1:17" x14ac:dyDescent="0.3">
      <c r="A3348" t="s">
        <v>4729</v>
      </c>
      <c r="B3348" t="str">
        <f>"002623"</f>
        <v>002623</v>
      </c>
      <c r="C3348" t="s">
        <v>7039</v>
      </c>
      <c r="D3348" t="s">
        <v>478</v>
      </c>
      <c r="F3348">
        <v>3277086312</v>
      </c>
      <c r="G3348">
        <v>2345498283</v>
      </c>
      <c r="H3348">
        <v>2097264492</v>
      </c>
      <c r="I3348">
        <v>2216421093</v>
      </c>
      <c r="J3348">
        <v>2131713810</v>
      </c>
      <c r="K3348">
        <v>2165983917</v>
      </c>
      <c r="L3348">
        <v>2157030480</v>
      </c>
      <c r="M3348">
        <v>2105748470</v>
      </c>
      <c r="N3348">
        <v>2074393832</v>
      </c>
      <c r="O3348">
        <v>2020810061</v>
      </c>
      <c r="P3348">
        <v>172</v>
      </c>
      <c r="Q3348" t="s">
        <v>7040</v>
      </c>
    </row>
    <row r="3349" spans="1:17" x14ac:dyDescent="0.3">
      <c r="A3349" t="s">
        <v>4729</v>
      </c>
      <c r="B3349" t="str">
        <f>"002624"</f>
        <v>002624</v>
      </c>
      <c r="C3349" t="s">
        <v>7041</v>
      </c>
      <c r="D3349" t="s">
        <v>517</v>
      </c>
      <c r="F3349">
        <v>10290047985</v>
      </c>
      <c r="G3349">
        <v>10835317580</v>
      </c>
      <c r="H3349">
        <v>9514714569</v>
      </c>
      <c r="I3349">
        <v>8439135550</v>
      </c>
      <c r="J3349">
        <v>7964168465</v>
      </c>
      <c r="K3349">
        <v>7214308128</v>
      </c>
      <c r="L3349">
        <v>1025750190</v>
      </c>
      <c r="M3349">
        <v>755669932</v>
      </c>
      <c r="N3349">
        <v>507563692</v>
      </c>
      <c r="O3349">
        <v>490862916</v>
      </c>
      <c r="P3349">
        <v>2399</v>
      </c>
      <c r="Q3349" t="s">
        <v>7042</v>
      </c>
    </row>
    <row r="3350" spans="1:17" x14ac:dyDescent="0.3">
      <c r="A3350" t="s">
        <v>4729</v>
      </c>
      <c r="B3350" t="str">
        <f>"002625"</f>
        <v>002625</v>
      </c>
      <c r="C3350" t="s">
        <v>7043</v>
      </c>
      <c r="D3350" t="s">
        <v>98</v>
      </c>
      <c r="F3350">
        <v>8151933342</v>
      </c>
      <c r="G3350">
        <v>7872059732</v>
      </c>
      <c r="H3350">
        <v>7708945440</v>
      </c>
      <c r="I3350">
        <v>7593960229</v>
      </c>
      <c r="J3350">
        <v>7525702448</v>
      </c>
      <c r="K3350">
        <v>602649019</v>
      </c>
      <c r="L3350">
        <v>529056050</v>
      </c>
      <c r="M3350">
        <v>473889884</v>
      </c>
      <c r="N3350">
        <v>436813091</v>
      </c>
      <c r="O3350">
        <v>412495330</v>
      </c>
      <c r="P3350">
        <v>259</v>
      </c>
      <c r="Q3350" t="s">
        <v>7044</v>
      </c>
    </row>
    <row r="3351" spans="1:17" x14ac:dyDescent="0.3">
      <c r="A3351" t="s">
        <v>4729</v>
      </c>
      <c r="B3351" t="str">
        <f>"002626"</f>
        <v>002626</v>
      </c>
      <c r="C3351" t="s">
        <v>7045</v>
      </c>
      <c r="D3351" t="s">
        <v>838</v>
      </c>
      <c r="F3351">
        <v>3970556486</v>
      </c>
      <c r="G3351">
        <v>3428400989</v>
      </c>
      <c r="H3351">
        <v>2907542869</v>
      </c>
      <c r="I3351">
        <v>3018549722</v>
      </c>
      <c r="J3351">
        <v>2483988570</v>
      </c>
      <c r="K3351">
        <v>2164978026</v>
      </c>
      <c r="L3351">
        <v>1458878622</v>
      </c>
      <c r="M3351">
        <v>1421816375</v>
      </c>
      <c r="N3351">
        <v>1317280199</v>
      </c>
      <c r="O3351">
        <v>1269149576</v>
      </c>
      <c r="P3351">
        <v>1113</v>
      </c>
      <c r="Q3351" t="s">
        <v>7046</v>
      </c>
    </row>
    <row r="3352" spans="1:17" x14ac:dyDescent="0.3">
      <c r="A3352" t="s">
        <v>4729</v>
      </c>
      <c r="B3352" t="str">
        <f>"002627"</f>
        <v>002627</v>
      </c>
      <c r="C3352" t="s">
        <v>7047</v>
      </c>
      <c r="D3352" t="s">
        <v>1133</v>
      </c>
      <c r="F3352">
        <v>3126703618</v>
      </c>
      <c r="G3352">
        <v>2224695162</v>
      </c>
      <c r="H3352">
        <v>2207627421</v>
      </c>
      <c r="I3352">
        <v>2072780238</v>
      </c>
      <c r="J3352">
        <v>2004732405</v>
      </c>
      <c r="K3352">
        <v>928111317</v>
      </c>
      <c r="L3352">
        <v>921089912</v>
      </c>
      <c r="M3352">
        <v>899698472</v>
      </c>
      <c r="N3352">
        <v>862725733</v>
      </c>
      <c r="O3352">
        <v>828613682</v>
      </c>
      <c r="P3352">
        <v>99</v>
      </c>
      <c r="Q3352" t="s">
        <v>7048</v>
      </c>
    </row>
    <row r="3353" spans="1:17" x14ac:dyDescent="0.3">
      <c r="A3353" t="s">
        <v>4729</v>
      </c>
      <c r="B3353" t="str">
        <f>"002628"</f>
        <v>002628</v>
      </c>
      <c r="C3353" t="s">
        <v>7049</v>
      </c>
      <c r="D3353" t="s">
        <v>101</v>
      </c>
      <c r="F3353">
        <v>2975314114</v>
      </c>
      <c r="G3353">
        <v>2884394821</v>
      </c>
      <c r="H3353">
        <v>2765104595</v>
      </c>
      <c r="I3353">
        <v>2692960328</v>
      </c>
      <c r="J3353">
        <v>2675377462</v>
      </c>
      <c r="K3353">
        <v>2671679370</v>
      </c>
      <c r="L3353">
        <v>2615765682</v>
      </c>
      <c r="M3353">
        <v>2632528158</v>
      </c>
      <c r="N3353">
        <v>2563881675</v>
      </c>
      <c r="O3353">
        <v>1621908555</v>
      </c>
      <c r="P3353">
        <v>91</v>
      </c>
      <c r="Q3353" t="s">
        <v>7050</v>
      </c>
    </row>
    <row r="3354" spans="1:17" x14ac:dyDescent="0.3">
      <c r="A3354" t="s">
        <v>4729</v>
      </c>
      <c r="B3354" t="str">
        <f>"002629"</f>
        <v>002629</v>
      </c>
      <c r="C3354" t="s">
        <v>7051</v>
      </c>
      <c r="D3354" t="s">
        <v>1762</v>
      </c>
      <c r="F3354">
        <v>7831835</v>
      </c>
      <c r="G3354">
        <v>33170194</v>
      </c>
      <c r="H3354">
        <v>52186520</v>
      </c>
      <c r="I3354">
        <v>23966702</v>
      </c>
      <c r="J3354">
        <v>642511110</v>
      </c>
      <c r="K3354">
        <v>672929256</v>
      </c>
      <c r="L3354">
        <v>648207745</v>
      </c>
      <c r="M3354">
        <v>752752445</v>
      </c>
      <c r="N3354">
        <v>756357372</v>
      </c>
      <c r="O3354">
        <v>744501325</v>
      </c>
      <c r="P3354">
        <v>60</v>
      </c>
      <c r="Q3354" t="s">
        <v>7052</v>
      </c>
    </row>
    <row r="3355" spans="1:17" x14ac:dyDescent="0.3">
      <c r="A3355" t="s">
        <v>4729</v>
      </c>
      <c r="B3355" t="str">
        <f>"002630"</f>
        <v>002630</v>
      </c>
      <c r="C3355" t="s">
        <v>7053</v>
      </c>
      <c r="D3355" t="s">
        <v>470</v>
      </c>
      <c r="F3355">
        <v>1650400325</v>
      </c>
      <c r="G3355">
        <v>2481358761</v>
      </c>
      <c r="H3355">
        <v>3160570797</v>
      </c>
      <c r="I3355">
        <v>3149644423</v>
      </c>
      <c r="J3355">
        <v>3257386686</v>
      </c>
      <c r="K3355">
        <v>3085370943</v>
      </c>
      <c r="L3355">
        <v>2906726659</v>
      </c>
      <c r="M3355">
        <v>2741930057</v>
      </c>
      <c r="N3355">
        <v>1763661882</v>
      </c>
      <c r="O3355">
        <v>1646050268</v>
      </c>
      <c r="P3355">
        <v>109</v>
      </c>
      <c r="Q3355" t="s">
        <v>7054</v>
      </c>
    </row>
    <row r="3356" spans="1:17" x14ac:dyDescent="0.3">
      <c r="A3356" t="s">
        <v>4729</v>
      </c>
      <c r="B3356" t="str">
        <f>"002631"</f>
        <v>002631</v>
      </c>
      <c r="C3356" t="s">
        <v>7055</v>
      </c>
      <c r="D3356" t="s">
        <v>2664</v>
      </c>
      <c r="F3356">
        <v>1739395588</v>
      </c>
      <c r="G3356">
        <v>1680926679</v>
      </c>
      <c r="H3356">
        <v>1745666955</v>
      </c>
      <c r="I3356">
        <v>1659112111</v>
      </c>
      <c r="J3356">
        <v>1545508610</v>
      </c>
      <c r="K3356">
        <v>1466236285</v>
      </c>
      <c r="L3356">
        <v>1559860930</v>
      </c>
      <c r="M3356">
        <v>1425412670</v>
      </c>
      <c r="N3356">
        <v>1300717413</v>
      </c>
      <c r="O3356">
        <v>1212302819</v>
      </c>
      <c r="P3356">
        <v>156</v>
      </c>
      <c r="Q3356" t="s">
        <v>7056</v>
      </c>
    </row>
    <row r="3357" spans="1:17" x14ac:dyDescent="0.3">
      <c r="A3357" t="s">
        <v>4729</v>
      </c>
      <c r="B3357" t="str">
        <f>"002632"</f>
        <v>002632</v>
      </c>
      <c r="C3357" t="s">
        <v>7057</v>
      </c>
      <c r="D3357" t="s">
        <v>324</v>
      </c>
      <c r="F3357">
        <v>2071340261</v>
      </c>
      <c r="G3357">
        <v>2010734530</v>
      </c>
      <c r="H3357">
        <v>1955292623</v>
      </c>
      <c r="I3357">
        <v>1998375355</v>
      </c>
      <c r="J3357">
        <v>1826934661</v>
      </c>
      <c r="K3357">
        <v>1428006657</v>
      </c>
      <c r="L3357">
        <v>1394078797</v>
      </c>
      <c r="M3357">
        <v>917377193</v>
      </c>
      <c r="N3357">
        <v>896699721</v>
      </c>
      <c r="O3357">
        <v>894325831</v>
      </c>
      <c r="P3357">
        <v>144</v>
      </c>
      <c r="Q3357" t="s">
        <v>7058</v>
      </c>
    </row>
    <row r="3358" spans="1:17" x14ac:dyDescent="0.3">
      <c r="A3358" t="s">
        <v>4729</v>
      </c>
      <c r="B3358" t="str">
        <f>"002633"</f>
        <v>002633</v>
      </c>
      <c r="C3358" t="s">
        <v>7059</v>
      </c>
      <c r="D3358" t="s">
        <v>274</v>
      </c>
      <c r="F3358">
        <v>470168126</v>
      </c>
      <c r="G3358">
        <v>463283484</v>
      </c>
      <c r="H3358">
        <v>495958708</v>
      </c>
      <c r="I3358">
        <v>524830049</v>
      </c>
      <c r="J3358">
        <v>520765145</v>
      </c>
      <c r="K3358">
        <v>515352688</v>
      </c>
      <c r="L3358">
        <v>539351669</v>
      </c>
      <c r="M3358">
        <v>514382870</v>
      </c>
      <c r="N3358">
        <v>539028013</v>
      </c>
      <c r="O3358">
        <v>567568962</v>
      </c>
      <c r="P3358">
        <v>44</v>
      </c>
      <c r="Q3358" t="s">
        <v>7060</v>
      </c>
    </row>
    <row r="3359" spans="1:17" x14ac:dyDescent="0.3">
      <c r="A3359" t="s">
        <v>4729</v>
      </c>
      <c r="B3359" t="str">
        <f>"002634"</f>
        <v>002634</v>
      </c>
      <c r="C3359" t="s">
        <v>7061</v>
      </c>
      <c r="D3359" t="s">
        <v>330</v>
      </c>
      <c r="F3359">
        <v>814453543</v>
      </c>
      <c r="G3359">
        <v>758833595</v>
      </c>
      <c r="H3359">
        <v>686862294</v>
      </c>
      <c r="I3359">
        <v>685932317</v>
      </c>
      <c r="J3359">
        <v>690947162</v>
      </c>
      <c r="K3359">
        <v>665624914</v>
      </c>
      <c r="L3359">
        <v>650838105</v>
      </c>
      <c r="M3359">
        <v>640219337</v>
      </c>
      <c r="N3359">
        <v>493758401</v>
      </c>
      <c r="O3359">
        <v>484756588</v>
      </c>
      <c r="P3359">
        <v>88</v>
      </c>
      <c r="Q3359" t="s">
        <v>7062</v>
      </c>
    </row>
    <row r="3360" spans="1:17" x14ac:dyDescent="0.3">
      <c r="A3360" t="s">
        <v>4729</v>
      </c>
      <c r="B3360" t="str">
        <f>"002635"</f>
        <v>002635</v>
      </c>
      <c r="C3360" t="s">
        <v>7063</v>
      </c>
      <c r="D3360" t="s">
        <v>313</v>
      </c>
      <c r="F3360">
        <v>5775150511</v>
      </c>
      <c r="G3360">
        <v>5981995306</v>
      </c>
      <c r="H3360">
        <v>5683906714</v>
      </c>
      <c r="I3360">
        <v>6949954084</v>
      </c>
      <c r="J3360">
        <v>6771425713</v>
      </c>
      <c r="K3360">
        <v>2589466488</v>
      </c>
      <c r="L3360">
        <v>2321783069</v>
      </c>
      <c r="M3360">
        <v>1280003810</v>
      </c>
      <c r="N3360">
        <v>1193119025</v>
      </c>
      <c r="O3360">
        <v>1098810719</v>
      </c>
      <c r="P3360">
        <v>513</v>
      </c>
      <c r="Q3360" t="s">
        <v>7064</v>
      </c>
    </row>
    <row r="3361" spans="1:17" x14ac:dyDescent="0.3">
      <c r="A3361" t="s">
        <v>4729</v>
      </c>
      <c r="B3361" t="str">
        <f>"002636"</f>
        <v>002636</v>
      </c>
      <c r="C3361" t="s">
        <v>7065</v>
      </c>
      <c r="D3361" t="s">
        <v>425</v>
      </c>
      <c r="F3361">
        <v>3493926382</v>
      </c>
      <c r="G3361">
        <v>2847037271</v>
      </c>
      <c r="H3361">
        <v>2668227396</v>
      </c>
      <c r="I3361">
        <v>2514661182</v>
      </c>
      <c r="J3361">
        <v>2221113476</v>
      </c>
      <c r="K3361">
        <v>1732347425</v>
      </c>
      <c r="L3361">
        <v>1390035336</v>
      </c>
      <c r="M3361">
        <v>1335683043</v>
      </c>
      <c r="N3361">
        <v>1341581324</v>
      </c>
      <c r="O3361">
        <v>1311583946</v>
      </c>
      <c r="P3361">
        <v>306</v>
      </c>
      <c r="Q3361" t="s">
        <v>7066</v>
      </c>
    </row>
    <row r="3362" spans="1:17" x14ac:dyDescent="0.3">
      <c r="A3362" t="s">
        <v>4729</v>
      </c>
      <c r="B3362" t="str">
        <f>"002637"</f>
        <v>002637</v>
      </c>
      <c r="C3362" t="s">
        <v>7067</v>
      </c>
      <c r="D3362" t="s">
        <v>386</v>
      </c>
      <c r="F3362">
        <v>4034167669</v>
      </c>
      <c r="G3362">
        <v>2919332750</v>
      </c>
      <c r="H3362">
        <v>2689811092</v>
      </c>
      <c r="I3362">
        <v>2267062354</v>
      </c>
      <c r="J3362">
        <v>2159684839</v>
      </c>
      <c r="K3362">
        <v>2074824237</v>
      </c>
      <c r="L3362">
        <v>1168071095</v>
      </c>
      <c r="M3362">
        <v>1059041772</v>
      </c>
      <c r="N3362">
        <v>1022611037</v>
      </c>
      <c r="O3362">
        <v>981756274</v>
      </c>
      <c r="P3362">
        <v>145</v>
      </c>
      <c r="Q3362" t="s">
        <v>7068</v>
      </c>
    </row>
    <row r="3363" spans="1:17" x14ac:dyDescent="0.3">
      <c r="A3363" t="s">
        <v>4729</v>
      </c>
      <c r="B3363" t="str">
        <f>"002638"</f>
        <v>002638</v>
      </c>
      <c r="C3363" t="s">
        <v>7069</v>
      </c>
      <c r="D3363" t="s">
        <v>1336</v>
      </c>
      <c r="F3363">
        <v>2725177770</v>
      </c>
      <c r="G3363">
        <v>3603657256</v>
      </c>
      <c r="H3363">
        <v>3555039092</v>
      </c>
      <c r="I3363">
        <v>3934642402</v>
      </c>
      <c r="J3363">
        <v>5164194683</v>
      </c>
      <c r="K3363">
        <v>5078600632</v>
      </c>
      <c r="L3363">
        <v>2235427345</v>
      </c>
      <c r="M3363">
        <v>2219001947</v>
      </c>
      <c r="N3363">
        <v>2214023095</v>
      </c>
      <c r="O3363">
        <v>2128676402</v>
      </c>
      <c r="P3363">
        <v>83</v>
      </c>
      <c r="Q3363" t="s">
        <v>7070</v>
      </c>
    </row>
    <row r="3364" spans="1:17" x14ac:dyDescent="0.3">
      <c r="A3364" t="s">
        <v>4729</v>
      </c>
      <c r="B3364" t="str">
        <f>"002639"</f>
        <v>002639</v>
      </c>
      <c r="C3364" t="s">
        <v>7071</v>
      </c>
      <c r="D3364" t="s">
        <v>988</v>
      </c>
      <c r="F3364">
        <v>2654914325</v>
      </c>
      <c r="G3364">
        <v>2114417312</v>
      </c>
      <c r="H3364">
        <v>2297872908</v>
      </c>
      <c r="I3364">
        <v>2253984466</v>
      </c>
      <c r="J3364">
        <v>2211365833</v>
      </c>
      <c r="K3364">
        <v>2273747030</v>
      </c>
      <c r="L3364">
        <v>1582999094</v>
      </c>
      <c r="M3364">
        <v>1145468055</v>
      </c>
      <c r="N3364">
        <v>1165068415</v>
      </c>
      <c r="O3364">
        <v>1149207445</v>
      </c>
      <c r="P3364">
        <v>228</v>
      </c>
      <c r="Q3364" t="s">
        <v>7072</v>
      </c>
    </row>
    <row r="3365" spans="1:17" x14ac:dyDescent="0.3">
      <c r="A3365" t="s">
        <v>4729</v>
      </c>
      <c r="B3365" t="str">
        <f>"002640"</f>
        <v>002640</v>
      </c>
      <c r="C3365" t="s">
        <v>7073</v>
      </c>
      <c r="D3365" t="s">
        <v>2020</v>
      </c>
      <c r="F3365">
        <v>1445896033</v>
      </c>
      <c r="G3365">
        <v>1213521213</v>
      </c>
      <c r="H3365">
        <v>4576280372</v>
      </c>
      <c r="I3365">
        <v>7318152751</v>
      </c>
      <c r="J3365">
        <v>4866318515</v>
      </c>
      <c r="K3365">
        <v>4206155173</v>
      </c>
      <c r="L3365">
        <v>2043750322</v>
      </c>
      <c r="M3365">
        <v>1830326566</v>
      </c>
      <c r="N3365">
        <v>694815908</v>
      </c>
      <c r="O3365">
        <v>668658822</v>
      </c>
      <c r="P3365">
        <v>263</v>
      </c>
      <c r="Q3365" t="s">
        <v>7074</v>
      </c>
    </row>
    <row r="3366" spans="1:17" x14ac:dyDescent="0.3">
      <c r="A3366" t="s">
        <v>4729</v>
      </c>
      <c r="B3366" t="str">
        <f>"002641"</f>
        <v>002641</v>
      </c>
      <c r="C3366" t="s">
        <v>7075</v>
      </c>
      <c r="D3366" t="s">
        <v>3347</v>
      </c>
      <c r="F3366">
        <v>5058002817</v>
      </c>
      <c r="G3366">
        <v>4700479319</v>
      </c>
      <c r="H3366">
        <v>3382470945</v>
      </c>
      <c r="I3366">
        <v>2908556399</v>
      </c>
      <c r="J3366">
        <v>2690251942</v>
      </c>
      <c r="K3366">
        <v>2540797640</v>
      </c>
      <c r="L3366">
        <v>2369150232</v>
      </c>
      <c r="M3366">
        <v>2210075269</v>
      </c>
      <c r="N3366">
        <v>2031835337</v>
      </c>
      <c r="O3366">
        <v>1824878002</v>
      </c>
      <c r="P3366">
        <v>360</v>
      </c>
      <c r="Q3366" t="s">
        <v>7076</v>
      </c>
    </row>
    <row r="3367" spans="1:17" x14ac:dyDescent="0.3">
      <c r="A3367" t="s">
        <v>4729</v>
      </c>
      <c r="B3367" t="str">
        <f>"002642"</f>
        <v>002642</v>
      </c>
      <c r="C3367" t="s">
        <v>7077</v>
      </c>
      <c r="D3367" t="s">
        <v>316</v>
      </c>
      <c r="F3367">
        <v>1489520216</v>
      </c>
      <c r="G3367">
        <v>1398317004</v>
      </c>
      <c r="H3367">
        <v>2628856765</v>
      </c>
      <c r="I3367">
        <v>2593563616</v>
      </c>
      <c r="J3367">
        <v>4082426014</v>
      </c>
      <c r="K3367">
        <v>3773769476</v>
      </c>
      <c r="L3367">
        <v>3576465109</v>
      </c>
      <c r="M3367">
        <v>2479010442</v>
      </c>
      <c r="N3367">
        <v>1561766145</v>
      </c>
      <c r="O3367">
        <v>882496931</v>
      </c>
      <c r="P3367">
        <v>221</v>
      </c>
      <c r="Q3367" t="s">
        <v>7078</v>
      </c>
    </row>
    <row r="3368" spans="1:17" x14ac:dyDescent="0.3">
      <c r="A3368" t="s">
        <v>4729</v>
      </c>
      <c r="B3368" t="str">
        <f>"002643"</f>
        <v>002643</v>
      </c>
      <c r="C3368" t="s">
        <v>7079</v>
      </c>
      <c r="D3368" t="s">
        <v>2408</v>
      </c>
      <c r="F3368">
        <v>5613710933</v>
      </c>
      <c r="G3368">
        <v>5163240707</v>
      </c>
      <c r="H3368">
        <v>4818629892</v>
      </c>
      <c r="I3368">
        <v>4434775010</v>
      </c>
      <c r="J3368">
        <v>4062259184</v>
      </c>
      <c r="K3368">
        <v>3849618618</v>
      </c>
      <c r="L3368">
        <v>2591297733</v>
      </c>
      <c r="M3368">
        <v>1375745712</v>
      </c>
      <c r="N3368">
        <v>1327826506</v>
      </c>
      <c r="O3368">
        <v>1244457986</v>
      </c>
      <c r="P3368">
        <v>387</v>
      </c>
      <c r="Q3368" t="s">
        <v>7080</v>
      </c>
    </row>
    <row r="3369" spans="1:17" x14ac:dyDescent="0.3">
      <c r="A3369" t="s">
        <v>4729</v>
      </c>
      <c r="B3369" t="str">
        <f>"002644"</f>
        <v>002644</v>
      </c>
      <c r="C3369" t="s">
        <v>7081</v>
      </c>
      <c r="D3369" t="s">
        <v>188</v>
      </c>
      <c r="F3369">
        <v>1614577062</v>
      </c>
      <c r="G3369">
        <v>1591159688</v>
      </c>
      <c r="H3369">
        <v>1510002284</v>
      </c>
      <c r="I3369">
        <v>1441788264</v>
      </c>
      <c r="J3369">
        <v>1359148203</v>
      </c>
      <c r="K3369">
        <v>1290583264</v>
      </c>
      <c r="L3369">
        <v>1233652939</v>
      </c>
      <c r="M3369">
        <v>735219692</v>
      </c>
      <c r="N3369">
        <v>703374125</v>
      </c>
      <c r="O3369">
        <v>675532295</v>
      </c>
      <c r="P3369">
        <v>163</v>
      </c>
      <c r="Q3369" t="s">
        <v>7082</v>
      </c>
    </row>
    <row r="3370" spans="1:17" x14ac:dyDescent="0.3">
      <c r="A3370" t="s">
        <v>4729</v>
      </c>
      <c r="B3370" t="str">
        <f>"002645"</f>
        <v>002645</v>
      </c>
      <c r="C3370" t="s">
        <v>7083</v>
      </c>
      <c r="D3370" t="s">
        <v>1070</v>
      </c>
      <c r="F3370">
        <v>3486432123</v>
      </c>
      <c r="G3370">
        <v>2964665186</v>
      </c>
      <c r="H3370">
        <v>1954726059</v>
      </c>
      <c r="I3370">
        <v>1815727776</v>
      </c>
      <c r="J3370">
        <v>1674150925</v>
      </c>
      <c r="K3370">
        <v>1554447244</v>
      </c>
      <c r="L3370">
        <v>1490500389</v>
      </c>
      <c r="M3370">
        <v>686991901</v>
      </c>
      <c r="N3370">
        <v>686178274</v>
      </c>
      <c r="O3370">
        <v>659171336</v>
      </c>
      <c r="P3370">
        <v>204</v>
      </c>
      <c r="Q3370" t="s">
        <v>7084</v>
      </c>
    </row>
    <row r="3371" spans="1:17" x14ac:dyDescent="0.3">
      <c r="A3371" t="s">
        <v>4729</v>
      </c>
      <c r="B3371" t="str">
        <f>"002646"</f>
        <v>002646</v>
      </c>
      <c r="C3371" t="s">
        <v>7085</v>
      </c>
      <c r="D3371" t="s">
        <v>458</v>
      </c>
      <c r="F3371">
        <v>2715528306</v>
      </c>
      <c r="G3371">
        <v>2245380618</v>
      </c>
      <c r="H3371">
        <v>2372242814</v>
      </c>
      <c r="I3371">
        <v>2390185947</v>
      </c>
      <c r="J3371">
        <v>2308802089</v>
      </c>
      <c r="K3371">
        <v>2477077141</v>
      </c>
      <c r="L3371">
        <v>2345111760</v>
      </c>
      <c r="M3371">
        <v>2224342743</v>
      </c>
      <c r="N3371">
        <v>2041891798</v>
      </c>
      <c r="O3371">
        <v>1780926427</v>
      </c>
      <c r="P3371">
        <v>254</v>
      </c>
      <c r="Q3371" t="s">
        <v>7086</v>
      </c>
    </row>
    <row r="3372" spans="1:17" x14ac:dyDescent="0.3">
      <c r="A3372" t="s">
        <v>4729</v>
      </c>
      <c r="B3372" t="str">
        <f>"002647"</f>
        <v>002647</v>
      </c>
      <c r="C3372" t="s">
        <v>7087</v>
      </c>
      <c r="D3372" t="s">
        <v>6424</v>
      </c>
      <c r="F3372">
        <v>349188269</v>
      </c>
      <c r="G3372">
        <v>515936993</v>
      </c>
      <c r="H3372">
        <v>987742301</v>
      </c>
      <c r="I3372">
        <v>968738055</v>
      </c>
      <c r="J3372">
        <v>776253058</v>
      </c>
      <c r="K3372">
        <v>1119878677</v>
      </c>
      <c r="L3372">
        <v>998536701</v>
      </c>
      <c r="M3372">
        <v>989874511</v>
      </c>
      <c r="N3372">
        <v>1052826164</v>
      </c>
      <c r="O3372">
        <v>986188940</v>
      </c>
      <c r="P3372">
        <v>180</v>
      </c>
      <c r="Q3372" t="s">
        <v>7088</v>
      </c>
    </row>
    <row r="3373" spans="1:17" x14ac:dyDescent="0.3">
      <c r="A3373" t="s">
        <v>4729</v>
      </c>
      <c r="B3373" t="str">
        <f>"002648"</f>
        <v>002648</v>
      </c>
      <c r="C3373" t="s">
        <v>7089</v>
      </c>
      <c r="D3373" t="s">
        <v>386</v>
      </c>
      <c r="F3373">
        <v>19362633841</v>
      </c>
      <c r="G3373">
        <v>13630515149</v>
      </c>
      <c r="H3373">
        <v>9242664219</v>
      </c>
      <c r="I3373">
        <v>8039561216</v>
      </c>
      <c r="J3373">
        <v>7197613262</v>
      </c>
      <c r="K3373">
        <v>3376981766</v>
      </c>
      <c r="L3373">
        <v>3128814888</v>
      </c>
      <c r="M3373">
        <v>3549030638</v>
      </c>
      <c r="N3373">
        <v>3648389178</v>
      </c>
      <c r="O3373">
        <v>3259995239</v>
      </c>
      <c r="P3373">
        <v>526</v>
      </c>
      <c r="Q3373" t="s">
        <v>7090</v>
      </c>
    </row>
    <row r="3374" spans="1:17" x14ac:dyDescent="0.3">
      <c r="A3374" t="s">
        <v>4729</v>
      </c>
      <c r="B3374" t="str">
        <f>"002649"</f>
        <v>002649</v>
      </c>
      <c r="C3374" t="s">
        <v>7091</v>
      </c>
      <c r="D3374" t="s">
        <v>316</v>
      </c>
      <c r="F3374">
        <v>3682021672</v>
      </c>
      <c r="G3374">
        <v>2955883515</v>
      </c>
      <c r="H3374">
        <v>2639656902</v>
      </c>
      <c r="I3374">
        <v>2425130671</v>
      </c>
      <c r="J3374">
        <v>2113245362</v>
      </c>
      <c r="K3374">
        <v>1860732075</v>
      </c>
      <c r="L3374">
        <v>1720682369</v>
      </c>
      <c r="M3374">
        <v>1557273136</v>
      </c>
      <c r="N3374">
        <v>1407733190</v>
      </c>
      <c r="O3374">
        <v>928263815</v>
      </c>
      <c r="P3374">
        <v>273</v>
      </c>
      <c r="Q3374" t="s">
        <v>7092</v>
      </c>
    </row>
    <row r="3375" spans="1:17" x14ac:dyDescent="0.3">
      <c r="A3375" t="s">
        <v>4729</v>
      </c>
      <c r="B3375" t="str">
        <f>"002650"</f>
        <v>002650</v>
      </c>
      <c r="C3375" t="s">
        <v>7093</v>
      </c>
      <c r="D3375" t="s">
        <v>433</v>
      </c>
      <c r="F3375">
        <v>2649602837</v>
      </c>
      <c r="G3375">
        <v>2556532895</v>
      </c>
      <c r="H3375">
        <v>2336837291</v>
      </c>
      <c r="I3375">
        <v>2174347001</v>
      </c>
      <c r="J3375">
        <v>2058989578</v>
      </c>
      <c r="K3375">
        <v>1950949564</v>
      </c>
      <c r="L3375">
        <v>1845002598</v>
      </c>
      <c r="M3375">
        <v>1740514459</v>
      </c>
      <c r="N3375">
        <v>1745864215</v>
      </c>
      <c r="O3375">
        <v>1699183707</v>
      </c>
      <c r="P3375">
        <v>207</v>
      </c>
      <c r="Q3375" t="s">
        <v>7094</v>
      </c>
    </row>
    <row r="3376" spans="1:17" x14ac:dyDescent="0.3">
      <c r="A3376" t="s">
        <v>4729</v>
      </c>
      <c r="B3376" t="str">
        <f>"002651"</f>
        <v>002651</v>
      </c>
      <c r="C3376" t="s">
        <v>7095</v>
      </c>
      <c r="D3376" t="s">
        <v>395</v>
      </c>
      <c r="F3376">
        <v>2370750121</v>
      </c>
      <c r="G3376">
        <v>2367567947</v>
      </c>
      <c r="H3376">
        <v>2200837060</v>
      </c>
      <c r="I3376">
        <v>2046513042</v>
      </c>
      <c r="J3376">
        <v>1977784545</v>
      </c>
      <c r="K3376">
        <v>1903084158</v>
      </c>
      <c r="L3376">
        <v>1862932533</v>
      </c>
      <c r="M3376">
        <v>1874858312</v>
      </c>
      <c r="N3376">
        <v>1886889405</v>
      </c>
      <c r="O3376">
        <v>2064947466</v>
      </c>
      <c r="P3376">
        <v>121</v>
      </c>
      <c r="Q3376" t="s">
        <v>7096</v>
      </c>
    </row>
    <row r="3377" spans="1:17" x14ac:dyDescent="0.3">
      <c r="A3377" t="s">
        <v>4729</v>
      </c>
      <c r="B3377" t="str">
        <f>"002652"</f>
        <v>002652</v>
      </c>
      <c r="C3377" t="s">
        <v>7097</v>
      </c>
      <c r="D3377" t="s">
        <v>722</v>
      </c>
      <c r="F3377">
        <v>264715830</v>
      </c>
      <c r="G3377">
        <v>320696683</v>
      </c>
      <c r="H3377">
        <v>445618010</v>
      </c>
      <c r="I3377">
        <v>736153939</v>
      </c>
      <c r="J3377">
        <v>748240769</v>
      </c>
      <c r="K3377">
        <v>697845663</v>
      </c>
      <c r="L3377">
        <v>607868086</v>
      </c>
      <c r="M3377">
        <v>585921584</v>
      </c>
      <c r="N3377">
        <v>565071014</v>
      </c>
      <c r="O3377">
        <v>544874798</v>
      </c>
      <c r="P3377">
        <v>58</v>
      </c>
      <c r="Q3377" t="s">
        <v>7098</v>
      </c>
    </row>
    <row r="3378" spans="1:17" x14ac:dyDescent="0.3">
      <c r="A3378" t="s">
        <v>4729</v>
      </c>
      <c r="B3378" t="str">
        <f>"002653"</f>
        <v>002653</v>
      </c>
      <c r="C3378" t="s">
        <v>7099</v>
      </c>
      <c r="D3378" t="s">
        <v>143</v>
      </c>
      <c r="F3378">
        <v>2841929514</v>
      </c>
      <c r="G3378">
        <v>2902376916</v>
      </c>
      <c r="H3378">
        <v>2371343812</v>
      </c>
      <c r="I3378">
        <v>2026716727</v>
      </c>
      <c r="J3378">
        <v>1985630767</v>
      </c>
      <c r="K3378">
        <v>2264547988</v>
      </c>
      <c r="L3378">
        <v>2156604841</v>
      </c>
      <c r="M3378">
        <v>2107369938</v>
      </c>
      <c r="N3378">
        <v>1926945577</v>
      </c>
      <c r="O3378">
        <v>1707801664</v>
      </c>
      <c r="P3378">
        <v>549</v>
      </c>
      <c r="Q3378" t="s">
        <v>7100</v>
      </c>
    </row>
    <row r="3379" spans="1:17" x14ac:dyDescent="0.3">
      <c r="A3379" t="s">
        <v>4729</v>
      </c>
      <c r="B3379" t="str">
        <f>"002654"</f>
        <v>002654</v>
      </c>
      <c r="C3379" t="s">
        <v>7101</v>
      </c>
      <c r="D3379" t="s">
        <v>803</v>
      </c>
      <c r="F3379">
        <v>1664091138</v>
      </c>
      <c r="G3379">
        <v>2093997257</v>
      </c>
      <c r="H3379">
        <v>2012941333</v>
      </c>
      <c r="I3379">
        <v>2012278758</v>
      </c>
      <c r="J3379">
        <v>2600744886</v>
      </c>
      <c r="K3379">
        <v>2172089169</v>
      </c>
      <c r="L3379">
        <v>1300663937</v>
      </c>
      <c r="M3379">
        <v>557447926</v>
      </c>
      <c r="N3379">
        <v>531123028</v>
      </c>
      <c r="O3379">
        <v>495473792</v>
      </c>
      <c r="P3379">
        <v>124</v>
      </c>
      <c r="Q3379" t="s">
        <v>7102</v>
      </c>
    </row>
    <row r="3380" spans="1:17" x14ac:dyDescent="0.3">
      <c r="A3380" t="s">
        <v>4729</v>
      </c>
      <c r="B3380" t="str">
        <f>"002655"</f>
        <v>002655</v>
      </c>
      <c r="C3380" t="s">
        <v>7103</v>
      </c>
      <c r="D3380" t="s">
        <v>313</v>
      </c>
      <c r="F3380">
        <v>623853541</v>
      </c>
      <c r="G3380">
        <v>521355592</v>
      </c>
      <c r="H3380">
        <v>520333740</v>
      </c>
      <c r="I3380">
        <v>488589599</v>
      </c>
      <c r="J3380">
        <v>467316235</v>
      </c>
      <c r="K3380">
        <v>646253608</v>
      </c>
      <c r="L3380">
        <v>632078702</v>
      </c>
      <c r="M3380">
        <v>618415262</v>
      </c>
      <c r="N3380">
        <v>581325427</v>
      </c>
      <c r="O3380">
        <v>575879797</v>
      </c>
      <c r="P3380">
        <v>230</v>
      </c>
      <c r="Q3380" t="s">
        <v>7104</v>
      </c>
    </row>
    <row r="3381" spans="1:17" x14ac:dyDescent="0.3">
      <c r="A3381" t="s">
        <v>4729</v>
      </c>
      <c r="B3381" t="str">
        <f>"002656"</f>
        <v>002656</v>
      </c>
      <c r="C3381" t="s">
        <v>7105</v>
      </c>
      <c r="D3381" t="s">
        <v>255</v>
      </c>
      <c r="F3381">
        <v>749514967</v>
      </c>
      <c r="G3381">
        <v>759527961</v>
      </c>
      <c r="H3381">
        <v>760530027</v>
      </c>
      <c r="I3381">
        <v>2313086143</v>
      </c>
      <c r="J3381">
        <v>2296945327</v>
      </c>
      <c r="K3381">
        <v>1733354441</v>
      </c>
      <c r="L3381">
        <v>1202483963</v>
      </c>
      <c r="M3381">
        <v>1222406563</v>
      </c>
      <c r="N3381">
        <v>1242545379</v>
      </c>
      <c r="O3381">
        <v>1132033417</v>
      </c>
      <c r="P3381">
        <v>62</v>
      </c>
      <c r="Q3381" t="s">
        <v>7106</v>
      </c>
    </row>
    <row r="3382" spans="1:17" x14ac:dyDescent="0.3">
      <c r="A3382" t="s">
        <v>4729</v>
      </c>
      <c r="B3382" t="str">
        <f>"002657"</f>
        <v>002657</v>
      </c>
      <c r="C3382" t="s">
        <v>7107</v>
      </c>
      <c r="D3382" t="s">
        <v>316</v>
      </c>
      <c r="F3382">
        <v>2161496476</v>
      </c>
      <c r="G3382">
        <v>2255202219</v>
      </c>
      <c r="H3382">
        <v>2246128858</v>
      </c>
      <c r="I3382">
        <v>2525742415</v>
      </c>
      <c r="J3382">
        <v>2517531571</v>
      </c>
      <c r="K3382">
        <v>2770957997</v>
      </c>
      <c r="L3382">
        <v>1651988588</v>
      </c>
      <c r="M3382">
        <v>1501107899</v>
      </c>
      <c r="N3382">
        <v>704174127</v>
      </c>
      <c r="O3382">
        <v>658621558</v>
      </c>
      <c r="P3382">
        <v>154</v>
      </c>
      <c r="Q3382" t="s">
        <v>7108</v>
      </c>
    </row>
    <row r="3383" spans="1:17" x14ac:dyDescent="0.3">
      <c r="A3383" t="s">
        <v>4729</v>
      </c>
      <c r="B3383" t="str">
        <f>"002658"</f>
        <v>002658</v>
      </c>
      <c r="C3383" t="s">
        <v>7109</v>
      </c>
      <c r="D3383" t="s">
        <v>1070</v>
      </c>
      <c r="F3383">
        <v>2482594667</v>
      </c>
      <c r="G3383">
        <v>2112213230</v>
      </c>
      <c r="H3383">
        <v>2024768682</v>
      </c>
      <c r="I3383">
        <v>2013458072</v>
      </c>
      <c r="J3383">
        <v>1891146571</v>
      </c>
      <c r="K3383">
        <v>1716051396</v>
      </c>
      <c r="L3383">
        <v>1573116105</v>
      </c>
      <c r="M3383">
        <v>1351461127</v>
      </c>
      <c r="N3383">
        <v>1180114559</v>
      </c>
      <c r="O3383">
        <v>1067963534</v>
      </c>
      <c r="P3383">
        <v>231</v>
      </c>
      <c r="Q3383" t="s">
        <v>7110</v>
      </c>
    </row>
    <row r="3384" spans="1:17" x14ac:dyDescent="0.3">
      <c r="A3384" t="s">
        <v>4729</v>
      </c>
      <c r="B3384" t="str">
        <f>"002659"</f>
        <v>002659</v>
      </c>
      <c r="C3384" t="s">
        <v>7111</v>
      </c>
      <c r="D3384" t="s">
        <v>1781</v>
      </c>
      <c r="F3384">
        <v>2346002132</v>
      </c>
      <c r="G3384">
        <v>2475435882</v>
      </c>
      <c r="H3384">
        <v>2144610881</v>
      </c>
      <c r="I3384">
        <v>2106414505</v>
      </c>
      <c r="J3384">
        <v>2203626501</v>
      </c>
      <c r="K3384">
        <v>2234753851</v>
      </c>
      <c r="L3384">
        <v>603642475</v>
      </c>
      <c r="M3384">
        <v>601706610</v>
      </c>
      <c r="N3384">
        <v>588769397</v>
      </c>
      <c r="O3384">
        <v>664050981</v>
      </c>
      <c r="P3384">
        <v>96</v>
      </c>
      <c r="Q3384" t="s">
        <v>7112</v>
      </c>
    </row>
    <row r="3385" spans="1:17" x14ac:dyDescent="0.3">
      <c r="A3385" t="s">
        <v>4729</v>
      </c>
      <c r="B3385" t="str">
        <f>"002660"</f>
        <v>002660</v>
      </c>
      <c r="C3385" t="s">
        <v>7113</v>
      </c>
      <c r="D3385" t="s">
        <v>313</v>
      </c>
      <c r="F3385">
        <v>717604166</v>
      </c>
      <c r="G3385">
        <v>692948478</v>
      </c>
      <c r="H3385">
        <v>616347128</v>
      </c>
      <c r="I3385">
        <v>555321673</v>
      </c>
      <c r="J3385">
        <v>850558239</v>
      </c>
      <c r="K3385">
        <v>861737757</v>
      </c>
      <c r="L3385">
        <v>872667159</v>
      </c>
      <c r="M3385">
        <v>653399019</v>
      </c>
      <c r="N3385">
        <v>685683315</v>
      </c>
      <c r="O3385">
        <v>682343696</v>
      </c>
      <c r="P3385">
        <v>122</v>
      </c>
      <c r="Q3385" t="s">
        <v>7114</v>
      </c>
    </row>
    <row r="3386" spans="1:17" x14ac:dyDescent="0.3">
      <c r="A3386" t="s">
        <v>4729</v>
      </c>
      <c r="B3386" t="str">
        <f>"002661"</f>
        <v>002661</v>
      </c>
      <c r="C3386" t="s">
        <v>7115</v>
      </c>
      <c r="D3386" t="s">
        <v>445</v>
      </c>
      <c r="F3386">
        <v>2586118812</v>
      </c>
      <c r="G3386">
        <v>2566204650</v>
      </c>
      <c r="H3386">
        <v>2247644775</v>
      </c>
      <c r="I3386">
        <v>2241082078</v>
      </c>
      <c r="J3386">
        <v>2148363671</v>
      </c>
      <c r="K3386">
        <v>2095025884</v>
      </c>
      <c r="L3386">
        <v>1999406164</v>
      </c>
      <c r="M3386">
        <v>742583292</v>
      </c>
      <c r="N3386">
        <v>711988602</v>
      </c>
      <c r="O3386">
        <v>666396325</v>
      </c>
      <c r="P3386">
        <v>511</v>
      </c>
      <c r="Q3386" t="s">
        <v>7116</v>
      </c>
    </row>
    <row r="3387" spans="1:17" x14ac:dyDescent="0.3">
      <c r="A3387" t="s">
        <v>4729</v>
      </c>
      <c r="B3387" t="str">
        <f>"002662"</f>
        <v>002662</v>
      </c>
      <c r="C3387" t="s">
        <v>7117</v>
      </c>
      <c r="D3387" t="s">
        <v>191</v>
      </c>
      <c r="F3387">
        <v>3268238433</v>
      </c>
      <c r="G3387">
        <v>3166131310</v>
      </c>
      <c r="H3387">
        <v>3053600300</v>
      </c>
      <c r="I3387">
        <v>5132740302</v>
      </c>
      <c r="J3387">
        <v>5117021161</v>
      </c>
      <c r="K3387">
        <v>4775999297</v>
      </c>
      <c r="L3387">
        <v>4363714545</v>
      </c>
      <c r="M3387">
        <v>4135099588</v>
      </c>
      <c r="N3387">
        <v>2734607292</v>
      </c>
      <c r="O3387">
        <v>2567527403</v>
      </c>
      <c r="P3387">
        <v>140</v>
      </c>
      <c r="Q3387" t="s">
        <v>7118</v>
      </c>
    </row>
    <row r="3388" spans="1:17" x14ac:dyDescent="0.3">
      <c r="A3388" t="s">
        <v>4729</v>
      </c>
      <c r="B3388" t="str">
        <f>"002663"</f>
        <v>002663</v>
      </c>
      <c r="C3388" t="s">
        <v>7119</v>
      </c>
      <c r="D3388" t="s">
        <v>2417</v>
      </c>
      <c r="F3388">
        <v>3251207974</v>
      </c>
      <c r="G3388">
        <v>3851988149</v>
      </c>
      <c r="H3388">
        <v>4066248484</v>
      </c>
      <c r="I3388">
        <v>5118472320</v>
      </c>
      <c r="J3388">
        <v>5081532433</v>
      </c>
      <c r="K3388">
        <v>4386635247</v>
      </c>
      <c r="L3388">
        <v>4240399499</v>
      </c>
      <c r="M3388">
        <v>3611796626</v>
      </c>
      <c r="N3388">
        <v>2175669858</v>
      </c>
      <c r="O3388">
        <v>1905275461</v>
      </c>
      <c r="P3388">
        <v>95</v>
      </c>
      <c r="Q3388" t="s">
        <v>7120</v>
      </c>
    </row>
    <row r="3389" spans="1:17" x14ac:dyDescent="0.3">
      <c r="A3389" t="s">
        <v>4729</v>
      </c>
      <c r="B3389" t="str">
        <f>"002664"</f>
        <v>002664</v>
      </c>
      <c r="C3389" t="s">
        <v>7121</v>
      </c>
      <c r="D3389" t="s">
        <v>1415</v>
      </c>
      <c r="F3389">
        <v>2903999072</v>
      </c>
      <c r="G3389">
        <v>2724821568</v>
      </c>
      <c r="H3389">
        <v>2440668842</v>
      </c>
      <c r="I3389">
        <v>2162638360</v>
      </c>
      <c r="J3389">
        <v>1928222134</v>
      </c>
      <c r="K3389">
        <v>1696398606</v>
      </c>
      <c r="L3389">
        <v>1485841823</v>
      </c>
      <c r="M3389">
        <v>1322308922</v>
      </c>
      <c r="N3389">
        <v>1165753010</v>
      </c>
      <c r="O3389">
        <v>1048351701</v>
      </c>
      <c r="P3389">
        <v>232</v>
      </c>
      <c r="Q3389" t="s">
        <v>7122</v>
      </c>
    </row>
    <row r="3390" spans="1:17" x14ac:dyDescent="0.3">
      <c r="A3390" t="s">
        <v>4729</v>
      </c>
      <c r="B3390" t="str">
        <f>"002665"</f>
        <v>002665</v>
      </c>
      <c r="C3390" t="s">
        <v>7123</v>
      </c>
      <c r="D3390" t="s">
        <v>880</v>
      </c>
      <c r="F3390">
        <v>5501586809</v>
      </c>
      <c r="G3390">
        <v>5724414628</v>
      </c>
      <c r="H3390">
        <v>6597000868</v>
      </c>
      <c r="I3390">
        <v>6726559786</v>
      </c>
      <c r="J3390">
        <v>7394583086</v>
      </c>
      <c r="K3390">
        <v>2895635444</v>
      </c>
      <c r="L3390">
        <v>2747570439</v>
      </c>
      <c r="M3390">
        <v>1958232661</v>
      </c>
      <c r="N3390">
        <v>1773827761</v>
      </c>
      <c r="O3390">
        <v>1653936255</v>
      </c>
      <c r="P3390">
        <v>208</v>
      </c>
      <c r="Q3390" t="s">
        <v>7124</v>
      </c>
    </row>
    <row r="3391" spans="1:17" x14ac:dyDescent="0.3">
      <c r="A3391" t="s">
        <v>4729</v>
      </c>
      <c r="B3391" t="str">
        <f>"002666"</f>
        <v>002666</v>
      </c>
      <c r="C3391" t="s">
        <v>7125</v>
      </c>
      <c r="D3391" t="s">
        <v>386</v>
      </c>
      <c r="F3391">
        <v>3351994771</v>
      </c>
      <c r="G3391">
        <v>3186516790</v>
      </c>
      <c r="H3391">
        <v>2989787297</v>
      </c>
      <c r="I3391">
        <v>2972813768</v>
      </c>
      <c r="J3391">
        <v>2860595663</v>
      </c>
      <c r="K3391">
        <v>2742869551</v>
      </c>
      <c r="L3391">
        <v>2645871287</v>
      </c>
      <c r="M3391">
        <v>1614739871</v>
      </c>
      <c r="N3391">
        <v>1501231569</v>
      </c>
      <c r="O3391">
        <v>1387928943</v>
      </c>
      <c r="P3391">
        <v>110</v>
      </c>
      <c r="Q3391" t="s">
        <v>7126</v>
      </c>
    </row>
    <row r="3392" spans="1:17" x14ac:dyDescent="0.3">
      <c r="A3392" t="s">
        <v>4729</v>
      </c>
      <c r="B3392" t="str">
        <f>"002667"</f>
        <v>002667</v>
      </c>
      <c r="C3392" t="s">
        <v>7127</v>
      </c>
      <c r="D3392" t="s">
        <v>395</v>
      </c>
      <c r="F3392">
        <v>681453252</v>
      </c>
      <c r="G3392">
        <v>779580261</v>
      </c>
      <c r="H3392">
        <v>774992695</v>
      </c>
      <c r="I3392">
        <v>768028826</v>
      </c>
      <c r="J3392">
        <v>758690757</v>
      </c>
      <c r="K3392">
        <v>735529278</v>
      </c>
      <c r="L3392">
        <v>760111036</v>
      </c>
      <c r="M3392">
        <v>758640855</v>
      </c>
      <c r="N3392">
        <v>717185724</v>
      </c>
      <c r="O3392">
        <v>665634766</v>
      </c>
      <c r="P3392">
        <v>73</v>
      </c>
      <c r="Q3392" t="s">
        <v>7128</v>
      </c>
    </row>
    <row r="3393" spans="1:17" x14ac:dyDescent="0.3">
      <c r="A3393" t="s">
        <v>4729</v>
      </c>
      <c r="B3393" t="str">
        <f>"002668"</f>
        <v>002668</v>
      </c>
      <c r="C3393" t="s">
        <v>7129</v>
      </c>
      <c r="D3393" t="s">
        <v>754</v>
      </c>
      <c r="F3393">
        <v>436430787</v>
      </c>
      <c r="G3393">
        <v>2182408396</v>
      </c>
      <c r="H3393">
        <v>2553288016</v>
      </c>
      <c r="I3393">
        <v>2347530765</v>
      </c>
      <c r="J3393">
        <v>3444517425</v>
      </c>
      <c r="K3393">
        <v>2050407348</v>
      </c>
      <c r="L3393">
        <v>1736884151</v>
      </c>
      <c r="M3393">
        <v>1516148306</v>
      </c>
      <c r="N3393">
        <v>1351030766</v>
      </c>
      <c r="O3393">
        <v>1171862531</v>
      </c>
      <c r="P3393">
        <v>204</v>
      </c>
      <c r="Q3393" t="s">
        <v>7130</v>
      </c>
    </row>
    <row r="3394" spans="1:17" x14ac:dyDescent="0.3">
      <c r="A3394" t="s">
        <v>4729</v>
      </c>
      <c r="B3394" t="str">
        <f>"002669"</f>
        <v>002669</v>
      </c>
      <c r="C3394" t="s">
        <v>7131</v>
      </c>
      <c r="D3394" t="s">
        <v>3170</v>
      </c>
      <c r="F3394">
        <v>2262708086</v>
      </c>
      <c r="G3394">
        <v>2334182185</v>
      </c>
      <c r="H3394">
        <v>2134864753</v>
      </c>
      <c r="I3394">
        <v>1913575521</v>
      </c>
      <c r="J3394">
        <v>1636361001</v>
      </c>
      <c r="K3394">
        <v>1609200103</v>
      </c>
      <c r="L3394">
        <v>720736506</v>
      </c>
      <c r="M3394">
        <v>622192317</v>
      </c>
      <c r="N3394">
        <v>564284058</v>
      </c>
      <c r="O3394">
        <v>553137799</v>
      </c>
      <c r="P3394">
        <v>138</v>
      </c>
      <c r="Q3394" t="s">
        <v>7132</v>
      </c>
    </row>
    <row r="3395" spans="1:17" x14ac:dyDescent="0.3">
      <c r="A3395" t="s">
        <v>4729</v>
      </c>
      <c r="B3395" t="str">
        <f>"002670"</f>
        <v>002670</v>
      </c>
      <c r="C3395" t="s">
        <v>7133</v>
      </c>
      <c r="D3395" t="s">
        <v>80</v>
      </c>
      <c r="F3395">
        <v>11370652014</v>
      </c>
      <c r="G3395">
        <v>11294754546</v>
      </c>
      <c r="H3395">
        <v>11576618119</v>
      </c>
      <c r="I3395">
        <v>11402371153</v>
      </c>
      <c r="J3395">
        <v>12874069913</v>
      </c>
      <c r="K3395">
        <v>11564082580</v>
      </c>
      <c r="L3395">
        <v>772588152</v>
      </c>
      <c r="M3395">
        <v>826424698</v>
      </c>
      <c r="N3395">
        <v>793065532</v>
      </c>
      <c r="O3395">
        <v>752440490</v>
      </c>
      <c r="P3395">
        <v>580</v>
      </c>
      <c r="Q3395" t="s">
        <v>7134</v>
      </c>
    </row>
    <row r="3396" spans="1:17" x14ac:dyDescent="0.3">
      <c r="A3396" t="s">
        <v>4729</v>
      </c>
      <c r="B3396" t="str">
        <f>"002671"</f>
        <v>002671</v>
      </c>
      <c r="C3396" t="s">
        <v>7135</v>
      </c>
      <c r="D3396" t="s">
        <v>3098</v>
      </c>
      <c r="F3396">
        <v>2203288383</v>
      </c>
      <c r="G3396">
        <v>2184835659</v>
      </c>
      <c r="H3396">
        <v>2004480772</v>
      </c>
      <c r="I3396">
        <v>2003013757</v>
      </c>
      <c r="J3396">
        <v>2105614425</v>
      </c>
      <c r="K3396">
        <v>2057700426</v>
      </c>
      <c r="L3396">
        <v>1450403459</v>
      </c>
      <c r="M3396">
        <v>1488264655</v>
      </c>
      <c r="N3396">
        <v>1294456123</v>
      </c>
      <c r="O3396">
        <v>756193059</v>
      </c>
      <c r="P3396">
        <v>68</v>
      </c>
      <c r="Q3396" t="s">
        <v>7136</v>
      </c>
    </row>
    <row r="3397" spans="1:17" x14ac:dyDescent="0.3">
      <c r="A3397" t="s">
        <v>4729</v>
      </c>
      <c r="B3397" t="str">
        <f>"002672"</f>
        <v>002672</v>
      </c>
      <c r="C3397" t="s">
        <v>7137</v>
      </c>
      <c r="D3397" t="s">
        <v>499</v>
      </c>
      <c r="F3397">
        <v>4604919558</v>
      </c>
      <c r="G3397">
        <v>4539562930</v>
      </c>
      <c r="H3397">
        <v>4344631763</v>
      </c>
      <c r="I3397">
        <v>4041932131</v>
      </c>
      <c r="J3397">
        <v>3729095484</v>
      </c>
      <c r="K3397">
        <v>3288894417</v>
      </c>
      <c r="L3397">
        <v>2753159780</v>
      </c>
      <c r="M3397">
        <v>2442338221</v>
      </c>
      <c r="N3397">
        <v>2241767620</v>
      </c>
      <c r="O3397">
        <v>2094022977</v>
      </c>
      <c r="P3397">
        <v>317</v>
      </c>
      <c r="Q3397" t="s">
        <v>7138</v>
      </c>
    </row>
    <row r="3398" spans="1:17" x14ac:dyDescent="0.3">
      <c r="A3398" t="s">
        <v>4729</v>
      </c>
      <c r="B3398" t="str">
        <f>"002673"</f>
        <v>002673</v>
      </c>
      <c r="C3398" t="s">
        <v>7139</v>
      </c>
      <c r="D3398" t="s">
        <v>80</v>
      </c>
      <c r="F3398">
        <v>27101743347</v>
      </c>
      <c r="G3398">
        <v>26016145400</v>
      </c>
      <c r="H3398">
        <v>17658865654</v>
      </c>
      <c r="I3398">
        <v>17358305793</v>
      </c>
      <c r="J3398">
        <v>17586275146</v>
      </c>
      <c r="K3398">
        <v>12408051151</v>
      </c>
      <c r="L3398">
        <v>12138688031</v>
      </c>
      <c r="M3398">
        <v>5353577511</v>
      </c>
      <c r="N3398">
        <v>4646482883</v>
      </c>
      <c r="O3398">
        <v>4447864225</v>
      </c>
      <c r="P3398">
        <v>1135</v>
      </c>
      <c r="Q3398" t="s">
        <v>7140</v>
      </c>
    </row>
    <row r="3399" spans="1:17" x14ac:dyDescent="0.3">
      <c r="A3399" t="s">
        <v>4729</v>
      </c>
      <c r="B3399" t="str">
        <f>"002674"</f>
        <v>002674</v>
      </c>
      <c r="C3399" t="s">
        <v>7141</v>
      </c>
      <c r="D3399" t="s">
        <v>2956</v>
      </c>
      <c r="F3399">
        <v>2300125428</v>
      </c>
      <c r="G3399">
        <v>2132531117</v>
      </c>
      <c r="H3399">
        <v>2301711673</v>
      </c>
      <c r="I3399">
        <v>2315553946</v>
      </c>
      <c r="J3399">
        <v>2350816468</v>
      </c>
      <c r="K3399">
        <v>2351257846</v>
      </c>
      <c r="L3399">
        <v>1590154192</v>
      </c>
      <c r="M3399">
        <v>1616537637</v>
      </c>
      <c r="N3399">
        <v>1551771165</v>
      </c>
      <c r="O3399">
        <v>1405608453</v>
      </c>
      <c r="P3399">
        <v>102</v>
      </c>
      <c r="Q3399" t="s">
        <v>7142</v>
      </c>
    </row>
    <row r="3400" spans="1:17" x14ac:dyDescent="0.3">
      <c r="A3400" t="s">
        <v>4729</v>
      </c>
      <c r="B3400" t="str">
        <f>"002675"</f>
        <v>002675</v>
      </c>
      <c r="C3400" t="s">
        <v>7143</v>
      </c>
      <c r="D3400" t="s">
        <v>143</v>
      </c>
      <c r="F3400">
        <v>4397415143</v>
      </c>
      <c r="G3400">
        <v>4468323480</v>
      </c>
      <c r="H3400">
        <v>4292713363</v>
      </c>
      <c r="I3400">
        <v>4183709813</v>
      </c>
      <c r="J3400">
        <v>2902575490</v>
      </c>
      <c r="K3400">
        <v>2767760258</v>
      </c>
      <c r="L3400">
        <v>2047985029</v>
      </c>
      <c r="M3400">
        <v>1168958000</v>
      </c>
      <c r="N3400">
        <v>1087768836</v>
      </c>
      <c r="O3400">
        <v>1015437717</v>
      </c>
      <c r="P3400">
        <v>365</v>
      </c>
      <c r="Q3400" t="s">
        <v>7144</v>
      </c>
    </row>
    <row r="3401" spans="1:17" x14ac:dyDescent="0.3">
      <c r="A3401" t="s">
        <v>4729</v>
      </c>
      <c r="B3401" t="str">
        <f>"002676"</f>
        <v>002676</v>
      </c>
      <c r="C3401" t="s">
        <v>7145</v>
      </c>
      <c r="D3401" t="s">
        <v>1253</v>
      </c>
      <c r="F3401">
        <v>1097611225</v>
      </c>
      <c r="G3401">
        <v>1071775367</v>
      </c>
      <c r="H3401">
        <v>1044728599</v>
      </c>
      <c r="I3401">
        <v>1036229405</v>
      </c>
      <c r="J3401">
        <v>1030340249</v>
      </c>
      <c r="K3401">
        <v>1085271582</v>
      </c>
      <c r="L3401">
        <v>1055094453</v>
      </c>
      <c r="M3401">
        <v>1066817161</v>
      </c>
      <c r="N3401">
        <v>1029700556</v>
      </c>
      <c r="O3401">
        <v>1006683628</v>
      </c>
      <c r="P3401">
        <v>87</v>
      </c>
      <c r="Q3401" t="s">
        <v>7146</v>
      </c>
    </row>
    <row r="3402" spans="1:17" x14ac:dyDescent="0.3">
      <c r="A3402" t="s">
        <v>4729</v>
      </c>
      <c r="B3402" t="str">
        <f>"002677"</f>
        <v>002677</v>
      </c>
      <c r="C3402" t="s">
        <v>7147</v>
      </c>
      <c r="D3402" t="s">
        <v>3707</v>
      </c>
      <c r="F3402">
        <v>1950240499</v>
      </c>
      <c r="G3402">
        <v>1703713859</v>
      </c>
      <c r="H3402">
        <v>1519248075</v>
      </c>
      <c r="I3402">
        <v>1365076241</v>
      </c>
      <c r="J3402">
        <v>1308412512</v>
      </c>
      <c r="K3402">
        <v>1151053399</v>
      </c>
      <c r="L3402">
        <v>1043472058</v>
      </c>
      <c r="M3402">
        <v>987830880</v>
      </c>
      <c r="N3402">
        <v>920097175</v>
      </c>
      <c r="O3402">
        <v>862419903</v>
      </c>
      <c r="P3402">
        <v>4536</v>
      </c>
      <c r="Q3402" t="s">
        <v>7148</v>
      </c>
    </row>
    <row r="3403" spans="1:17" x14ac:dyDescent="0.3">
      <c r="A3403" t="s">
        <v>4729</v>
      </c>
      <c r="B3403" t="str">
        <f>"002678"</f>
        <v>002678</v>
      </c>
      <c r="C3403" t="s">
        <v>7149</v>
      </c>
      <c r="D3403" t="s">
        <v>2931</v>
      </c>
      <c r="F3403">
        <v>3644566317</v>
      </c>
      <c r="G3403">
        <v>3524122522</v>
      </c>
      <c r="H3403">
        <v>3395664040</v>
      </c>
      <c r="I3403">
        <v>3292434011</v>
      </c>
      <c r="J3403">
        <v>3193511836</v>
      </c>
      <c r="K3403">
        <v>2005630430</v>
      </c>
      <c r="L3403">
        <v>1919088550</v>
      </c>
      <c r="M3403">
        <v>1840024359</v>
      </c>
      <c r="N3403">
        <v>1797249904</v>
      </c>
      <c r="O3403">
        <v>1654250981</v>
      </c>
      <c r="P3403">
        <v>113</v>
      </c>
      <c r="Q3403" t="s">
        <v>7150</v>
      </c>
    </row>
    <row r="3404" spans="1:17" x14ac:dyDescent="0.3">
      <c r="A3404" t="s">
        <v>4729</v>
      </c>
      <c r="B3404" t="str">
        <f>"002679"</f>
        <v>002679</v>
      </c>
      <c r="C3404" t="s">
        <v>7151</v>
      </c>
      <c r="D3404" t="s">
        <v>603</v>
      </c>
      <c r="F3404">
        <v>761507880</v>
      </c>
      <c r="G3404">
        <v>755649207</v>
      </c>
      <c r="H3404">
        <v>751637589</v>
      </c>
      <c r="I3404">
        <v>760252178</v>
      </c>
      <c r="J3404">
        <v>782002303</v>
      </c>
      <c r="K3404">
        <v>737328886</v>
      </c>
      <c r="L3404">
        <v>723690085</v>
      </c>
      <c r="M3404">
        <v>699118628</v>
      </c>
      <c r="N3404">
        <v>665307915</v>
      </c>
      <c r="O3404">
        <v>632245454</v>
      </c>
      <c r="P3404">
        <v>95</v>
      </c>
      <c r="Q3404" t="s">
        <v>7152</v>
      </c>
    </row>
    <row r="3405" spans="1:17" x14ac:dyDescent="0.3">
      <c r="A3405" t="s">
        <v>4729</v>
      </c>
      <c r="B3405" t="str">
        <f>"002680"</f>
        <v>002680</v>
      </c>
      <c r="C3405" t="s">
        <v>7153</v>
      </c>
      <c r="J3405">
        <v>3856709805</v>
      </c>
      <c r="K3405">
        <v>3565087098</v>
      </c>
      <c r="L3405">
        <v>3285628155</v>
      </c>
      <c r="M3405">
        <v>710697653</v>
      </c>
      <c r="N3405">
        <v>706222998</v>
      </c>
      <c r="O3405">
        <v>684197628</v>
      </c>
      <c r="P3405">
        <v>221</v>
      </c>
      <c r="Q3405" t="s">
        <v>7154</v>
      </c>
    </row>
    <row r="3406" spans="1:17" x14ac:dyDescent="0.3">
      <c r="A3406" t="s">
        <v>4729</v>
      </c>
      <c r="B3406" t="str">
        <f>"002681"</f>
        <v>002681</v>
      </c>
      <c r="C3406" t="s">
        <v>7155</v>
      </c>
      <c r="D3406" t="s">
        <v>313</v>
      </c>
      <c r="F3406">
        <v>2267384997</v>
      </c>
      <c r="G3406">
        <v>2255812719</v>
      </c>
      <c r="H3406">
        <v>2179679922</v>
      </c>
      <c r="I3406">
        <v>5227308825</v>
      </c>
      <c r="J3406">
        <v>6158213436</v>
      </c>
      <c r="K3406">
        <v>2837070817</v>
      </c>
      <c r="L3406">
        <v>2484430863</v>
      </c>
      <c r="M3406">
        <v>1097559739</v>
      </c>
      <c r="N3406">
        <v>992742775</v>
      </c>
      <c r="O3406">
        <v>892049681</v>
      </c>
      <c r="P3406">
        <v>216</v>
      </c>
      <c r="Q3406" t="s">
        <v>7156</v>
      </c>
    </row>
    <row r="3407" spans="1:17" x14ac:dyDescent="0.3">
      <c r="A3407" t="s">
        <v>4729</v>
      </c>
      <c r="B3407" t="str">
        <f>"002682"</f>
        <v>002682</v>
      </c>
      <c r="C3407" t="s">
        <v>7157</v>
      </c>
      <c r="D3407" t="s">
        <v>2503</v>
      </c>
      <c r="F3407">
        <v>1944075487</v>
      </c>
      <c r="G3407">
        <v>1932232646</v>
      </c>
      <c r="H3407">
        <v>2897960738</v>
      </c>
      <c r="I3407">
        <v>2847712590</v>
      </c>
      <c r="J3407">
        <v>2714817169</v>
      </c>
      <c r="K3407">
        <v>1394475167</v>
      </c>
      <c r="L3407">
        <v>1364684912</v>
      </c>
      <c r="M3407">
        <v>1055902186</v>
      </c>
      <c r="N3407">
        <v>1064101851</v>
      </c>
      <c r="O3407">
        <v>1025163539</v>
      </c>
      <c r="P3407">
        <v>80</v>
      </c>
      <c r="Q3407" t="s">
        <v>7158</v>
      </c>
    </row>
    <row r="3408" spans="1:17" x14ac:dyDescent="0.3">
      <c r="A3408" t="s">
        <v>4729</v>
      </c>
      <c r="B3408" t="str">
        <f>"002683"</f>
        <v>002683</v>
      </c>
      <c r="C3408" t="s">
        <v>7159</v>
      </c>
      <c r="D3408" t="s">
        <v>2736</v>
      </c>
      <c r="F3408">
        <v>5596130287</v>
      </c>
      <c r="G3408">
        <v>5279858112</v>
      </c>
      <c r="H3408">
        <v>3284879203</v>
      </c>
      <c r="I3408">
        <v>3067384257</v>
      </c>
      <c r="J3408">
        <v>2995637264</v>
      </c>
      <c r="K3408">
        <v>2869805413</v>
      </c>
      <c r="L3408">
        <v>2036555256</v>
      </c>
      <c r="M3408">
        <v>2004955629</v>
      </c>
      <c r="N3408">
        <v>1320832475</v>
      </c>
      <c r="O3408">
        <v>1205381060</v>
      </c>
      <c r="P3408">
        <v>270</v>
      </c>
      <c r="Q3408" t="s">
        <v>7160</v>
      </c>
    </row>
    <row r="3409" spans="1:17" x14ac:dyDescent="0.3">
      <c r="A3409" t="s">
        <v>4729</v>
      </c>
      <c r="B3409" t="str">
        <f>"002684"</f>
        <v>002684</v>
      </c>
      <c r="C3409" t="s">
        <v>7161</v>
      </c>
      <c r="D3409" t="s">
        <v>2368</v>
      </c>
      <c r="F3409">
        <v>107450697</v>
      </c>
      <c r="G3409">
        <v>-1720382853</v>
      </c>
      <c r="H3409">
        <v>80422426</v>
      </c>
      <c r="I3409">
        <v>-82160884</v>
      </c>
      <c r="J3409">
        <v>2687714819</v>
      </c>
      <c r="K3409">
        <v>1566539554</v>
      </c>
      <c r="L3409">
        <v>839627868</v>
      </c>
      <c r="M3409">
        <v>522002685</v>
      </c>
      <c r="N3409">
        <v>511276765</v>
      </c>
      <c r="O3409">
        <v>536114224</v>
      </c>
      <c r="P3409">
        <v>91</v>
      </c>
      <c r="Q3409" t="s">
        <v>7162</v>
      </c>
    </row>
    <row r="3410" spans="1:17" x14ac:dyDescent="0.3">
      <c r="A3410" t="s">
        <v>4729</v>
      </c>
      <c r="B3410" t="str">
        <f>"002685"</f>
        <v>002685</v>
      </c>
      <c r="C3410" t="s">
        <v>7163</v>
      </c>
      <c r="D3410" t="s">
        <v>2321</v>
      </c>
      <c r="F3410">
        <v>2414037495</v>
      </c>
      <c r="G3410">
        <v>3820688421</v>
      </c>
      <c r="H3410">
        <v>4942494747</v>
      </c>
      <c r="I3410">
        <v>4627002735</v>
      </c>
      <c r="J3410">
        <v>4346119784</v>
      </c>
      <c r="K3410">
        <v>1307363700</v>
      </c>
      <c r="L3410">
        <v>813770448</v>
      </c>
      <c r="M3410">
        <v>795011417</v>
      </c>
      <c r="N3410">
        <v>786603597</v>
      </c>
      <c r="O3410">
        <v>784775433</v>
      </c>
      <c r="P3410">
        <v>109</v>
      </c>
      <c r="Q3410" t="s">
        <v>7164</v>
      </c>
    </row>
    <row r="3411" spans="1:17" x14ac:dyDescent="0.3">
      <c r="A3411" t="s">
        <v>4729</v>
      </c>
      <c r="B3411" t="str">
        <f>"002686"</f>
        <v>002686</v>
      </c>
      <c r="C3411" t="s">
        <v>7165</v>
      </c>
      <c r="D3411" t="s">
        <v>988</v>
      </c>
      <c r="F3411">
        <v>1568443088</v>
      </c>
      <c r="G3411">
        <v>1532667171</v>
      </c>
      <c r="H3411">
        <v>1008073892</v>
      </c>
      <c r="I3411">
        <v>1502714191</v>
      </c>
      <c r="J3411">
        <v>1506754841</v>
      </c>
      <c r="K3411">
        <v>966903754</v>
      </c>
      <c r="L3411">
        <v>859857184</v>
      </c>
      <c r="M3411">
        <v>784092113</v>
      </c>
      <c r="N3411">
        <v>722059924</v>
      </c>
      <c r="O3411">
        <v>649577710</v>
      </c>
      <c r="P3411">
        <v>78</v>
      </c>
      <c r="Q3411" t="s">
        <v>7166</v>
      </c>
    </row>
    <row r="3412" spans="1:17" x14ac:dyDescent="0.3">
      <c r="A3412" t="s">
        <v>4729</v>
      </c>
      <c r="B3412" t="str">
        <f>"002687"</f>
        <v>002687</v>
      </c>
      <c r="C3412" t="s">
        <v>7167</v>
      </c>
      <c r="D3412" t="s">
        <v>255</v>
      </c>
      <c r="F3412">
        <v>1297784617</v>
      </c>
      <c r="G3412">
        <v>1275157583</v>
      </c>
      <c r="H3412">
        <v>1131299819</v>
      </c>
      <c r="I3412">
        <v>1073311974</v>
      </c>
      <c r="J3412">
        <v>1013561412</v>
      </c>
      <c r="K3412">
        <v>997727700</v>
      </c>
      <c r="L3412">
        <v>988018130</v>
      </c>
      <c r="M3412">
        <v>997738240</v>
      </c>
      <c r="N3412">
        <v>965347079</v>
      </c>
      <c r="O3412">
        <v>949162658</v>
      </c>
      <c r="P3412">
        <v>127</v>
      </c>
      <c r="Q3412" t="s">
        <v>7168</v>
      </c>
    </row>
    <row r="3413" spans="1:17" x14ac:dyDescent="0.3">
      <c r="A3413" t="s">
        <v>4729</v>
      </c>
      <c r="B3413" t="str">
        <f>"002688"</f>
        <v>002688</v>
      </c>
      <c r="C3413" t="s">
        <v>7169</v>
      </c>
      <c r="D3413" t="s">
        <v>453</v>
      </c>
      <c r="F3413">
        <v>2438211287</v>
      </c>
      <c r="G3413">
        <v>1614883310</v>
      </c>
      <c r="H3413">
        <v>1678925674</v>
      </c>
      <c r="I3413">
        <v>1677942573</v>
      </c>
      <c r="J3413">
        <v>1526518658</v>
      </c>
      <c r="K3413">
        <v>1496388507</v>
      </c>
      <c r="L3413">
        <v>1035121425</v>
      </c>
      <c r="M3413">
        <v>950577755</v>
      </c>
      <c r="N3413">
        <v>900576940</v>
      </c>
      <c r="O3413">
        <v>864404305</v>
      </c>
      <c r="P3413">
        <v>167</v>
      </c>
      <c r="Q3413" t="s">
        <v>7170</v>
      </c>
    </row>
    <row r="3414" spans="1:17" x14ac:dyDescent="0.3">
      <c r="A3414" t="s">
        <v>4729</v>
      </c>
      <c r="B3414" t="str">
        <f>"002689"</f>
        <v>002689</v>
      </c>
      <c r="C3414" t="s">
        <v>7171</v>
      </c>
      <c r="D3414" t="s">
        <v>1691</v>
      </c>
      <c r="F3414">
        <v>1334542077</v>
      </c>
      <c r="G3414">
        <v>1332526041</v>
      </c>
      <c r="H3414">
        <v>1300779793</v>
      </c>
      <c r="I3414">
        <v>1370696845</v>
      </c>
      <c r="J3414">
        <v>1469096918</v>
      </c>
      <c r="K3414">
        <v>1434864316</v>
      </c>
      <c r="L3414">
        <v>1364906012</v>
      </c>
      <c r="M3414">
        <v>1387694239</v>
      </c>
      <c r="N3414">
        <v>1313877222</v>
      </c>
      <c r="O3414">
        <v>1250480444</v>
      </c>
      <c r="P3414">
        <v>87</v>
      </c>
      <c r="Q3414" t="s">
        <v>7172</v>
      </c>
    </row>
    <row r="3415" spans="1:17" x14ac:dyDescent="0.3">
      <c r="A3415" t="s">
        <v>4729</v>
      </c>
      <c r="B3415" t="str">
        <f>"002690"</f>
        <v>002690</v>
      </c>
      <c r="C3415" t="s">
        <v>7173</v>
      </c>
      <c r="D3415" t="s">
        <v>741</v>
      </c>
      <c r="F3415">
        <v>2505260056</v>
      </c>
      <c r="G3415">
        <v>2295920813</v>
      </c>
      <c r="H3415">
        <v>2383518284</v>
      </c>
      <c r="I3415">
        <v>2309269143</v>
      </c>
      <c r="J3415">
        <v>2196338513</v>
      </c>
      <c r="K3415">
        <v>2033093099</v>
      </c>
      <c r="L3415">
        <v>1923338774</v>
      </c>
      <c r="M3415">
        <v>1699326749</v>
      </c>
      <c r="N3415">
        <v>1524478443</v>
      </c>
      <c r="O3415">
        <v>1374666141</v>
      </c>
      <c r="P3415">
        <v>3632</v>
      </c>
      <c r="Q3415" t="s">
        <v>7174</v>
      </c>
    </row>
    <row r="3416" spans="1:17" x14ac:dyDescent="0.3">
      <c r="A3416" t="s">
        <v>4729</v>
      </c>
      <c r="B3416" t="str">
        <f>"002691"</f>
        <v>002691</v>
      </c>
      <c r="C3416" t="s">
        <v>7175</v>
      </c>
      <c r="D3416" t="s">
        <v>395</v>
      </c>
      <c r="F3416">
        <v>889911110</v>
      </c>
      <c r="G3416">
        <v>874815384</v>
      </c>
      <c r="H3416">
        <v>892292925</v>
      </c>
      <c r="I3416">
        <v>876789891</v>
      </c>
      <c r="J3416">
        <v>861195492</v>
      </c>
      <c r="K3416">
        <v>855750983</v>
      </c>
      <c r="L3416">
        <v>846960584</v>
      </c>
      <c r="M3416">
        <v>823885141</v>
      </c>
      <c r="N3416">
        <v>790064832</v>
      </c>
      <c r="O3416">
        <v>758290026</v>
      </c>
      <c r="P3416">
        <v>54</v>
      </c>
      <c r="Q3416" t="s">
        <v>7176</v>
      </c>
    </row>
    <row r="3417" spans="1:17" x14ac:dyDescent="0.3">
      <c r="A3417" t="s">
        <v>4729</v>
      </c>
      <c r="B3417" t="str">
        <f>"002692"</f>
        <v>002692</v>
      </c>
      <c r="C3417" t="s">
        <v>7177</v>
      </c>
      <c r="D3417" t="s">
        <v>1164</v>
      </c>
      <c r="F3417">
        <v>999491215</v>
      </c>
      <c r="G3417">
        <v>953494985</v>
      </c>
      <c r="H3417">
        <v>1087341053</v>
      </c>
      <c r="I3417">
        <v>1078859461</v>
      </c>
      <c r="J3417">
        <v>1496971681</v>
      </c>
      <c r="K3417">
        <v>1444845802</v>
      </c>
      <c r="L3417">
        <v>1402773470</v>
      </c>
      <c r="M3417">
        <v>1291044843</v>
      </c>
      <c r="N3417">
        <v>1215812608</v>
      </c>
      <c r="O3417">
        <v>1139316757</v>
      </c>
      <c r="P3417">
        <v>53</v>
      </c>
      <c r="Q3417" t="s">
        <v>7178</v>
      </c>
    </row>
    <row r="3418" spans="1:17" x14ac:dyDescent="0.3">
      <c r="A3418" t="s">
        <v>4729</v>
      </c>
      <c r="B3418" t="str">
        <f>"002693"</f>
        <v>002693</v>
      </c>
      <c r="C3418" t="s">
        <v>7179</v>
      </c>
      <c r="D3418" t="s">
        <v>1379</v>
      </c>
      <c r="F3418">
        <v>481848410</v>
      </c>
      <c r="G3418">
        <v>492925341</v>
      </c>
      <c r="H3418">
        <v>546255153</v>
      </c>
      <c r="I3418">
        <v>522053313</v>
      </c>
      <c r="J3418">
        <v>591397373</v>
      </c>
      <c r="K3418">
        <v>553127628</v>
      </c>
      <c r="L3418">
        <v>927605217</v>
      </c>
      <c r="M3418">
        <v>893553634</v>
      </c>
      <c r="N3418">
        <v>870620831</v>
      </c>
      <c r="O3418">
        <v>845848912</v>
      </c>
      <c r="P3418">
        <v>95</v>
      </c>
      <c r="Q3418" t="s">
        <v>7180</v>
      </c>
    </row>
    <row r="3419" spans="1:17" x14ac:dyDescent="0.3">
      <c r="A3419" t="s">
        <v>4729</v>
      </c>
      <c r="B3419" t="str">
        <f>"002694"</f>
        <v>002694</v>
      </c>
      <c r="C3419" t="s">
        <v>7181</v>
      </c>
      <c r="D3419" t="s">
        <v>3347</v>
      </c>
      <c r="F3419">
        <v>155461976</v>
      </c>
      <c r="G3419">
        <v>738458260</v>
      </c>
      <c r="H3419">
        <v>987449106</v>
      </c>
      <c r="I3419">
        <v>976771541</v>
      </c>
      <c r="J3419">
        <v>1098273737</v>
      </c>
      <c r="K3419">
        <v>979005201</v>
      </c>
      <c r="L3419">
        <v>942473956</v>
      </c>
      <c r="M3419">
        <v>1037429663</v>
      </c>
      <c r="N3419">
        <v>1027784062</v>
      </c>
      <c r="O3419">
        <v>1014404310</v>
      </c>
      <c r="P3419">
        <v>71</v>
      </c>
      <c r="Q3419" t="s">
        <v>7182</v>
      </c>
    </row>
    <row r="3420" spans="1:17" x14ac:dyDescent="0.3">
      <c r="A3420" t="s">
        <v>4729</v>
      </c>
      <c r="B3420" t="str">
        <f>"002695"</f>
        <v>002695</v>
      </c>
      <c r="C3420" t="s">
        <v>7183</v>
      </c>
      <c r="D3420" t="s">
        <v>2989</v>
      </c>
      <c r="F3420">
        <v>2327888465</v>
      </c>
      <c r="G3420">
        <v>2423369053</v>
      </c>
      <c r="H3420">
        <v>2151188614</v>
      </c>
      <c r="I3420">
        <v>1895010243</v>
      </c>
      <c r="J3420">
        <v>1722580315</v>
      </c>
      <c r="K3420">
        <v>1586675763</v>
      </c>
      <c r="L3420">
        <v>1527791907</v>
      </c>
      <c r="M3420">
        <v>1481906777</v>
      </c>
      <c r="N3420">
        <v>1410668167</v>
      </c>
      <c r="O3420">
        <v>1316728334</v>
      </c>
      <c r="P3420">
        <v>623</v>
      </c>
      <c r="Q3420" t="s">
        <v>7184</v>
      </c>
    </row>
    <row r="3421" spans="1:17" x14ac:dyDescent="0.3">
      <c r="A3421" t="s">
        <v>4729</v>
      </c>
      <c r="B3421" t="str">
        <f>"002696"</f>
        <v>002696</v>
      </c>
      <c r="C3421" t="s">
        <v>7185</v>
      </c>
      <c r="D3421" t="s">
        <v>587</v>
      </c>
      <c r="F3421">
        <v>1365128128</v>
      </c>
      <c r="G3421">
        <v>1338296539</v>
      </c>
      <c r="H3421">
        <v>1327907194</v>
      </c>
      <c r="I3421">
        <v>2176774432</v>
      </c>
      <c r="J3421">
        <v>2201021306</v>
      </c>
      <c r="K3421">
        <v>1022999528</v>
      </c>
      <c r="L3421">
        <v>981343654</v>
      </c>
      <c r="M3421">
        <v>950665265</v>
      </c>
      <c r="N3421">
        <v>911861867</v>
      </c>
      <c r="O3421">
        <v>886285901</v>
      </c>
      <c r="P3421">
        <v>93</v>
      </c>
      <c r="Q3421" t="s">
        <v>7186</v>
      </c>
    </row>
    <row r="3422" spans="1:17" x14ac:dyDescent="0.3">
      <c r="A3422" t="s">
        <v>4729</v>
      </c>
      <c r="B3422" t="str">
        <f>"002697"</f>
        <v>002697</v>
      </c>
      <c r="C3422" t="s">
        <v>7187</v>
      </c>
      <c r="D3422" t="s">
        <v>798</v>
      </c>
      <c r="F3422">
        <v>3683911986</v>
      </c>
      <c r="G3422">
        <v>3443640867</v>
      </c>
      <c r="H3422">
        <v>3057088799</v>
      </c>
      <c r="I3422">
        <v>2612944711</v>
      </c>
      <c r="J3422">
        <v>2318874846</v>
      </c>
      <c r="K3422">
        <v>2179704860</v>
      </c>
      <c r="L3422">
        <v>2035638111</v>
      </c>
      <c r="M3422">
        <v>1909504806</v>
      </c>
      <c r="N3422">
        <v>1781636295</v>
      </c>
      <c r="O3422">
        <v>1686611820</v>
      </c>
      <c r="P3422">
        <v>503</v>
      </c>
      <c r="Q3422" t="s">
        <v>7188</v>
      </c>
    </row>
    <row r="3423" spans="1:17" x14ac:dyDescent="0.3">
      <c r="A3423" t="s">
        <v>4729</v>
      </c>
      <c r="B3423" t="str">
        <f>"002698"</f>
        <v>002698</v>
      </c>
      <c r="C3423" t="s">
        <v>7189</v>
      </c>
      <c r="D3423" t="s">
        <v>2938</v>
      </c>
      <c r="F3423">
        <v>2879793106</v>
      </c>
      <c r="G3423">
        <v>2568750414</v>
      </c>
      <c r="H3423">
        <v>2290352361</v>
      </c>
      <c r="I3423">
        <v>2065055034</v>
      </c>
      <c r="J3423">
        <v>1927943118</v>
      </c>
      <c r="K3423">
        <v>1823050840</v>
      </c>
      <c r="L3423">
        <v>1745763561</v>
      </c>
      <c r="M3423">
        <v>1615168104</v>
      </c>
      <c r="N3423">
        <v>1473346256</v>
      </c>
      <c r="O3423">
        <v>1303315278</v>
      </c>
      <c r="P3423">
        <v>271</v>
      </c>
      <c r="Q3423" t="s">
        <v>7190</v>
      </c>
    </row>
    <row r="3424" spans="1:17" x14ac:dyDescent="0.3">
      <c r="A3424" t="s">
        <v>4729</v>
      </c>
      <c r="B3424" t="str">
        <f>"002699"</f>
        <v>002699</v>
      </c>
      <c r="C3424" t="s">
        <v>7191</v>
      </c>
      <c r="D3424" t="s">
        <v>113</v>
      </c>
      <c r="F3424">
        <v>1991168662</v>
      </c>
      <c r="G3424">
        <v>2224843759</v>
      </c>
      <c r="H3424">
        <v>3144607677</v>
      </c>
      <c r="I3424">
        <v>3289256848</v>
      </c>
      <c r="J3424">
        <v>3484851137</v>
      </c>
      <c r="K3424">
        <v>3428850163</v>
      </c>
      <c r="L3424">
        <v>1157636703</v>
      </c>
      <c r="M3424">
        <v>699621397</v>
      </c>
      <c r="N3424">
        <v>645326429</v>
      </c>
      <c r="O3424">
        <v>649822632</v>
      </c>
      <c r="P3424">
        <v>157</v>
      </c>
      <c r="Q3424" t="s">
        <v>7192</v>
      </c>
    </row>
    <row r="3425" spans="1:17" x14ac:dyDescent="0.3">
      <c r="A3425" t="s">
        <v>4729</v>
      </c>
      <c r="B3425" t="str">
        <f>"002700"</f>
        <v>002700</v>
      </c>
      <c r="C3425" t="s">
        <v>7193</v>
      </c>
      <c r="D3425" t="s">
        <v>749</v>
      </c>
      <c r="F3425">
        <v>627564250</v>
      </c>
      <c r="G3425">
        <v>845529748</v>
      </c>
      <c r="H3425">
        <v>1075337782</v>
      </c>
      <c r="I3425">
        <v>1016802075</v>
      </c>
      <c r="J3425">
        <v>961047094</v>
      </c>
      <c r="K3425">
        <v>899195187</v>
      </c>
      <c r="L3425">
        <v>836410631</v>
      </c>
      <c r="M3425">
        <v>747771097</v>
      </c>
      <c r="N3425">
        <v>657436718</v>
      </c>
      <c r="O3425">
        <v>587336788</v>
      </c>
      <c r="P3425">
        <v>53</v>
      </c>
      <c r="Q3425" t="s">
        <v>7194</v>
      </c>
    </row>
    <row r="3426" spans="1:17" x14ac:dyDescent="0.3">
      <c r="A3426" t="s">
        <v>4729</v>
      </c>
      <c r="B3426" t="str">
        <f>"002701"</f>
        <v>002701</v>
      </c>
      <c r="C3426" t="s">
        <v>7195</v>
      </c>
      <c r="D3426" t="s">
        <v>2373</v>
      </c>
      <c r="F3426">
        <v>7410902941</v>
      </c>
      <c r="G3426">
        <v>6403831832</v>
      </c>
      <c r="H3426">
        <v>5729474557</v>
      </c>
      <c r="I3426">
        <v>5373683000</v>
      </c>
      <c r="J3426">
        <v>5683031468</v>
      </c>
      <c r="K3426">
        <v>5111191330</v>
      </c>
      <c r="L3426">
        <v>4360690886</v>
      </c>
      <c r="M3426">
        <v>3748703697</v>
      </c>
      <c r="N3426">
        <v>3281580551</v>
      </c>
      <c r="O3426">
        <v>2968679287</v>
      </c>
      <c r="P3426">
        <v>1656</v>
      </c>
      <c r="Q3426" t="s">
        <v>7196</v>
      </c>
    </row>
    <row r="3427" spans="1:17" x14ac:dyDescent="0.3">
      <c r="A3427" t="s">
        <v>4729</v>
      </c>
      <c r="B3427" t="str">
        <f>"002702"</f>
        <v>002702</v>
      </c>
      <c r="C3427" t="s">
        <v>7197</v>
      </c>
      <c r="D3427" t="s">
        <v>2865</v>
      </c>
      <c r="F3427">
        <v>779821613</v>
      </c>
      <c r="G3427">
        <v>835448189</v>
      </c>
      <c r="H3427">
        <v>788465599</v>
      </c>
      <c r="I3427">
        <v>804298781</v>
      </c>
      <c r="J3427">
        <v>770193942</v>
      </c>
      <c r="K3427">
        <v>782724565</v>
      </c>
      <c r="L3427">
        <v>747873416</v>
      </c>
      <c r="M3427">
        <v>801527534</v>
      </c>
      <c r="N3427">
        <v>797274248</v>
      </c>
      <c r="O3427">
        <v>783316345</v>
      </c>
      <c r="P3427">
        <v>186</v>
      </c>
      <c r="Q3427" t="s">
        <v>7198</v>
      </c>
    </row>
    <row r="3428" spans="1:17" x14ac:dyDescent="0.3">
      <c r="A3428" t="s">
        <v>4729</v>
      </c>
      <c r="B3428" t="str">
        <f>"002703"</f>
        <v>002703</v>
      </c>
      <c r="C3428" t="s">
        <v>7199</v>
      </c>
      <c r="D3428" t="s">
        <v>348</v>
      </c>
      <c r="F3428">
        <v>1376837284</v>
      </c>
      <c r="G3428">
        <v>1342680960</v>
      </c>
      <c r="H3428">
        <v>1301834988</v>
      </c>
      <c r="I3428">
        <v>1478546683</v>
      </c>
      <c r="J3428">
        <v>1474580109</v>
      </c>
      <c r="K3428">
        <v>1473509760</v>
      </c>
      <c r="L3428">
        <v>1442583124</v>
      </c>
      <c r="M3428">
        <v>1420628066</v>
      </c>
      <c r="N3428">
        <v>743553106</v>
      </c>
      <c r="O3428">
        <v>716941767</v>
      </c>
      <c r="P3428">
        <v>76</v>
      </c>
      <c r="Q3428" t="s">
        <v>7200</v>
      </c>
    </row>
    <row r="3429" spans="1:17" x14ac:dyDescent="0.3">
      <c r="A3429" t="s">
        <v>4729</v>
      </c>
      <c r="B3429" t="str">
        <f>"002705"</f>
        <v>002705</v>
      </c>
      <c r="C3429" t="s">
        <v>7201</v>
      </c>
      <c r="D3429" t="s">
        <v>5799</v>
      </c>
      <c r="F3429">
        <v>6082594718</v>
      </c>
      <c r="G3429">
        <v>6037561884</v>
      </c>
      <c r="H3429">
        <v>4299240980</v>
      </c>
      <c r="I3429">
        <v>3902856729</v>
      </c>
      <c r="J3429">
        <v>3730387812</v>
      </c>
      <c r="K3429">
        <v>2657491052</v>
      </c>
      <c r="L3429">
        <v>2355999250</v>
      </c>
      <c r="M3429">
        <v>2181169152</v>
      </c>
      <c r="N3429">
        <v>1321028972</v>
      </c>
      <c r="O3429">
        <v>1183688120</v>
      </c>
      <c r="P3429">
        <v>1093</v>
      </c>
      <c r="Q3429" t="s">
        <v>7202</v>
      </c>
    </row>
    <row r="3430" spans="1:17" x14ac:dyDescent="0.3">
      <c r="A3430" t="s">
        <v>4729</v>
      </c>
      <c r="B3430" t="str">
        <f>"002706"</f>
        <v>002706</v>
      </c>
      <c r="C3430" t="s">
        <v>7203</v>
      </c>
      <c r="D3430" t="s">
        <v>657</v>
      </c>
      <c r="F3430">
        <v>2206152911</v>
      </c>
      <c r="G3430">
        <v>2038051614</v>
      </c>
      <c r="H3430">
        <v>1806565872</v>
      </c>
      <c r="I3430">
        <v>1759692853</v>
      </c>
      <c r="J3430">
        <v>1689163319</v>
      </c>
      <c r="K3430">
        <v>1553488906</v>
      </c>
      <c r="L3430">
        <v>911110795</v>
      </c>
      <c r="M3430">
        <v>786739105</v>
      </c>
      <c r="N3430">
        <v>376914188</v>
      </c>
      <c r="O3430">
        <v>295879048</v>
      </c>
      <c r="P3430">
        <v>761</v>
      </c>
      <c r="Q3430" t="s">
        <v>7204</v>
      </c>
    </row>
    <row r="3431" spans="1:17" x14ac:dyDescent="0.3">
      <c r="A3431" t="s">
        <v>4729</v>
      </c>
      <c r="B3431" t="str">
        <f>"002707"</f>
        <v>002707</v>
      </c>
      <c r="C3431" t="s">
        <v>7205</v>
      </c>
      <c r="D3431" t="s">
        <v>1120</v>
      </c>
      <c r="F3431">
        <v>223989850</v>
      </c>
      <c r="G3431">
        <v>740214898</v>
      </c>
      <c r="H3431">
        <v>2250858419</v>
      </c>
      <c r="I3431">
        <v>2122525021</v>
      </c>
      <c r="J3431">
        <v>2076654523</v>
      </c>
      <c r="K3431">
        <v>1801005533</v>
      </c>
      <c r="L3431">
        <v>1564419339</v>
      </c>
      <c r="M3431">
        <v>576011623</v>
      </c>
      <c r="N3431">
        <v>290853945</v>
      </c>
      <c r="O3431">
        <v>203385166</v>
      </c>
      <c r="P3431">
        <v>295</v>
      </c>
      <c r="Q3431" t="s">
        <v>7206</v>
      </c>
    </row>
    <row r="3432" spans="1:17" x14ac:dyDescent="0.3">
      <c r="A3432" t="s">
        <v>4729</v>
      </c>
      <c r="B3432" t="str">
        <f>"002708"</f>
        <v>002708</v>
      </c>
      <c r="C3432" t="s">
        <v>7207</v>
      </c>
      <c r="D3432" t="s">
        <v>348</v>
      </c>
      <c r="F3432">
        <v>1432106958</v>
      </c>
      <c r="G3432">
        <v>1472224767</v>
      </c>
      <c r="H3432">
        <v>1422603386</v>
      </c>
      <c r="I3432">
        <v>1410322478</v>
      </c>
      <c r="J3432">
        <v>1508785775</v>
      </c>
      <c r="K3432">
        <v>1516002469</v>
      </c>
      <c r="L3432">
        <v>910758959</v>
      </c>
      <c r="M3432">
        <v>902119406</v>
      </c>
      <c r="N3432">
        <v>501591361</v>
      </c>
      <c r="O3432">
        <v>448213921</v>
      </c>
      <c r="P3432">
        <v>91</v>
      </c>
      <c r="Q3432" t="s">
        <v>7208</v>
      </c>
    </row>
    <row r="3433" spans="1:17" x14ac:dyDescent="0.3">
      <c r="A3433" t="s">
        <v>4729</v>
      </c>
      <c r="B3433" t="str">
        <f>"002709"</f>
        <v>002709</v>
      </c>
      <c r="C3433" t="s">
        <v>7209</v>
      </c>
      <c r="D3433" t="s">
        <v>1790</v>
      </c>
      <c r="F3433">
        <v>7156592959</v>
      </c>
      <c r="G3433">
        <v>3385861772</v>
      </c>
      <c r="H3433">
        <v>2788297066</v>
      </c>
      <c r="I3433">
        <v>2821543831</v>
      </c>
      <c r="J3433">
        <v>2537533267</v>
      </c>
      <c r="K3433">
        <v>1627573160</v>
      </c>
      <c r="L3433">
        <v>1183051843</v>
      </c>
      <c r="M3433">
        <v>846994403</v>
      </c>
      <c r="N3433">
        <v>548329093</v>
      </c>
      <c r="O3433">
        <v>481823340</v>
      </c>
      <c r="P3433">
        <v>1069</v>
      </c>
      <c r="Q3433" t="s">
        <v>7210</v>
      </c>
    </row>
    <row r="3434" spans="1:17" x14ac:dyDescent="0.3">
      <c r="A3434" t="s">
        <v>4729</v>
      </c>
      <c r="B3434" t="str">
        <f>"002710"</f>
        <v>002710</v>
      </c>
      <c r="C3434" t="s">
        <v>7211</v>
      </c>
      <c r="D3434" t="s">
        <v>7212</v>
      </c>
      <c r="O3434">
        <v>517096785</v>
      </c>
      <c r="P3434">
        <v>8</v>
      </c>
      <c r="Q3434" t="s">
        <v>7213</v>
      </c>
    </row>
    <row r="3435" spans="1:17" x14ac:dyDescent="0.3">
      <c r="A3435" t="s">
        <v>4729</v>
      </c>
      <c r="B3435" t="str">
        <f>"002711"</f>
        <v>002711</v>
      </c>
      <c r="C3435" t="s">
        <v>7214</v>
      </c>
      <c r="G3435">
        <v>-2525434936</v>
      </c>
      <c r="H3435">
        <v>-2472385498</v>
      </c>
      <c r="I3435">
        <v>-2528452513</v>
      </c>
      <c r="J3435">
        <v>1650954663</v>
      </c>
      <c r="K3435">
        <v>1539882664</v>
      </c>
      <c r="L3435">
        <v>1333409733</v>
      </c>
      <c r="M3435">
        <v>1243933675</v>
      </c>
      <c r="N3435">
        <v>621717963</v>
      </c>
      <c r="O3435">
        <v>504637132</v>
      </c>
      <c r="P3435">
        <v>74</v>
      </c>
      <c r="Q3435" t="s">
        <v>7215</v>
      </c>
    </row>
    <row r="3436" spans="1:17" x14ac:dyDescent="0.3">
      <c r="A3436" t="s">
        <v>4729</v>
      </c>
      <c r="B3436" t="str">
        <f>"002712"</f>
        <v>002712</v>
      </c>
      <c r="C3436" t="s">
        <v>7216</v>
      </c>
      <c r="D3436" t="s">
        <v>207</v>
      </c>
      <c r="F3436">
        <v>1971047683</v>
      </c>
      <c r="G3436">
        <v>1950424912</v>
      </c>
      <c r="H3436">
        <v>3106291857</v>
      </c>
      <c r="I3436">
        <v>3307283255</v>
      </c>
      <c r="J3436">
        <v>3277183227</v>
      </c>
      <c r="K3436">
        <v>1508466160</v>
      </c>
      <c r="L3436">
        <v>927933994</v>
      </c>
      <c r="M3436">
        <v>830953710</v>
      </c>
      <c r="N3436">
        <v>510140099</v>
      </c>
      <c r="O3436">
        <v>426051775</v>
      </c>
      <c r="P3436">
        <v>107</v>
      </c>
      <c r="Q3436" t="s">
        <v>7217</v>
      </c>
    </row>
    <row r="3437" spans="1:17" x14ac:dyDescent="0.3">
      <c r="A3437" t="s">
        <v>4729</v>
      </c>
      <c r="B3437" t="str">
        <f>"002713"</f>
        <v>002713</v>
      </c>
      <c r="C3437" t="s">
        <v>7218</v>
      </c>
      <c r="D3437" t="s">
        <v>450</v>
      </c>
      <c r="F3437">
        <v>975174001</v>
      </c>
      <c r="G3437">
        <v>897593268</v>
      </c>
      <c r="H3437">
        <v>719337306</v>
      </c>
      <c r="I3437">
        <v>1192351308</v>
      </c>
      <c r="J3437">
        <v>1319092273</v>
      </c>
      <c r="K3437">
        <v>1044141107</v>
      </c>
      <c r="L3437">
        <v>953233386</v>
      </c>
      <c r="M3437">
        <v>929771411</v>
      </c>
      <c r="N3437">
        <v>415538478</v>
      </c>
      <c r="O3437">
        <v>347198297</v>
      </c>
      <c r="P3437">
        <v>268</v>
      </c>
      <c r="Q3437" t="s">
        <v>7219</v>
      </c>
    </row>
    <row r="3438" spans="1:17" x14ac:dyDescent="0.3">
      <c r="A3438" t="s">
        <v>4729</v>
      </c>
      <c r="B3438" t="str">
        <f>"002714"</f>
        <v>002714</v>
      </c>
      <c r="C3438" t="s">
        <v>7220</v>
      </c>
      <c r="D3438" t="s">
        <v>1900</v>
      </c>
      <c r="F3438">
        <v>50874193298</v>
      </c>
      <c r="G3438">
        <v>47947189325</v>
      </c>
      <c r="H3438">
        <v>20648045397</v>
      </c>
      <c r="I3438">
        <v>9829575194</v>
      </c>
      <c r="J3438">
        <v>10276919678</v>
      </c>
      <c r="K3438">
        <v>5661448260</v>
      </c>
      <c r="L3438">
        <v>3522005755</v>
      </c>
      <c r="M3438">
        <v>1948222489</v>
      </c>
      <c r="N3438">
        <v>1256831271</v>
      </c>
      <c r="O3438">
        <v>1027201795</v>
      </c>
      <c r="P3438">
        <v>4953</v>
      </c>
      <c r="Q3438" t="s">
        <v>7221</v>
      </c>
    </row>
    <row r="3439" spans="1:17" x14ac:dyDescent="0.3">
      <c r="A3439" t="s">
        <v>4729</v>
      </c>
      <c r="B3439" t="str">
        <f>"002715"</f>
        <v>002715</v>
      </c>
      <c r="C3439" t="s">
        <v>7222</v>
      </c>
      <c r="D3439" t="s">
        <v>348</v>
      </c>
      <c r="F3439">
        <v>514326540</v>
      </c>
      <c r="G3439">
        <v>508720429</v>
      </c>
      <c r="H3439">
        <v>493153999</v>
      </c>
      <c r="I3439">
        <v>487709204</v>
      </c>
      <c r="J3439">
        <v>476586084</v>
      </c>
      <c r="K3439">
        <v>465381079</v>
      </c>
      <c r="L3439">
        <v>443650460</v>
      </c>
      <c r="M3439">
        <v>480665496</v>
      </c>
      <c r="N3439">
        <v>270313600</v>
      </c>
      <c r="O3439">
        <v>252328923</v>
      </c>
      <c r="P3439">
        <v>61</v>
      </c>
      <c r="Q3439" t="s">
        <v>7223</v>
      </c>
    </row>
    <row r="3440" spans="1:17" x14ac:dyDescent="0.3">
      <c r="A3440" t="s">
        <v>4729</v>
      </c>
      <c r="B3440" t="str">
        <f>"002716"</f>
        <v>002716</v>
      </c>
      <c r="C3440" t="s">
        <v>7224</v>
      </c>
      <c r="D3440" t="s">
        <v>2081</v>
      </c>
      <c r="F3440">
        <v>2010726137</v>
      </c>
      <c r="G3440">
        <v>1962686743</v>
      </c>
      <c r="H3440">
        <v>-637506344</v>
      </c>
      <c r="I3440">
        <v>3697478064</v>
      </c>
      <c r="J3440">
        <v>3536436990</v>
      </c>
      <c r="K3440">
        <v>2099713472</v>
      </c>
      <c r="L3440">
        <v>1966446430</v>
      </c>
      <c r="M3440">
        <v>1860095150</v>
      </c>
      <c r="N3440">
        <v>1071382662</v>
      </c>
      <c r="O3440">
        <v>900961676</v>
      </c>
      <c r="P3440">
        <v>129</v>
      </c>
      <c r="Q3440" t="s">
        <v>7225</v>
      </c>
    </row>
    <row r="3441" spans="1:17" x14ac:dyDescent="0.3">
      <c r="A3441" t="s">
        <v>4729</v>
      </c>
      <c r="B3441" t="str">
        <f>"002717"</f>
        <v>002717</v>
      </c>
      <c r="C3441" t="s">
        <v>7226</v>
      </c>
      <c r="D3441" t="s">
        <v>2417</v>
      </c>
      <c r="F3441">
        <v>4715473984</v>
      </c>
      <c r="G3441">
        <v>4336992714</v>
      </c>
      <c r="H3441">
        <v>4758831333</v>
      </c>
      <c r="I3441">
        <v>4382408081</v>
      </c>
      <c r="J3441">
        <v>3622092851</v>
      </c>
      <c r="K3441">
        <v>2657503081</v>
      </c>
      <c r="L3441">
        <v>958678463</v>
      </c>
      <c r="M3441">
        <v>753149284</v>
      </c>
      <c r="N3441">
        <v>426137727</v>
      </c>
      <c r="O3441">
        <v>329507684</v>
      </c>
      <c r="P3441">
        <v>394</v>
      </c>
      <c r="Q3441" t="s">
        <v>7227</v>
      </c>
    </row>
    <row r="3442" spans="1:17" x14ac:dyDescent="0.3">
      <c r="A3442" t="s">
        <v>4729</v>
      </c>
      <c r="B3442" t="str">
        <f>"002718"</f>
        <v>002718</v>
      </c>
      <c r="C3442" t="s">
        <v>7228</v>
      </c>
      <c r="D3442" t="s">
        <v>722</v>
      </c>
      <c r="F3442">
        <v>975755852</v>
      </c>
      <c r="G3442">
        <v>1322604175</v>
      </c>
      <c r="H3442">
        <v>1258762533</v>
      </c>
      <c r="I3442">
        <v>1188586345</v>
      </c>
      <c r="J3442">
        <v>1119233766</v>
      </c>
      <c r="K3442">
        <v>1034598689</v>
      </c>
      <c r="L3442">
        <v>621763503</v>
      </c>
      <c r="M3442">
        <v>526777959</v>
      </c>
      <c r="N3442">
        <v>280939632</v>
      </c>
      <c r="O3442">
        <v>208388444</v>
      </c>
      <c r="P3442">
        <v>170</v>
      </c>
      <c r="Q3442" t="s">
        <v>7229</v>
      </c>
    </row>
    <row r="3443" spans="1:17" x14ac:dyDescent="0.3">
      <c r="A3443" t="s">
        <v>4729</v>
      </c>
      <c r="B3443" t="str">
        <f>"002719"</f>
        <v>002719</v>
      </c>
      <c r="C3443" t="s">
        <v>7230</v>
      </c>
      <c r="D3443" t="s">
        <v>900</v>
      </c>
      <c r="F3443">
        <v>880553858</v>
      </c>
      <c r="G3443">
        <v>874971345</v>
      </c>
      <c r="H3443">
        <v>820910773</v>
      </c>
      <c r="I3443">
        <v>989506951</v>
      </c>
      <c r="J3443">
        <v>1148969030</v>
      </c>
      <c r="K3443">
        <v>1142083785</v>
      </c>
      <c r="L3443">
        <v>1122231458</v>
      </c>
      <c r="M3443">
        <v>648486203</v>
      </c>
      <c r="N3443">
        <v>322622435</v>
      </c>
      <c r="O3443">
        <v>264869997</v>
      </c>
      <c r="P3443">
        <v>97</v>
      </c>
      <c r="Q3443" t="s">
        <v>7231</v>
      </c>
    </row>
    <row r="3444" spans="1:17" x14ac:dyDescent="0.3">
      <c r="A3444" t="s">
        <v>4729</v>
      </c>
      <c r="B3444" t="str">
        <f>"002720"</f>
        <v>002720</v>
      </c>
      <c r="C3444" t="s">
        <v>7232</v>
      </c>
      <c r="D3444" t="s">
        <v>2956</v>
      </c>
      <c r="O3444">
        <v>433476730</v>
      </c>
      <c r="P3444">
        <v>11</v>
      </c>
      <c r="Q3444" t="s">
        <v>7233</v>
      </c>
    </row>
    <row r="3445" spans="1:17" x14ac:dyDescent="0.3">
      <c r="A3445" t="s">
        <v>4729</v>
      </c>
      <c r="B3445" t="str">
        <f>"002721"</f>
        <v>002721</v>
      </c>
      <c r="C3445" t="s">
        <v>7234</v>
      </c>
      <c r="D3445" t="s">
        <v>1238</v>
      </c>
      <c r="F3445">
        <v>1123694359</v>
      </c>
      <c r="G3445">
        <v>2443346795</v>
      </c>
      <c r="H3445">
        <v>4612640010</v>
      </c>
      <c r="I3445">
        <v>4600103398</v>
      </c>
      <c r="J3445">
        <v>4687045955</v>
      </c>
      <c r="K3445">
        <v>2207612699</v>
      </c>
      <c r="L3445">
        <v>2061151889</v>
      </c>
      <c r="M3445">
        <v>890209989</v>
      </c>
      <c r="N3445">
        <v>604851412</v>
      </c>
      <c r="O3445">
        <v>499919171</v>
      </c>
      <c r="P3445">
        <v>89</v>
      </c>
      <c r="Q3445" t="s">
        <v>7235</v>
      </c>
    </row>
    <row r="3446" spans="1:17" x14ac:dyDescent="0.3">
      <c r="A3446" t="s">
        <v>4729</v>
      </c>
      <c r="B3446" t="str">
        <f>"002722"</f>
        <v>002722</v>
      </c>
      <c r="C3446" t="s">
        <v>7236</v>
      </c>
      <c r="D3446" t="s">
        <v>366</v>
      </c>
      <c r="F3446">
        <v>1962831478</v>
      </c>
      <c r="G3446">
        <v>1852083782</v>
      </c>
      <c r="H3446">
        <v>1855095794</v>
      </c>
      <c r="I3446">
        <v>1831473162</v>
      </c>
      <c r="J3446">
        <v>1725276195</v>
      </c>
      <c r="K3446">
        <v>1662973154</v>
      </c>
      <c r="L3446">
        <v>1175029695</v>
      </c>
      <c r="M3446">
        <v>555844879</v>
      </c>
      <c r="N3446">
        <v>350978334</v>
      </c>
      <c r="O3446">
        <v>313467339</v>
      </c>
      <c r="P3446">
        <v>102</v>
      </c>
      <c r="Q3446" t="s">
        <v>7237</v>
      </c>
    </row>
    <row r="3447" spans="1:17" x14ac:dyDescent="0.3">
      <c r="A3447" t="s">
        <v>4729</v>
      </c>
      <c r="B3447" t="str">
        <f>"002723"</f>
        <v>002723</v>
      </c>
      <c r="C3447" t="s">
        <v>7238</v>
      </c>
      <c r="D3447" t="s">
        <v>598</v>
      </c>
      <c r="F3447">
        <v>1221734011</v>
      </c>
      <c r="G3447">
        <v>637651170</v>
      </c>
      <c r="H3447">
        <v>605184214</v>
      </c>
      <c r="I3447">
        <v>582242807</v>
      </c>
      <c r="J3447">
        <v>653886249</v>
      </c>
      <c r="K3447">
        <v>641504139</v>
      </c>
      <c r="L3447">
        <v>644241200</v>
      </c>
      <c r="M3447">
        <v>620216344</v>
      </c>
      <c r="N3447">
        <v>350318208</v>
      </c>
      <c r="O3447">
        <v>309920545</v>
      </c>
      <c r="P3447">
        <v>92</v>
      </c>
      <c r="Q3447" t="s">
        <v>7239</v>
      </c>
    </row>
    <row r="3448" spans="1:17" x14ac:dyDescent="0.3">
      <c r="A3448" t="s">
        <v>4729</v>
      </c>
      <c r="B3448" t="str">
        <f>"002724"</f>
        <v>002724</v>
      </c>
      <c r="C3448" t="s">
        <v>7240</v>
      </c>
      <c r="D3448" t="s">
        <v>651</v>
      </c>
      <c r="F3448">
        <v>2909786739</v>
      </c>
      <c r="G3448">
        <v>2636330558</v>
      </c>
      <c r="H3448">
        <v>2083926888</v>
      </c>
      <c r="I3448">
        <v>1898672567</v>
      </c>
      <c r="J3448">
        <v>1763828741</v>
      </c>
      <c r="K3448">
        <v>1631224376</v>
      </c>
      <c r="L3448">
        <v>1533944830</v>
      </c>
      <c r="M3448">
        <v>1535010240</v>
      </c>
      <c r="N3448">
        <v>1025329878</v>
      </c>
      <c r="O3448">
        <v>912972449</v>
      </c>
      <c r="P3448">
        <v>139</v>
      </c>
      <c r="Q3448" t="s">
        <v>7241</v>
      </c>
    </row>
    <row r="3449" spans="1:17" x14ac:dyDescent="0.3">
      <c r="A3449" t="s">
        <v>4729</v>
      </c>
      <c r="B3449" t="str">
        <f>"002725"</f>
        <v>002725</v>
      </c>
      <c r="C3449" t="s">
        <v>7242</v>
      </c>
      <c r="D3449" t="s">
        <v>422</v>
      </c>
      <c r="F3449">
        <v>1040315062</v>
      </c>
      <c r="G3449">
        <v>1015601619</v>
      </c>
      <c r="H3449">
        <v>963276515</v>
      </c>
      <c r="I3449">
        <v>955510837</v>
      </c>
      <c r="J3449">
        <v>909043355</v>
      </c>
      <c r="K3449">
        <v>909213376</v>
      </c>
      <c r="L3449">
        <v>887904372</v>
      </c>
      <c r="M3449">
        <v>870719365</v>
      </c>
      <c r="N3449">
        <v>477220782</v>
      </c>
      <c r="O3449">
        <v>403030447</v>
      </c>
      <c r="P3449">
        <v>135</v>
      </c>
      <c r="Q3449" t="s">
        <v>7243</v>
      </c>
    </row>
    <row r="3450" spans="1:17" x14ac:dyDescent="0.3">
      <c r="A3450" t="s">
        <v>4729</v>
      </c>
      <c r="B3450" t="str">
        <f>"002726"</f>
        <v>002726</v>
      </c>
      <c r="C3450" t="s">
        <v>7244</v>
      </c>
      <c r="D3450" t="s">
        <v>170</v>
      </c>
      <c r="F3450">
        <v>3063265841</v>
      </c>
      <c r="G3450">
        <v>3213701444</v>
      </c>
      <c r="H3450">
        <v>2322221294</v>
      </c>
      <c r="I3450">
        <v>2107862999</v>
      </c>
      <c r="J3450">
        <v>1929886274</v>
      </c>
      <c r="K3450">
        <v>1766039325</v>
      </c>
      <c r="L3450">
        <v>1546619811</v>
      </c>
      <c r="M3450">
        <v>1463511193</v>
      </c>
      <c r="N3450">
        <v>898647932</v>
      </c>
      <c r="O3450">
        <v>815131369</v>
      </c>
      <c r="P3450">
        <v>1021</v>
      </c>
      <c r="Q3450" t="s">
        <v>7245</v>
      </c>
    </row>
    <row r="3451" spans="1:17" x14ac:dyDescent="0.3">
      <c r="A3451" t="s">
        <v>4729</v>
      </c>
      <c r="B3451" t="str">
        <f>"002727"</f>
        <v>002727</v>
      </c>
      <c r="C3451" t="s">
        <v>7246</v>
      </c>
      <c r="D3451" t="s">
        <v>1686</v>
      </c>
      <c r="F3451">
        <v>6577747355</v>
      </c>
      <c r="G3451">
        <v>5765406145</v>
      </c>
      <c r="H3451">
        <v>4483720935</v>
      </c>
      <c r="I3451">
        <v>4045563116</v>
      </c>
      <c r="J3451">
        <v>3693938650</v>
      </c>
      <c r="K3451">
        <v>2496370023</v>
      </c>
      <c r="L3451">
        <v>2272980934</v>
      </c>
      <c r="M3451">
        <v>2082722290</v>
      </c>
      <c r="N3451">
        <v>1047222489</v>
      </c>
      <c r="O3451">
        <v>806369218</v>
      </c>
      <c r="P3451">
        <v>1246</v>
      </c>
      <c r="Q3451" t="s">
        <v>7247</v>
      </c>
    </row>
    <row r="3452" spans="1:17" x14ac:dyDescent="0.3">
      <c r="A3452" t="s">
        <v>4729</v>
      </c>
      <c r="B3452" t="str">
        <f>"002728"</f>
        <v>002728</v>
      </c>
      <c r="C3452" t="s">
        <v>7248</v>
      </c>
      <c r="D3452" t="s">
        <v>188</v>
      </c>
      <c r="F3452">
        <v>1207530758</v>
      </c>
      <c r="G3452">
        <v>1026047074</v>
      </c>
      <c r="H3452">
        <v>1091320444</v>
      </c>
      <c r="I3452">
        <v>1049466739</v>
      </c>
      <c r="J3452">
        <v>978463886</v>
      </c>
      <c r="K3452">
        <v>886573914</v>
      </c>
      <c r="L3452">
        <v>804298830</v>
      </c>
      <c r="M3452">
        <v>735640443</v>
      </c>
      <c r="N3452">
        <v>350139876</v>
      </c>
      <c r="O3452">
        <v>285335197</v>
      </c>
      <c r="P3452">
        <v>286</v>
      </c>
      <c r="Q3452" t="s">
        <v>7249</v>
      </c>
    </row>
    <row r="3453" spans="1:17" x14ac:dyDescent="0.3">
      <c r="A3453" t="s">
        <v>4729</v>
      </c>
      <c r="B3453" t="str">
        <f>"002729"</f>
        <v>002729</v>
      </c>
      <c r="C3453" t="s">
        <v>7250</v>
      </c>
      <c r="D3453" t="s">
        <v>651</v>
      </c>
      <c r="F3453">
        <v>441885294</v>
      </c>
      <c r="G3453">
        <v>415874262</v>
      </c>
      <c r="H3453">
        <v>447622768</v>
      </c>
      <c r="I3453">
        <v>433521123</v>
      </c>
      <c r="J3453">
        <v>418673881</v>
      </c>
      <c r="K3453">
        <v>403899348</v>
      </c>
      <c r="L3453">
        <v>387988712</v>
      </c>
      <c r="M3453">
        <v>370344832</v>
      </c>
      <c r="N3453">
        <v>182459954</v>
      </c>
      <c r="O3453">
        <v>156188828</v>
      </c>
      <c r="P3453">
        <v>71</v>
      </c>
      <c r="Q3453" t="s">
        <v>7251</v>
      </c>
    </row>
    <row r="3454" spans="1:17" x14ac:dyDescent="0.3">
      <c r="A3454" t="s">
        <v>4729</v>
      </c>
      <c r="B3454" t="str">
        <f>"002730"</f>
        <v>002730</v>
      </c>
      <c r="C3454" t="s">
        <v>7252</v>
      </c>
      <c r="D3454" t="s">
        <v>395</v>
      </c>
      <c r="F3454">
        <v>1061638566</v>
      </c>
      <c r="G3454">
        <v>1001655942</v>
      </c>
      <c r="H3454">
        <v>968411403</v>
      </c>
      <c r="I3454">
        <v>941957205</v>
      </c>
      <c r="J3454">
        <v>896081218</v>
      </c>
      <c r="K3454">
        <v>848056075</v>
      </c>
      <c r="L3454">
        <v>824186861</v>
      </c>
      <c r="M3454">
        <v>789376755</v>
      </c>
      <c r="N3454">
        <v>471946949</v>
      </c>
      <c r="O3454">
        <v>409140652</v>
      </c>
      <c r="P3454">
        <v>82</v>
      </c>
      <c r="Q3454" t="s">
        <v>7253</v>
      </c>
    </row>
    <row r="3455" spans="1:17" x14ac:dyDescent="0.3">
      <c r="A3455" t="s">
        <v>4729</v>
      </c>
      <c r="B3455" t="str">
        <f>"002731"</f>
        <v>002731</v>
      </c>
      <c r="C3455" t="s">
        <v>7254</v>
      </c>
      <c r="D3455" t="s">
        <v>1238</v>
      </c>
      <c r="F3455">
        <v>1290290152</v>
      </c>
      <c r="G3455">
        <v>1259691897</v>
      </c>
      <c r="H3455">
        <v>1230116018</v>
      </c>
      <c r="I3455">
        <v>1200219568</v>
      </c>
      <c r="J3455">
        <v>1178141858</v>
      </c>
      <c r="K3455">
        <v>1127634644</v>
      </c>
      <c r="L3455">
        <v>1081465907</v>
      </c>
      <c r="M3455">
        <v>1030083917</v>
      </c>
      <c r="N3455">
        <v>523498734</v>
      </c>
      <c r="O3455">
        <v>412673487</v>
      </c>
      <c r="P3455">
        <v>81</v>
      </c>
      <c r="Q3455" t="s">
        <v>7255</v>
      </c>
    </row>
    <row r="3456" spans="1:17" x14ac:dyDescent="0.3">
      <c r="A3456" t="s">
        <v>4729</v>
      </c>
      <c r="B3456" t="str">
        <f>"002732"</f>
        <v>002732</v>
      </c>
      <c r="C3456" t="s">
        <v>7256</v>
      </c>
      <c r="D3456" t="s">
        <v>900</v>
      </c>
      <c r="F3456">
        <v>1181469560</v>
      </c>
      <c r="G3456">
        <v>1047334352</v>
      </c>
      <c r="H3456">
        <v>1005380420</v>
      </c>
      <c r="I3456">
        <v>897166090</v>
      </c>
      <c r="J3456">
        <v>949375218</v>
      </c>
      <c r="K3456">
        <v>852209950</v>
      </c>
      <c r="L3456">
        <v>785460034</v>
      </c>
      <c r="M3456">
        <v>720872382</v>
      </c>
      <c r="N3456">
        <v>331777337</v>
      </c>
      <c r="O3456">
        <v>262045635</v>
      </c>
      <c r="P3456">
        <v>349</v>
      </c>
      <c r="Q3456" t="s">
        <v>7257</v>
      </c>
    </row>
    <row r="3457" spans="1:17" x14ac:dyDescent="0.3">
      <c r="A3457" t="s">
        <v>4729</v>
      </c>
      <c r="B3457" t="str">
        <f>"002733"</f>
        <v>002733</v>
      </c>
      <c r="C3457" t="s">
        <v>7258</v>
      </c>
      <c r="D3457" t="s">
        <v>555</v>
      </c>
      <c r="F3457">
        <v>2428801253</v>
      </c>
      <c r="G3457">
        <v>2916925991</v>
      </c>
      <c r="H3457">
        <v>2346518169</v>
      </c>
      <c r="I3457">
        <v>2384943544</v>
      </c>
      <c r="J3457">
        <v>2174965516</v>
      </c>
      <c r="K3457">
        <v>2218167876</v>
      </c>
      <c r="L3457">
        <v>1209748626</v>
      </c>
      <c r="M3457">
        <v>1099601567</v>
      </c>
      <c r="N3457">
        <v>622288371</v>
      </c>
      <c r="O3457">
        <v>541297479</v>
      </c>
      <c r="P3457">
        <v>236</v>
      </c>
      <c r="Q3457" t="s">
        <v>7259</v>
      </c>
    </row>
    <row r="3458" spans="1:17" x14ac:dyDescent="0.3">
      <c r="A3458" t="s">
        <v>4729</v>
      </c>
      <c r="B3458" t="str">
        <f>"002734"</f>
        <v>002734</v>
      </c>
      <c r="C3458" t="s">
        <v>7260</v>
      </c>
      <c r="D3458" t="s">
        <v>853</v>
      </c>
      <c r="F3458">
        <v>2550889224</v>
      </c>
      <c r="G3458">
        <v>2368330895</v>
      </c>
      <c r="H3458">
        <v>2070939910</v>
      </c>
      <c r="I3458">
        <v>1816501857</v>
      </c>
      <c r="J3458">
        <v>1672136630</v>
      </c>
      <c r="K3458">
        <v>1587690150</v>
      </c>
      <c r="L3458">
        <v>770917111</v>
      </c>
      <c r="M3458">
        <v>505759250</v>
      </c>
      <c r="N3458">
        <v>446375761</v>
      </c>
      <c r="O3458">
        <v>427667553</v>
      </c>
      <c r="P3458">
        <v>261</v>
      </c>
      <c r="Q3458" t="s">
        <v>7261</v>
      </c>
    </row>
    <row r="3459" spans="1:17" x14ac:dyDescent="0.3">
      <c r="A3459" t="s">
        <v>4729</v>
      </c>
      <c r="B3459" t="str">
        <f>"002735"</f>
        <v>002735</v>
      </c>
      <c r="C3459" t="s">
        <v>7262</v>
      </c>
      <c r="D3459" t="s">
        <v>485</v>
      </c>
      <c r="F3459">
        <v>877328128</v>
      </c>
      <c r="G3459">
        <v>773887662</v>
      </c>
      <c r="H3459">
        <v>656286603</v>
      </c>
      <c r="I3459">
        <v>580920944</v>
      </c>
      <c r="J3459">
        <v>524400711</v>
      </c>
      <c r="K3459">
        <v>488789627</v>
      </c>
      <c r="L3459">
        <v>458238141</v>
      </c>
      <c r="M3459">
        <v>438432147</v>
      </c>
      <c r="N3459">
        <v>258683126</v>
      </c>
      <c r="O3459">
        <v>223557371</v>
      </c>
      <c r="P3459">
        <v>71</v>
      </c>
      <c r="Q3459" t="s">
        <v>7263</v>
      </c>
    </row>
    <row r="3460" spans="1:17" x14ac:dyDescent="0.3">
      <c r="A3460" t="s">
        <v>4729</v>
      </c>
      <c r="B3460" t="str">
        <f>"002736"</f>
        <v>002736</v>
      </c>
      <c r="C3460" t="s">
        <v>7264</v>
      </c>
      <c r="D3460" t="s">
        <v>80</v>
      </c>
      <c r="F3460">
        <v>76910110147</v>
      </c>
      <c r="G3460">
        <v>70907417244</v>
      </c>
      <c r="H3460">
        <v>56209088720</v>
      </c>
      <c r="I3460">
        <v>52464329674</v>
      </c>
      <c r="J3460">
        <v>46929704753</v>
      </c>
      <c r="K3460">
        <v>43239724477</v>
      </c>
      <c r="L3460">
        <v>44722170705</v>
      </c>
      <c r="M3460">
        <v>32782125133</v>
      </c>
      <c r="N3460">
        <v>20597485960</v>
      </c>
      <c r="O3460">
        <v>19201513476</v>
      </c>
      <c r="P3460">
        <v>2389</v>
      </c>
      <c r="Q3460" t="s">
        <v>7265</v>
      </c>
    </row>
    <row r="3461" spans="1:17" x14ac:dyDescent="0.3">
      <c r="A3461" t="s">
        <v>4729</v>
      </c>
      <c r="B3461" t="str">
        <f>"002737"</f>
        <v>002737</v>
      </c>
      <c r="C3461" t="s">
        <v>7266</v>
      </c>
      <c r="D3461" t="s">
        <v>188</v>
      </c>
      <c r="F3461">
        <v>3709407064</v>
      </c>
      <c r="G3461">
        <v>3180232065</v>
      </c>
      <c r="H3461">
        <v>3224119367</v>
      </c>
      <c r="I3461">
        <v>3272849509</v>
      </c>
      <c r="J3461">
        <v>2992850701</v>
      </c>
      <c r="K3461">
        <v>2637380199</v>
      </c>
      <c r="L3461">
        <v>2449085636</v>
      </c>
      <c r="M3461">
        <v>2216233509</v>
      </c>
      <c r="N3461">
        <v>828328769</v>
      </c>
      <c r="O3461">
        <v>733017916</v>
      </c>
      <c r="P3461">
        <v>1117</v>
      </c>
      <c r="Q3461" t="s">
        <v>7267</v>
      </c>
    </row>
    <row r="3462" spans="1:17" x14ac:dyDescent="0.3">
      <c r="A3462" t="s">
        <v>4729</v>
      </c>
      <c r="B3462" t="str">
        <f>"002738"</f>
        <v>002738</v>
      </c>
      <c r="C3462" t="s">
        <v>7268</v>
      </c>
      <c r="D3462" t="s">
        <v>636</v>
      </c>
      <c r="F3462">
        <v>4049520808</v>
      </c>
      <c r="G3462">
        <v>3108794319</v>
      </c>
      <c r="H3462">
        <v>2702545865</v>
      </c>
      <c r="I3462">
        <v>2161156217</v>
      </c>
      <c r="J3462">
        <v>674139418</v>
      </c>
      <c r="K3462">
        <v>660679952</v>
      </c>
      <c r="L3462">
        <v>553292157</v>
      </c>
      <c r="M3462">
        <v>609810696</v>
      </c>
      <c r="N3462">
        <v>417915873</v>
      </c>
      <c r="O3462">
        <v>399245041</v>
      </c>
      <c r="P3462">
        <v>192</v>
      </c>
      <c r="Q3462" t="s">
        <v>7269</v>
      </c>
    </row>
    <row r="3463" spans="1:17" x14ac:dyDescent="0.3">
      <c r="A3463" t="s">
        <v>4729</v>
      </c>
      <c r="B3463" t="str">
        <f>"002739"</f>
        <v>002739</v>
      </c>
      <c r="C3463" t="s">
        <v>7270</v>
      </c>
      <c r="D3463" t="s">
        <v>2573</v>
      </c>
      <c r="F3463">
        <v>8928054399</v>
      </c>
      <c r="G3463">
        <v>10140170014</v>
      </c>
      <c r="H3463">
        <v>13832144011</v>
      </c>
      <c r="I3463">
        <v>12582517654</v>
      </c>
      <c r="J3463">
        <v>11670447670</v>
      </c>
      <c r="K3463">
        <v>10386770420</v>
      </c>
      <c r="L3463">
        <v>9109523391</v>
      </c>
      <c r="M3463">
        <v>2998124758</v>
      </c>
      <c r="N3463">
        <v>2197174251</v>
      </c>
      <c r="O3463">
        <v>1594640741</v>
      </c>
      <c r="P3463">
        <v>911</v>
      </c>
      <c r="Q3463" t="s">
        <v>7271</v>
      </c>
    </row>
    <row r="3464" spans="1:17" x14ac:dyDescent="0.3">
      <c r="A3464" t="s">
        <v>4729</v>
      </c>
      <c r="B3464" t="str">
        <f>"002740"</f>
        <v>002740</v>
      </c>
      <c r="C3464" t="s">
        <v>7272</v>
      </c>
      <c r="D3464" t="s">
        <v>1238</v>
      </c>
      <c r="F3464">
        <v>137883127</v>
      </c>
      <c r="G3464">
        <v>908790294</v>
      </c>
      <c r="H3464">
        <v>2478970365</v>
      </c>
      <c r="I3464">
        <v>1466996844</v>
      </c>
      <c r="J3464">
        <v>1445228767</v>
      </c>
      <c r="K3464">
        <v>1395544170</v>
      </c>
      <c r="L3464">
        <v>949209664</v>
      </c>
      <c r="M3464">
        <v>536854568</v>
      </c>
      <c r="N3464">
        <v>449480873</v>
      </c>
      <c r="O3464">
        <v>358500563</v>
      </c>
      <c r="P3464">
        <v>78</v>
      </c>
      <c r="Q3464" t="s">
        <v>7273</v>
      </c>
    </row>
    <row r="3465" spans="1:17" x14ac:dyDescent="0.3">
      <c r="A3465" t="s">
        <v>4729</v>
      </c>
      <c r="B3465" t="str">
        <f>"002741"</f>
        <v>002741</v>
      </c>
      <c r="C3465" t="s">
        <v>7274</v>
      </c>
      <c r="D3465" t="s">
        <v>2408</v>
      </c>
      <c r="F3465">
        <v>1578767670</v>
      </c>
      <c r="G3465">
        <v>1224891641</v>
      </c>
      <c r="H3465">
        <v>1188484461</v>
      </c>
      <c r="I3465">
        <v>1206518625</v>
      </c>
      <c r="J3465">
        <v>1109354121</v>
      </c>
      <c r="K3465">
        <v>792082341</v>
      </c>
      <c r="L3465">
        <v>728725298</v>
      </c>
      <c r="M3465">
        <v>366979519</v>
      </c>
      <c r="N3465">
        <v>312931366</v>
      </c>
      <c r="O3465">
        <v>262066584</v>
      </c>
      <c r="P3465">
        <v>187</v>
      </c>
      <c r="Q3465" t="s">
        <v>7275</v>
      </c>
    </row>
    <row r="3466" spans="1:17" x14ac:dyDescent="0.3">
      <c r="A3466" t="s">
        <v>4729</v>
      </c>
      <c r="B3466" t="str">
        <f>"002742"</f>
        <v>002742</v>
      </c>
      <c r="C3466" t="s">
        <v>7276</v>
      </c>
      <c r="D3466" t="s">
        <v>3098</v>
      </c>
      <c r="F3466">
        <v>1120844682</v>
      </c>
      <c r="G3466">
        <v>1515966359</v>
      </c>
      <c r="H3466">
        <v>1554689594</v>
      </c>
      <c r="I3466">
        <v>1507714030</v>
      </c>
      <c r="J3466">
        <v>1416141007</v>
      </c>
      <c r="K3466">
        <v>1304036677</v>
      </c>
      <c r="L3466">
        <v>1224566070</v>
      </c>
      <c r="M3466">
        <v>682306790</v>
      </c>
      <c r="N3466">
        <v>593951856</v>
      </c>
      <c r="O3466">
        <v>503964451</v>
      </c>
      <c r="P3466">
        <v>67</v>
      </c>
      <c r="Q3466" t="s">
        <v>7277</v>
      </c>
    </row>
    <row r="3467" spans="1:17" x14ac:dyDescent="0.3">
      <c r="A3467" t="s">
        <v>4729</v>
      </c>
      <c r="B3467" t="str">
        <f>"002743"</f>
        <v>002743</v>
      </c>
      <c r="C3467" t="s">
        <v>7278</v>
      </c>
      <c r="D3467" t="s">
        <v>978</v>
      </c>
      <c r="F3467">
        <v>3052168079</v>
      </c>
      <c r="G3467">
        <v>2913727384</v>
      </c>
      <c r="H3467">
        <v>2171111841</v>
      </c>
      <c r="I3467">
        <v>2058351401</v>
      </c>
      <c r="J3467">
        <v>1984342657</v>
      </c>
      <c r="K3467">
        <v>1920411089</v>
      </c>
      <c r="L3467">
        <v>752057947</v>
      </c>
      <c r="M3467">
        <v>533226553</v>
      </c>
      <c r="N3467">
        <v>494243656</v>
      </c>
      <c r="O3467">
        <v>453571815</v>
      </c>
      <c r="P3467">
        <v>77</v>
      </c>
      <c r="Q3467" t="s">
        <v>7279</v>
      </c>
    </row>
    <row r="3468" spans="1:17" x14ac:dyDescent="0.3">
      <c r="A3468" t="s">
        <v>4729</v>
      </c>
      <c r="B3468" t="str">
        <f>"002745"</f>
        <v>002745</v>
      </c>
      <c r="C3468" t="s">
        <v>7280</v>
      </c>
      <c r="D3468" t="s">
        <v>803</v>
      </c>
      <c r="F3468">
        <v>13244034884</v>
      </c>
      <c r="G3468">
        <v>12466669424</v>
      </c>
      <c r="H3468">
        <v>10338332494</v>
      </c>
      <c r="I3468">
        <v>9564550417</v>
      </c>
      <c r="J3468">
        <v>5879437791</v>
      </c>
      <c r="K3468">
        <v>5252041696</v>
      </c>
      <c r="L3468">
        <v>2512161481</v>
      </c>
      <c r="M3468">
        <v>1468780821</v>
      </c>
      <c r="N3468">
        <v>1034916167</v>
      </c>
      <c r="O3468">
        <v>677136386</v>
      </c>
      <c r="P3468">
        <v>324</v>
      </c>
      <c r="Q3468" t="s">
        <v>7281</v>
      </c>
    </row>
    <row r="3469" spans="1:17" x14ac:dyDescent="0.3">
      <c r="A3469" t="s">
        <v>4729</v>
      </c>
      <c r="B3469" t="str">
        <f>"002746"</f>
        <v>002746</v>
      </c>
      <c r="C3469" t="s">
        <v>7282</v>
      </c>
      <c r="D3469" t="s">
        <v>6260</v>
      </c>
      <c r="F3469">
        <v>4403508229</v>
      </c>
      <c r="G3469">
        <v>4493633344</v>
      </c>
      <c r="H3469">
        <v>3295834473</v>
      </c>
      <c r="I3469">
        <v>2448048846</v>
      </c>
      <c r="J3469">
        <v>2118826260</v>
      </c>
      <c r="K3469">
        <v>2053613434</v>
      </c>
      <c r="L3469">
        <v>997544930</v>
      </c>
      <c r="M3469">
        <v>802737574</v>
      </c>
      <c r="N3469">
        <v>758396704</v>
      </c>
      <c r="O3469">
        <v>705481884</v>
      </c>
      <c r="P3469">
        <v>457</v>
      </c>
      <c r="Q3469" t="s">
        <v>7283</v>
      </c>
    </row>
    <row r="3470" spans="1:17" x14ac:dyDescent="0.3">
      <c r="A3470" t="s">
        <v>4729</v>
      </c>
      <c r="B3470" t="str">
        <f>"002747"</f>
        <v>002747</v>
      </c>
      <c r="C3470" t="s">
        <v>7284</v>
      </c>
      <c r="D3470" t="s">
        <v>2938</v>
      </c>
      <c r="F3470">
        <v>2589301811</v>
      </c>
      <c r="G3470">
        <v>1738952987</v>
      </c>
      <c r="H3470">
        <v>1609903254</v>
      </c>
      <c r="I3470">
        <v>1618385235</v>
      </c>
      <c r="J3470">
        <v>1537282715</v>
      </c>
      <c r="K3470">
        <v>1452797459</v>
      </c>
      <c r="L3470">
        <v>498291232</v>
      </c>
      <c r="M3470">
        <v>287904875</v>
      </c>
      <c r="N3470">
        <v>258928709</v>
      </c>
      <c r="O3470">
        <v>225892073</v>
      </c>
      <c r="P3470">
        <v>474</v>
      </c>
      <c r="Q3470" t="s">
        <v>7285</v>
      </c>
    </row>
    <row r="3471" spans="1:17" x14ac:dyDescent="0.3">
      <c r="A3471" t="s">
        <v>4729</v>
      </c>
      <c r="B3471" t="str">
        <f>"002748"</f>
        <v>002748</v>
      </c>
      <c r="C3471" t="s">
        <v>7286</v>
      </c>
      <c r="D3471" t="s">
        <v>175</v>
      </c>
      <c r="F3471">
        <v>1163797410</v>
      </c>
      <c r="G3471">
        <v>969563517</v>
      </c>
      <c r="H3471">
        <v>1121805540</v>
      </c>
      <c r="I3471">
        <v>1166223782</v>
      </c>
      <c r="J3471">
        <v>1159923199</v>
      </c>
      <c r="K3471">
        <v>1043127450</v>
      </c>
      <c r="L3471">
        <v>946412670</v>
      </c>
      <c r="M3471">
        <v>523378209</v>
      </c>
      <c r="N3471">
        <v>482405218</v>
      </c>
      <c r="O3471">
        <v>398972487</v>
      </c>
      <c r="P3471">
        <v>77</v>
      </c>
      <c r="Q3471" t="s">
        <v>7287</v>
      </c>
    </row>
    <row r="3472" spans="1:17" x14ac:dyDescent="0.3">
      <c r="A3472" t="s">
        <v>4729</v>
      </c>
      <c r="B3472" t="str">
        <f>"002749"</f>
        <v>002749</v>
      </c>
      <c r="C3472" t="s">
        <v>7288</v>
      </c>
      <c r="D3472" t="s">
        <v>853</v>
      </c>
      <c r="F3472">
        <v>1342477031</v>
      </c>
      <c r="G3472">
        <v>1208510746</v>
      </c>
      <c r="H3472">
        <v>1115014722</v>
      </c>
      <c r="I3472">
        <v>948316988</v>
      </c>
      <c r="J3472">
        <v>856211430</v>
      </c>
      <c r="K3472">
        <v>895913995</v>
      </c>
      <c r="L3472">
        <v>831667399</v>
      </c>
      <c r="M3472">
        <v>412933482</v>
      </c>
      <c r="N3472">
        <v>339346676</v>
      </c>
      <c r="O3472">
        <v>261310167</v>
      </c>
      <c r="P3472">
        <v>9783</v>
      </c>
      <c r="Q3472" t="s">
        <v>7289</v>
      </c>
    </row>
    <row r="3473" spans="1:17" x14ac:dyDescent="0.3">
      <c r="A3473" t="s">
        <v>4729</v>
      </c>
      <c r="B3473" t="str">
        <f>"002750"</f>
        <v>002750</v>
      </c>
      <c r="C3473" t="s">
        <v>7290</v>
      </c>
      <c r="D3473" t="s">
        <v>188</v>
      </c>
      <c r="F3473">
        <v>639147111</v>
      </c>
      <c r="G3473">
        <v>636053700</v>
      </c>
      <c r="H3473">
        <v>624242082</v>
      </c>
      <c r="I3473">
        <v>647395310</v>
      </c>
      <c r="J3473">
        <v>645540206</v>
      </c>
      <c r="K3473">
        <v>670455678</v>
      </c>
      <c r="L3473">
        <v>599446281</v>
      </c>
      <c r="M3473">
        <v>285570169</v>
      </c>
      <c r="N3473">
        <v>301997201</v>
      </c>
      <c r="O3473">
        <v>226941322</v>
      </c>
      <c r="P3473">
        <v>142</v>
      </c>
      <c r="Q3473" t="s">
        <v>7291</v>
      </c>
    </row>
    <row r="3474" spans="1:17" x14ac:dyDescent="0.3">
      <c r="A3474" t="s">
        <v>4729</v>
      </c>
      <c r="B3474" t="str">
        <f>"002751"</f>
        <v>002751</v>
      </c>
      <c r="C3474" t="s">
        <v>7292</v>
      </c>
      <c r="D3474" t="s">
        <v>1673</v>
      </c>
      <c r="F3474">
        <v>946753653</v>
      </c>
      <c r="G3474">
        <v>1460418560</v>
      </c>
      <c r="H3474">
        <v>1396893732</v>
      </c>
      <c r="I3474">
        <v>1011686690</v>
      </c>
      <c r="J3474">
        <v>495854286</v>
      </c>
      <c r="K3474">
        <v>443106585</v>
      </c>
      <c r="L3474">
        <v>436418889</v>
      </c>
      <c r="M3474">
        <v>249019007</v>
      </c>
      <c r="N3474">
        <v>234847487</v>
      </c>
      <c r="O3474">
        <v>195190578</v>
      </c>
      <c r="P3474">
        <v>145</v>
      </c>
      <c r="Q3474" t="s">
        <v>7293</v>
      </c>
    </row>
    <row r="3475" spans="1:17" x14ac:dyDescent="0.3">
      <c r="A3475" t="s">
        <v>4729</v>
      </c>
      <c r="B3475" t="str">
        <f>"002752"</f>
        <v>002752</v>
      </c>
      <c r="C3475" t="s">
        <v>7294</v>
      </c>
      <c r="D3475" t="s">
        <v>2373</v>
      </c>
      <c r="F3475">
        <v>2719702138</v>
      </c>
      <c r="G3475">
        <v>1819677243</v>
      </c>
      <c r="H3475">
        <v>1836594874</v>
      </c>
      <c r="I3475">
        <v>1794978702</v>
      </c>
      <c r="J3475">
        <v>1794118251</v>
      </c>
      <c r="K3475">
        <v>1545255185</v>
      </c>
      <c r="L3475">
        <v>1404470323</v>
      </c>
      <c r="M3475">
        <v>959051339</v>
      </c>
      <c r="N3475">
        <v>847967012</v>
      </c>
      <c r="O3475">
        <v>732238015</v>
      </c>
      <c r="P3475">
        <v>79</v>
      </c>
      <c r="Q3475" t="s">
        <v>7295</v>
      </c>
    </row>
    <row r="3476" spans="1:17" x14ac:dyDescent="0.3">
      <c r="A3476" t="s">
        <v>4729</v>
      </c>
      <c r="B3476" t="str">
        <f>"002753"</f>
        <v>002753</v>
      </c>
      <c r="C3476" t="s">
        <v>7296</v>
      </c>
      <c r="D3476" t="s">
        <v>3646</v>
      </c>
      <c r="F3476">
        <v>2135364308</v>
      </c>
      <c r="G3476">
        <v>1852972787</v>
      </c>
      <c r="H3476">
        <v>1711671673</v>
      </c>
      <c r="I3476">
        <v>1391077416</v>
      </c>
      <c r="J3476">
        <v>1141336457</v>
      </c>
      <c r="K3476">
        <v>917015787</v>
      </c>
      <c r="L3476">
        <v>855209612</v>
      </c>
      <c r="M3476">
        <v>511036349</v>
      </c>
      <c r="N3476">
        <v>450156463</v>
      </c>
      <c r="O3476">
        <v>399165737</v>
      </c>
      <c r="P3476">
        <v>170</v>
      </c>
      <c r="Q3476" t="s">
        <v>7297</v>
      </c>
    </row>
    <row r="3477" spans="1:17" x14ac:dyDescent="0.3">
      <c r="A3477" t="s">
        <v>4729</v>
      </c>
      <c r="B3477" t="str">
        <f>"002755"</f>
        <v>002755</v>
      </c>
      <c r="C3477" t="s">
        <v>7298</v>
      </c>
      <c r="D3477" t="s">
        <v>143</v>
      </c>
      <c r="F3477">
        <v>3218681536</v>
      </c>
      <c r="G3477">
        <v>3027151332</v>
      </c>
      <c r="H3477">
        <v>2513548001</v>
      </c>
      <c r="I3477">
        <v>1838218277</v>
      </c>
      <c r="J3477">
        <v>519182707</v>
      </c>
      <c r="K3477">
        <v>509403722</v>
      </c>
      <c r="L3477">
        <v>508345975</v>
      </c>
      <c r="M3477">
        <v>333612173</v>
      </c>
      <c r="N3477">
        <v>307507946</v>
      </c>
      <c r="O3477">
        <v>263386920</v>
      </c>
      <c r="P3477">
        <v>307</v>
      </c>
      <c r="Q3477" t="s">
        <v>7299</v>
      </c>
    </row>
    <row r="3478" spans="1:17" x14ac:dyDescent="0.3">
      <c r="A3478" t="s">
        <v>4729</v>
      </c>
      <c r="B3478" t="str">
        <f>"002756"</f>
        <v>002756</v>
      </c>
      <c r="C3478" t="s">
        <v>7300</v>
      </c>
      <c r="D3478" t="s">
        <v>281</v>
      </c>
      <c r="F3478">
        <v>5036184480</v>
      </c>
      <c r="G3478">
        <v>3988627791</v>
      </c>
      <c r="H3478">
        <v>3390557783</v>
      </c>
      <c r="I3478">
        <v>3404941813</v>
      </c>
      <c r="J3478">
        <v>3373777892</v>
      </c>
      <c r="K3478">
        <v>3069426380</v>
      </c>
      <c r="L3478">
        <v>2877986228</v>
      </c>
      <c r="M3478">
        <v>1703513714</v>
      </c>
      <c r="N3478">
        <v>1476637402</v>
      </c>
      <c r="O3478">
        <v>1272764258</v>
      </c>
      <c r="P3478">
        <v>307</v>
      </c>
      <c r="Q3478" t="s">
        <v>7301</v>
      </c>
    </row>
    <row r="3479" spans="1:17" x14ac:dyDescent="0.3">
      <c r="A3479" t="s">
        <v>4729</v>
      </c>
      <c r="B3479" t="str">
        <f>"002757"</f>
        <v>002757</v>
      </c>
      <c r="C3479" t="s">
        <v>7302</v>
      </c>
      <c r="D3479" t="s">
        <v>741</v>
      </c>
      <c r="F3479">
        <v>2227839804</v>
      </c>
      <c r="G3479">
        <v>2024092360</v>
      </c>
      <c r="H3479">
        <v>1810696026</v>
      </c>
      <c r="I3479">
        <v>1654623295</v>
      </c>
      <c r="J3479">
        <v>873936045</v>
      </c>
      <c r="K3479">
        <v>773840791</v>
      </c>
      <c r="L3479">
        <v>718370957</v>
      </c>
      <c r="M3479">
        <v>347229882</v>
      </c>
      <c r="N3479">
        <v>283815286</v>
      </c>
      <c r="O3479">
        <v>233779635</v>
      </c>
      <c r="P3479">
        <v>267</v>
      </c>
      <c r="Q3479" t="s">
        <v>7303</v>
      </c>
    </row>
    <row r="3480" spans="1:17" x14ac:dyDescent="0.3">
      <c r="A3480" t="s">
        <v>4729</v>
      </c>
      <c r="B3480" t="str">
        <f>"002758"</f>
        <v>002758</v>
      </c>
      <c r="C3480" t="s">
        <v>7304</v>
      </c>
      <c r="D3480" t="s">
        <v>125</v>
      </c>
      <c r="F3480">
        <v>3548100357</v>
      </c>
      <c r="G3480">
        <v>2921432923</v>
      </c>
      <c r="H3480">
        <v>628537956</v>
      </c>
      <c r="I3480">
        <v>598119533</v>
      </c>
      <c r="J3480">
        <v>580320006</v>
      </c>
      <c r="K3480">
        <v>553656190</v>
      </c>
      <c r="L3480">
        <v>530301006</v>
      </c>
      <c r="M3480">
        <v>279173532</v>
      </c>
      <c r="N3480">
        <v>252168700</v>
      </c>
      <c r="O3480">
        <v>221457103</v>
      </c>
      <c r="P3480">
        <v>180</v>
      </c>
      <c r="Q3480" t="s">
        <v>7305</v>
      </c>
    </row>
    <row r="3481" spans="1:17" x14ac:dyDescent="0.3">
      <c r="A3481" t="s">
        <v>4729</v>
      </c>
      <c r="B3481" t="str">
        <f>"002759"</f>
        <v>002759</v>
      </c>
      <c r="C3481" t="s">
        <v>7306</v>
      </c>
      <c r="D3481" t="s">
        <v>1790</v>
      </c>
      <c r="F3481">
        <v>3412971683</v>
      </c>
      <c r="G3481">
        <v>2667938138</v>
      </c>
      <c r="H3481">
        <v>2694804106</v>
      </c>
      <c r="I3481">
        <v>3409247898</v>
      </c>
      <c r="J3481">
        <v>3348055504</v>
      </c>
      <c r="K3481">
        <v>3339438295</v>
      </c>
      <c r="L3481">
        <v>564505936</v>
      </c>
      <c r="M3481">
        <v>272203842</v>
      </c>
      <c r="N3481">
        <v>247352425</v>
      </c>
      <c r="O3481">
        <v>191071957</v>
      </c>
      <c r="P3481">
        <v>251</v>
      </c>
      <c r="Q3481" t="s">
        <v>7307</v>
      </c>
    </row>
    <row r="3482" spans="1:17" x14ac:dyDescent="0.3">
      <c r="A3482" t="s">
        <v>4729</v>
      </c>
      <c r="B3482" t="str">
        <f>"002760"</f>
        <v>002760</v>
      </c>
      <c r="C3482" t="s">
        <v>7308</v>
      </c>
      <c r="D3482" t="s">
        <v>404</v>
      </c>
      <c r="F3482">
        <v>925278818</v>
      </c>
      <c r="G3482">
        <v>640281228</v>
      </c>
      <c r="H3482">
        <v>578992086</v>
      </c>
      <c r="I3482">
        <v>512839543</v>
      </c>
      <c r="J3482">
        <v>482377583</v>
      </c>
      <c r="K3482">
        <v>570993276</v>
      </c>
      <c r="L3482">
        <v>571763496</v>
      </c>
      <c r="M3482">
        <v>394719280</v>
      </c>
      <c r="N3482">
        <v>357560404</v>
      </c>
      <c r="O3482">
        <v>314852960</v>
      </c>
      <c r="P3482">
        <v>72</v>
      </c>
      <c r="Q3482" t="s">
        <v>7309</v>
      </c>
    </row>
    <row r="3483" spans="1:17" x14ac:dyDescent="0.3">
      <c r="A3483" t="s">
        <v>4729</v>
      </c>
      <c r="B3483" t="str">
        <f>"002761"</f>
        <v>002761</v>
      </c>
      <c r="C3483" t="s">
        <v>7310</v>
      </c>
      <c r="D3483" t="s">
        <v>398</v>
      </c>
      <c r="F3483">
        <v>5697190432</v>
      </c>
      <c r="G3483">
        <v>4819287631</v>
      </c>
      <c r="H3483">
        <v>3753408897</v>
      </c>
      <c r="I3483">
        <v>694014448</v>
      </c>
      <c r="J3483">
        <v>669349619</v>
      </c>
      <c r="K3483">
        <v>648972256</v>
      </c>
      <c r="L3483">
        <v>632529357</v>
      </c>
      <c r="M3483">
        <v>409845668</v>
      </c>
      <c r="N3483">
        <v>364640783</v>
      </c>
      <c r="O3483">
        <v>304227920</v>
      </c>
      <c r="P3483">
        <v>195</v>
      </c>
      <c r="Q3483" t="s">
        <v>7311</v>
      </c>
    </row>
    <row r="3484" spans="1:17" x14ac:dyDescent="0.3">
      <c r="A3484" t="s">
        <v>4729</v>
      </c>
      <c r="B3484" t="str">
        <f>"002762"</f>
        <v>002762</v>
      </c>
      <c r="C3484" t="s">
        <v>7312</v>
      </c>
      <c r="D3484" t="s">
        <v>255</v>
      </c>
      <c r="F3484">
        <v>981298263</v>
      </c>
      <c r="G3484">
        <v>988533211</v>
      </c>
      <c r="H3484">
        <v>994874942</v>
      </c>
      <c r="I3484">
        <v>980133652</v>
      </c>
      <c r="J3484">
        <v>961735669</v>
      </c>
      <c r="K3484">
        <v>887148380</v>
      </c>
      <c r="L3484">
        <v>833432350</v>
      </c>
      <c r="M3484">
        <v>385158683</v>
      </c>
      <c r="N3484">
        <v>306651978</v>
      </c>
      <c r="O3484">
        <v>231010101</v>
      </c>
      <c r="P3484">
        <v>128</v>
      </c>
      <c r="Q3484" t="s">
        <v>7313</v>
      </c>
    </row>
    <row r="3485" spans="1:17" x14ac:dyDescent="0.3">
      <c r="A3485" t="s">
        <v>4729</v>
      </c>
      <c r="B3485" t="str">
        <f>"002763"</f>
        <v>002763</v>
      </c>
      <c r="C3485" t="s">
        <v>7314</v>
      </c>
      <c r="D3485" t="s">
        <v>330</v>
      </c>
      <c r="F3485">
        <v>1886706231</v>
      </c>
      <c r="G3485">
        <v>1984679735</v>
      </c>
      <c r="H3485">
        <v>1854890497</v>
      </c>
      <c r="I3485">
        <v>1808430719</v>
      </c>
      <c r="J3485">
        <v>1759403948</v>
      </c>
      <c r="K3485">
        <v>1623485349</v>
      </c>
      <c r="L3485">
        <v>1504964335</v>
      </c>
      <c r="M3485">
        <v>718720220</v>
      </c>
      <c r="N3485">
        <v>618322601</v>
      </c>
      <c r="O3485">
        <v>533681448</v>
      </c>
      <c r="P3485">
        <v>293</v>
      </c>
      <c r="Q3485" t="s">
        <v>7315</v>
      </c>
    </row>
    <row r="3486" spans="1:17" x14ac:dyDescent="0.3">
      <c r="A3486" t="s">
        <v>4729</v>
      </c>
      <c r="B3486" t="str">
        <f>"002765"</f>
        <v>002765</v>
      </c>
      <c r="C3486" t="s">
        <v>7316</v>
      </c>
      <c r="D3486" t="s">
        <v>1117</v>
      </c>
      <c r="F3486">
        <v>2040795994</v>
      </c>
      <c r="G3486">
        <v>1831840732</v>
      </c>
      <c r="H3486">
        <v>1520751432</v>
      </c>
      <c r="I3486">
        <v>1237647181</v>
      </c>
      <c r="J3486">
        <v>1233640113</v>
      </c>
      <c r="K3486">
        <v>1070120181</v>
      </c>
      <c r="L3486">
        <v>998350168</v>
      </c>
      <c r="M3486">
        <v>574379174</v>
      </c>
      <c r="N3486">
        <v>503951873</v>
      </c>
      <c r="O3486">
        <v>465537650</v>
      </c>
      <c r="P3486">
        <v>118</v>
      </c>
      <c r="Q3486" t="s">
        <v>7317</v>
      </c>
    </row>
    <row r="3487" spans="1:17" x14ac:dyDescent="0.3">
      <c r="A3487" t="s">
        <v>4729</v>
      </c>
      <c r="B3487" t="str">
        <f>"002766"</f>
        <v>002766</v>
      </c>
      <c r="C3487" t="s">
        <v>7318</v>
      </c>
      <c r="D3487" t="s">
        <v>1415</v>
      </c>
      <c r="F3487">
        <v>645084830</v>
      </c>
      <c r="G3487">
        <v>-762734144</v>
      </c>
      <c r="H3487">
        <v>556083642</v>
      </c>
      <c r="I3487">
        <v>554133457</v>
      </c>
      <c r="J3487">
        <v>1627587785</v>
      </c>
      <c r="K3487">
        <v>846724429</v>
      </c>
      <c r="L3487">
        <v>963356787</v>
      </c>
      <c r="M3487">
        <v>586943093</v>
      </c>
      <c r="N3487">
        <v>520862758</v>
      </c>
      <c r="O3487">
        <v>464596602</v>
      </c>
      <c r="P3487">
        <v>85</v>
      </c>
      <c r="Q3487" t="s">
        <v>7319</v>
      </c>
    </row>
    <row r="3488" spans="1:17" x14ac:dyDescent="0.3">
      <c r="A3488" t="s">
        <v>4729</v>
      </c>
      <c r="B3488" t="str">
        <f>"002767"</f>
        <v>002767</v>
      </c>
      <c r="C3488" t="s">
        <v>7320</v>
      </c>
      <c r="D3488" t="s">
        <v>2566</v>
      </c>
      <c r="F3488">
        <v>772419368</v>
      </c>
      <c r="G3488">
        <v>753353231</v>
      </c>
      <c r="H3488">
        <v>737688561</v>
      </c>
      <c r="I3488">
        <v>714820467</v>
      </c>
      <c r="J3488">
        <v>695092727</v>
      </c>
      <c r="K3488">
        <v>666094606</v>
      </c>
      <c r="L3488">
        <v>615422536</v>
      </c>
      <c r="M3488">
        <v>292234235</v>
      </c>
      <c r="N3488">
        <v>265609941</v>
      </c>
      <c r="O3488">
        <v>227950795</v>
      </c>
      <c r="P3488">
        <v>73</v>
      </c>
      <c r="Q3488" t="s">
        <v>7321</v>
      </c>
    </row>
    <row r="3489" spans="1:17" x14ac:dyDescent="0.3">
      <c r="A3489" t="s">
        <v>4729</v>
      </c>
      <c r="B3489" t="str">
        <f>"002768"</f>
        <v>002768</v>
      </c>
      <c r="C3489" t="s">
        <v>7322</v>
      </c>
      <c r="D3489" t="s">
        <v>341</v>
      </c>
      <c r="F3489">
        <v>3475953943</v>
      </c>
      <c r="G3489">
        <v>3097676009</v>
      </c>
      <c r="H3489">
        <v>2383658542</v>
      </c>
      <c r="I3489">
        <v>2023395607</v>
      </c>
      <c r="J3489">
        <v>1008975715</v>
      </c>
      <c r="K3489">
        <v>829911436</v>
      </c>
      <c r="L3489">
        <v>714764448</v>
      </c>
      <c r="M3489">
        <v>321113618</v>
      </c>
      <c r="N3489">
        <v>258306423</v>
      </c>
      <c r="O3489">
        <v>206420353</v>
      </c>
      <c r="P3489">
        <v>595</v>
      </c>
      <c r="Q3489" t="s">
        <v>7323</v>
      </c>
    </row>
    <row r="3490" spans="1:17" x14ac:dyDescent="0.3">
      <c r="A3490" t="s">
        <v>4729</v>
      </c>
      <c r="B3490" t="str">
        <f>"002769"</f>
        <v>002769</v>
      </c>
      <c r="C3490" t="s">
        <v>7324</v>
      </c>
      <c r="D3490" t="s">
        <v>3125</v>
      </c>
      <c r="F3490">
        <v>1472991798</v>
      </c>
      <c r="G3490">
        <v>1449143912</v>
      </c>
      <c r="H3490">
        <v>1381853954</v>
      </c>
      <c r="I3490">
        <v>1339194186</v>
      </c>
      <c r="J3490">
        <v>1260847960</v>
      </c>
      <c r="K3490">
        <v>1188156831</v>
      </c>
      <c r="L3490">
        <v>1016580833</v>
      </c>
      <c r="M3490">
        <v>401801914</v>
      </c>
      <c r="N3490">
        <v>305249007</v>
      </c>
      <c r="O3490">
        <v>262617748</v>
      </c>
      <c r="P3490">
        <v>96</v>
      </c>
      <c r="Q3490" t="s">
        <v>7325</v>
      </c>
    </row>
    <row r="3491" spans="1:17" x14ac:dyDescent="0.3">
      <c r="A3491" t="s">
        <v>4729</v>
      </c>
      <c r="B3491" t="str">
        <f>"002770"</f>
        <v>002770</v>
      </c>
      <c r="C3491" t="s">
        <v>7326</v>
      </c>
      <c r="D3491" t="s">
        <v>900</v>
      </c>
      <c r="F3491">
        <v>172422687</v>
      </c>
      <c r="G3491">
        <v>303660715</v>
      </c>
      <c r="H3491">
        <v>1577002760</v>
      </c>
      <c r="I3491">
        <v>1772781882</v>
      </c>
      <c r="J3491">
        <v>1663355862</v>
      </c>
      <c r="K3491">
        <v>1550490545</v>
      </c>
      <c r="L3491">
        <v>1096200687</v>
      </c>
      <c r="M3491">
        <v>608243574</v>
      </c>
      <c r="N3491">
        <v>525380508</v>
      </c>
      <c r="O3491">
        <v>458919425</v>
      </c>
      <c r="P3491">
        <v>163</v>
      </c>
      <c r="Q3491" t="s">
        <v>7327</v>
      </c>
    </row>
    <row r="3492" spans="1:17" x14ac:dyDescent="0.3">
      <c r="A3492" t="s">
        <v>4729</v>
      </c>
      <c r="B3492" t="str">
        <f>"002771"</f>
        <v>002771</v>
      </c>
      <c r="C3492" t="s">
        <v>7328</v>
      </c>
      <c r="D3492" t="s">
        <v>316</v>
      </c>
      <c r="F3492">
        <v>717833238</v>
      </c>
      <c r="G3492">
        <v>703202951</v>
      </c>
      <c r="H3492">
        <v>683812365</v>
      </c>
      <c r="I3492">
        <v>671598410</v>
      </c>
      <c r="J3492">
        <v>644459644</v>
      </c>
      <c r="K3492">
        <v>590219784</v>
      </c>
      <c r="L3492">
        <v>543411569</v>
      </c>
      <c r="M3492">
        <v>269625455</v>
      </c>
      <c r="N3492">
        <v>234905211</v>
      </c>
      <c r="O3492">
        <v>187516356</v>
      </c>
      <c r="P3492">
        <v>95</v>
      </c>
      <c r="Q3492" t="s">
        <v>7329</v>
      </c>
    </row>
    <row r="3493" spans="1:17" x14ac:dyDescent="0.3">
      <c r="A3493" t="s">
        <v>4729</v>
      </c>
      <c r="B3493" t="str">
        <f>"002772"</f>
        <v>002772</v>
      </c>
      <c r="C3493" t="s">
        <v>7330</v>
      </c>
      <c r="D3493" t="s">
        <v>7331</v>
      </c>
      <c r="F3493">
        <v>3160879673</v>
      </c>
      <c r="G3493">
        <v>2531870009</v>
      </c>
      <c r="H3493">
        <v>2402200467</v>
      </c>
      <c r="I3493">
        <v>2433189226</v>
      </c>
      <c r="J3493">
        <v>2427366522</v>
      </c>
      <c r="K3493">
        <v>2282983700</v>
      </c>
      <c r="L3493">
        <v>1031264787</v>
      </c>
      <c r="M3493">
        <v>495679777</v>
      </c>
      <c r="N3493">
        <v>404799249</v>
      </c>
      <c r="O3493">
        <v>350048855</v>
      </c>
      <c r="P3493">
        <v>202</v>
      </c>
      <c r="Q3493" t="s">
        <v>7332</v>
      </c>
    </row>
    <row r="3494" spans="1:17" x14ac:dyDescent="0.3">
      <c r="A3494" t="s">
        <v>4729</v>
      </c>
      <c r="B3494" t="str">
        <f>"002773"</f>
        <v>002773</v>
      </c>
      <c r="C3494" t="s">
        <v>7333</v>
      </c>
      <c r="D3494" t="s">
        <v>143</v>
      </c>
      <c r="F3494">
        <v>6089760363</v>
      </c>
      <c r="G3494">
        <v>5755815879</v>
      </c>
      <c r="H3494">
        <v>4620547799</v>
      </c>
      <c r="I3494">
        <v>4083954489</v>
      </c>
      <c r="J3494">
        <v>3543449942</v>
      </c>
      <c r="K3494">
        <v>2904885698</v>
      </c>
      <c r="L3494">
        <v>2501774264</v>
      </c>
      <c r="M3494">
        <v>1591713217</v>
      </c>
      <c r="N3494">
        <v>1372231506</v>
      </c>
      <c r="O3494">
        <v>1092518567</v>
      </c>
      <c r="P3494">
        <v>5281</v>
      </c>
      <c r="Q3494" t="s">
        <v>7334</v>
      </c>
    </row>
    <row r="3495" spans="1:17" x14ac:dyDescent="0.3">
      <c r="A3495" t="s">
        <v>4729</v>
      </c>
      <c r="B3495" t="str">
        <f>"002774"</f>
        <v>002774</v>
      </c>
      <c r="C3495" t="s">
        <v>7335</v>
      </c>
      <c r="D3495" t="s">
        <v>1691</v>
      </c>
      <c r="F3495">
        <v>1360449858</v>
      </c>
      <c r="G3495">
        <v>1095736422</v>
      </c>
      <c r="H3495">
        <v>1079086823</v>
      </c>
      <c r="I3495">
        <v>1057135734</v>
      </c>
      <c r="J3495">
        <v>999964683</v>
      </c>
      <c r="K3495">
        <v>458884452</v>
      </c>
      <c r="L3495">
        <v>404099756</v>
      </c>
      <c r="M3495">
        <v>385456142</v>
      </c>
      <c r="P3495">
        <v>77</v>
      </c>
      <c r="Q3495" t="s">
        <v>7336</v>
      </c>
    </row>
    <row r="3496" spans="1:17" x14ac:dyDescent="0.3">
      <c r="A3496" t="s">
        <v>4729</v>
      </c>
      <c r="B3496" t="str">
        <f>"002775"</f>
        <v>002775</v>
      </c>
      <c r="C3496" t="s">
        <v>7337</v>
      </c>
      <c r="D3496" t="s">
        <v>2417</v>
      </c>
      <c r="F3496">
        <v>436392080</v>
      </c>
      <c r="G3496">
        <v>2356424530</v>
      </c>
      <c r="H3496">
        <v>2551599006</v>
      </c>
      <c r="I3496">
        <v>2499743748</v>
      </c>
      <c r="J3496">
        <v>1497044972</v>
      </c>
      <c r="K3496">
        <v>1225306036</v>
      </c>
      <c r="L3496">
        <v>1101803382</v>
      </c>
      <c r="M3496">
        <v>540331546</v>
      </c>
      <c r="N3496">
        <v>458997653</v>
      </c>
      <c r="O3496">
        <v>368924210</v>
      </c>
      <c r="P3496">
        <v>218</v>
      </c>
      <c r="Q3496" t="s">
        <v>7338</v>
      </c>
    </row>
    <row r="3497" spans="1:17" x14ac:dyDescent="0.3">
      <c r="A3497" t="s">
        <v>4729</v>
      </c>
      <c r="B3497" t="str">
        <f>"002776"</f>
        <v>002776</v>
      </c>
      <c r="C3497" t="s">
        <v>7339</v>
      </c>
      <c r="D3497" t="s">
        <v>255</v>
      </c>
      <c r="G3497">
        <v>2041403312</v>
      </c>
      <c r="H3497">
        <v>2428327781</v>
      </c>
      <c r="I3497">
        <v>2317530231</v>
      </c>
      <c r="J3497">
        <v>2183119030</v>
      </c>
      <c r="K3497">
        <v>2070643759</v>
      </c>
      <c r="L3497">
        <v>993572315</v>
      </c>
      <c r="M3497">
        <v>404891589</v>
      </c>
      <c r="N3497">
        <v>297510925</v>
      </c>
      <c r="O3497">
        <v>295521600</v>
      </c>
      <c r="P3497">
        <v>125</v>
      </c>
      <c r="Q3497" t="s">
        <v>7340</v>
      </c>
    </row>
    <row r="3498" spans="1:17" x14ac:dyDescent="0.3">
      <c r="A3498" t="s">
        <v>4729</v>
      </c>
      <c r="B3498" t="str">
        <f>"002777"</f>
        <v>002777</v>
      </c>
      <c r="C3498" t="s">
        <v>7341</v>
      </c>
      <c r="D3498" t="s">
        <v>316</v>
      </c>
      <c r="F3498">
        <v>1421567672</v>
      </c>
      <c r="G3498">
        <v>1249614317</v>
      </c>
      <c r="H3498">
        <v>1137804188</v>
      </c>
      <c r="I3498">
        <v>1019445997</v>
      </c>
      <c r="J3498">
        <v>508020996</v>
      </c>
      <c r="K3498">
        <v>457225488</v>
      </c>
      <c r="L3498">
        <v>419959147</v>
      </c>
      <c r="M3498">
        <v>233686407</v>
      </c>
      <c r="N3498">
        <v>217917826</v>
      </c>
      <c r="O3498">
        <v>183821992</v>
      </c>
      <c r="P3498">
        <v>372</v>
      </c>
      <c r="Q3498" t="s">
        <v>7342</v>
      </c>
    </row>
    <row r="3499" spans="1:17" x14ac:dyDescent="0.3">
      <c r="A3499" t="s">
        <v>4729</v>
      </c>
      <c r="B3499" t="str">
        <f>"002778"</f>
        <v>002778</v>
      </c>
      <c r="C3499" t="s">
        <v>7343</v>
      </c>
      <c r="D3499" t="s">
        <v>1617</v>
      </c>
      <c r="F3499">
        <v>566593620</v>
      </c>
      <c r="G3499">
        <v>490086560</v>
      </c>
      <c r="H3499">
        <v>642830967</v>
      </c>
      <c r="I3499">
        <v>630615628</v>
      </c>
      <c r="J3499">
        <v>618722484</v>
      </c>
      <c r="K3499">
        <v>595180849</v>
      </c>
      <c r="L3499">
        <v>568287447</v>
      </c>
      <c r="M3499">
        <v>366874934</v>
      </c>
      <c r="N3499">
        <v>331844119</v>
      </c>
      <c r="O3499">
        <v>300695239</v>
      </c>
      <c r="P3499">
        <v>75</v>
      </c>
      <c r="Q3499" t="s">
        <v>7344</v>
      </c>
    </row>
    <row r="3500" spans="1:17" x14ac:dyDescent="0.3">
      <c r="A3500" t="s">
        <v>4729</v>
      </c>
      <c r="B3500" t="str">
        <f>"002779"</f>
        <v>002779</v>
      </c>
      <c r="C3500" t="s">
        <v>7345</v>
      </c>
      <c r="D3500" t="s">
        <v>741</v>
      </c>
      <c r="F3500">
        <v>630151743</v>
      </c>
      <c r="G3500">
        <v>617662230</v>
      </c>
      <c r="H3500">
        <v>643426429</v>
      </c>
      <c r="I3500">
        <v>638025466</v>
      </c>
      <c r="J3500">
        <v>631002796</v>
      </c>
      <c r="K3500">
        <v>614566967</v>
      </c>
      <c r="L3500">
        <v>589232099</v>
      </c>
      <c r="M3500">
        <v>322811571</v>
      </c>
      <c r="N3500">
        <v>265777660</v>
      </c>
      <c r="O3500">
        <v>219821882</v>
      </c>
      <c r="P3500">
        <v>54</v>
      </c>
      <c r="Q3500" t="s">
        <v>7346</v>
      </c>
    </row>
    <row r="3501" spans="1:17" x14ac:dyDescent="0.3">
      <c r="A3501" t="s">
        <v>4729</v>
      </c>
      <c r="B3501" t="str">
        <f>"002780"</f>
        <v>002780</v>
      </c>
      <c r="C3501" t="s">
        <v>7347</v>
      </c>
      <c r="D3501" t="s">
        <v>3017</v>
      </c>
      <c r="F3501">
        <v>685538175</v>
      </c>
      <c r="G3501">
        <v>526745694</v>
      </c>
      <c r="H3501">
        <v>592179445</v>
      </c>
      <c r="I3501">
        <v>639131818</v>
      </c>
      <c r="J3501">
        <v>634789274</v>
      </c>
      <c r="K3501">
        <v>391936387</v>
      </c>
      <c r="L3501">
        <v>360213790</v>
      </c>
      <c r="M3501">
        <v>197687618</v>
      </c>
      <c r="N3501">
        <v>178935082</v>
      </c>
      <c r="O3501">
        <v>149849549</v>
      </c>
      <c r="P3501">
        <v>85</v>
      </c>
      <c r="Q3501" t="s">
        <v>7348</v>
      </c>
    </row>
    <row r="3502" spans="1:17" x14ac:dyDescent="0.3">
      <c r="A3502" t="s">
        <v>4729</v>
      </c>
      <c r="B3502" t="str">
        <f>"002781"</f>
        <v>002781</v>
      </c>
      <c r="C3502" t="s">
        <v>7349</v>
      </c>
      <c r="D3502" t="s">
        <v>450</v>
      </c>
      <c r="F3502">
        <v>-232299779</v>
      </c>
      <c r="G3502">
        <v>1425160008</v>
      </c>
      <c r="H3502">
        <v>1988954429</v>
      </c>
      <c r="I3502">
        <v>1918429312</v>
      </c>
      <c r="J3502">
        <v>1777612717</v>
      </c>
      <c r="K3502">
        <v>1631396381</v>
      </c>
      <c r="L3502">
        <v>1526354190</v>
      </c>
      <c r="M3502">
        <v>864873755</v>
      </c>
      <c r="N3502">
        <v>715927235</v>
      </c>
      <c r="O3502">
        <v>589178043</v>
      </c>
      <c r="P3502">
        <v>68</v>
      </c>
      <c r="Q3502" t="s">
        <v>7350</v>
      </c>
    </row>
    <row r="3503" spans="1:17" x14ac:dyDescent="0.3">
      <c r="A3503" t="s">
        <v>4729</v>
      </c>
      <c r="B3503" t="str">
        <f>"002782"</f>
        <v>002782</v>
      </c>
      <c r="C3503" t="s">
        <v>7351</v>
      </c>
      <c r="D3503" t="s">
        <v>313</v>
      </c>
      <c r="F3503">
        <v>1472675560</v>
      </c>
      <c r="G3503">
        <v>1460740960</v>
      </c>
      <c r="H3503">
        <v>811852532</v>
      </c>
      <c r="I3503">
        <v>832163125</v>
      </c>
      <c r="J3503">
        <v>832363941</v>
      </c>
      <c r="K3503">
        <v>817542557</v>
      </c>
      <c r="L3503">
        <v>775686879</v>
      </c>
      <c r="M3503">
        <v>441247780</v>
      </c>
      <c r="N3503">
        <v>393642346</v>
      </c>
      <c r="O3503">
        <v>358519218</v>
      </c>
      <c r="P3503">
        <v>167</v>
      </c>
      <c r="Q3503" t="s">
        <v>7352</v>
      </c>
    </row>
    <row r="3504" spans="1:17" x14ac:dyDescent="0.3">
      <c r="A3504" t="s">
        <v>4729</v>
      </c>
      <c r="B3504" t="str">
        <f>"002783"</f>
        <v>002783</v>
      </c>
      <c r="C3504" t="s">
        <v>7353</v>
      </c>
      <c r="D3504" t="s">
        <v>2736</v>
      </c>
      <c r="F3504">
        <v>1288301090</v>
      </c>
      <c r="G3504">
        <v>1712437055</v>
      </c>
      <c r="H3504">
        <v>1702303758</v>
      </c>
      <c r="I3504">
        <v>1437444264</v>
      </c>
      <c r="J3504">
        <v>1394028919</v>
      </c>
      <c r="K3504">
        <v>1343220137</v>
      </c>
      <c r="L3504">
        <v>1270530794</v>
      </c>
      <c r="M3504">
        <v>689322776</v>
      </c>
      <c r="N3504">
        <v>620167895</v>
      </c>
      <c r="O3504">
        <v>533928984</v>
      </c>
      <c r="P3504">
        <v>112</v>
      </c>
      <c r="Q3504" t="s">
        <v>7354</v>
      </c>
    </row>
    <row r="3505" spans="1:17" x14ac:dyDescent="0.3">
      <c r="A3505" t="s">
        <v>4729</v>
      </c>
      <c r="B3505" t="str">
        <f>"002785"</f>
        <v>002785</v>
      </c>
      <c r="C3505" t="s">
        <v>7355</v>
      </c>
      <c r="D3505" t="s">
        <v>722</v>
      </c>
      <c r="F3505">
        <v>599712968</v>
      </c>
      <c r="G3505">
        <v>625537316</v>
      </c>
      <c r="H3505">
        <v>618765576</v>
      </c>
      <c r="I3505">
        <v>654075828</v>
      </c>
      <c r="J3505">
        <v>641738637</v>
      </c>
      <c r="K3505">
        <v>651383276</v>
      </c>
      <c r="L3505">
        <v>628977674</v>
      </c>
      <c r="M3505">
        <v>520437605</v>
      </c>
      <c r="N3505">
        <v>496258377</v>
      </c>
      <c r="O3505">
        <v>459414118</v>
      </c>
      <c r="P3505">
        <v>57</v>
      </c>
      <c r="Q3505" t="s">
        <v>7356</v>
      </c>
    </row>
    <row r="3506" spans="1:17" x14ac:dyDescent="0.3">
      <c r="A3506" t="s">
        <v>4729</v>
      </c>
      <c r="B3506" t="str">
        <f>"002786"</f>
        <v>002786</v>
      </c>
      <c r="C3506" t="s">
        <v>7357</v>
      </c>
      <c r="D3506" t="s">
        <v>741</v>
      </c>
      <c r="F3506">
        <v>500140506</v>
      </c>
      <c r="G3506">
        <v>569521877</v>
      </c>
      <c r="H3506">
        <v>890073807</v>
      </c>
      <c r="I3506">
        <v>1138521429</v>
      </c>
      <c r="J3506">
        <v>1104330238</v>
      </c>
      <c r="K3506">
        <v>1046651747</v>
      </c>
      <c r="L3506">
        <v>959678925</v>
      </c>
      <c r="M3506">
        <v>590627482</v>
      </c>
      <c r="N3506">
        <v>539790596</v>
      </c>
      <c r="O3506">
        <v>461374623</v>
      </c>
      <c r="P3506">
        <v>176</v>
      </c>
      <c r="Q3506" t="s">
        <v>7358</v>
      </c>
    </row>
    <row r="3507" spans="1:17" x14ac:dyDescent="0.3">
      <c r="A3507" t="s">
        <v>4729</v>
      </c>
      <c r="B3507" t="str">
        <f>"002787"</f>
        <v>002787</v>
      </c>
      <c r="C3507" t="s">
        <v>7359</v>
      </c>
      <c r="D3507" t="s">
        <v>2373</v>
      </c>
      <c r="F3507">
        <v>1490264992</v>
      </c>
      <c r="G3507">
        <v>1488482443</v>
      </c>
      <c r="H3507">
        <v>1435691115</v>
      </c>
      <c r="I3507">
        <v>1434054645</v>
      </c>
      <c r="J3507">
        <v>1005489550</v>
      </c>
      <c r="K3507">
        <v>949000705</v>
      </c>
      <c r="L3507">
        <v>909401199</v>
      </c>
      <c r="M3507">
        <v>473523542</v>
      </c>
      <c r="N3507">
        <v>400801891</v>
      </c>
      <c r="O3507">
        <v>331476634</v>
      </c>
      <c r="P3507">
        <v>102</v>
      </c>
      <c r="Q3507" t="s">
        <v>7360</v>
      </c>
    </row>
    <row r="3508" spans="1:17" x14ac:dyDescent="0.3">
      <c r="A3508" t="s">
        <v>4729</v>
      </c>
      <c r="B3508" t="str">
        <f>"002788"</f>
        <v>002788</v>
      </c>
      <c r="C3508" t="s">
        <v>7361</v>
      </c>
      <c r="D3508" t="s">
        <v>125</v>
      </c>
      <c r="F3508">
        <v>2491664452</v>
      </c>
      <c r="G3508">
        <v>2340474590</v>
      </c>
      <c r="H3508">
        <v>1791688831</v>
      </c>
      <c r="I3508">
        <v>1569385019</v>
      </c>
      <c r="J3508">
        <v>1473719310</v>
      </c>
      <c r="K3508">
        <v>1370189923</v>
      </c>
      <c r="L3508">
        <v>737565053</v>
      </c>
      <c r="M3508">
        <v>642270432</v>
      </c>
      <c r="N3508">
        <v>553801931</v>
      </c>
      <c r="O3508">
        <v>445704731</v>
      </c>
      <c r="P3508">
        <v>162</v>
      </c>
      <c r="Q3508" t="s">
        <v>7362</v>
      </c>
    </row>
    <row r="3509" spans="1:17" x14ac:dyDescent="0.3">
      <c r="A3509" t="s">
        <v>4729</v>
      </c>
      <c r="B3509" t="str">
        <f>"002789"</f>
        <v>002789</v>
      </c>
      <c r="C3509" t="s">
        <v>7363</v>
      </c>
      <c r="D3509" t="s">
        <v>450</v>
      </c>
      <c r="F3509">
        <v>144647232</v>
      </c>
      <c r="G3509">
        <v>1023445245</v>
      </c>
      <c r="H3509">
        <v>1188415476</v>
      </c>
      <c r="I3509">
        <v>1248101557</v>
      </c>
      <c r="J3509">
        <v>1166002381</v>
      </c>
      <c r="K3509">
        <v>1082973228</v>
      </c>
      <c r="L3509">
        <v>587538423</v>
      </c>
      <c r="M3509">
        <v>507751988</v>
      </c>
      <c r="N3509">
        <v>421302891</v>
      </c>
      <c r="O3509">
        <v>329826475</v>
      </c>
      <c r="P3509">
        <v>57</v>
      </c>
      <c r="Q3509" t="s">
        <v>7364</v>
      </c>
    </row>
    <row r="3510" spans="1:17" x14ac:dyDescent="0.3">
      <c r="A3510" t="s">
        <v>4729</v>
      </c>
      <c r="B3510" t="str">
        <f>"002790"</f>
        <v>002790</v>
      </c>
      <c r="C3510" t="s">
        <v>7365</v>
      </c>
      <c r="D3510" t="s">
        <v>2912</v>
      </c>
      <c r="F3510">
        <v>1773942523</v>
      </c>
      <c r="G3510">
        <v>1683177962</v>
      </c>
      <c r="H3510">
        <v>1640052818</v>
      </c>
      <c r="I3510">
        <v>1535463799</v>
      </c>
      <c r="J3510">
        <v>1454418119</v>
      </c>
      <c r="K3510">
        <v>1358004203</v>
      </c>
      <c r="L3510">
        <v>614349685</v>
      </c>
      <c r="M3510">
        <v>483378610</v>
      </c>
      <c r="N3510">
        <v>367831344</v>
      </c>
      <c r="O3510">
        <v>293608000</v>
      </c>
      <c r="P3510">
        <v>138</v>
      </c>
      <c r="Q3510" t="s">
        <v>7366</v>
      </c>
    </row>
    <row r="3511" spans="1:17" x14ac:dyDescent="0.3">
      <c r="A3511" t="s">
        <v>4729</v>
      </c>
      <c r="B3511" t="str">
        <f>"002791"</f>
        <v>002791</v>
      </c>
      <c r="C3511" t="s">
        <v>7367</v>
      </c>
      <c r="D3511" t="s">
        <v>722</v>
      </c>
      <c r="F3511">
        <v>4794148246</v>
      </c>
      <c r="G3511">
        <v>3987735411</v>
      </c>
      <c r="H3511">
        <v>3070501797</v>
      </c>
      <c r="I3511">
        <v>2755406125</v>
      </c>
      <c r="J3511">
        <v>2615653675</v>
      </c>
      <c r="K3511">
        <v>2478707724</v>
      </c>
      <c r="L3511">
        <v>1373530056</v>
      </c>
      <c r="M3511">
        <v>1162757591</v>
      </c>
      <c r="N3511">
        <v>947372984</v>
      </c>
      <c r="O3511">
        <v>718419950</v>
      </c>
      <c r="P3511">
        <v>552</v>
      </c>
      <c r="Q3511" t="s">
        <v>7368</v>
      </c>
    </row>
    <row r="3512" spans="1:17" x14ac:dyDescent="0.3">
      <c r="A3512" t="s">
        <v>4729</v>
      </c>
      <c r="B3512" t="str">
        <f>"002792"</f>
        <v>002792</v>
      </c>
      <c r="C3512" t="s">
        <v>7369</v>
      </c>
      <c r="D3512" t="s">
        <v>1019</v>
      </c>
      <c r="F3512">
        <v>2707066852</v>
      </c>
      <c r="G3512">
        <v>2016719887</v>
      </c>
      <c r="H3512">
        <v>1957456897</v>
      </c>
      <c r="I3512">
        <v>1942691068</v>
      </c>
      <c r="J3512">
        <v>1909931006</v>
      </c>
      <c r="K3512">
        <v>1852254731</v>
      </c>
      <c r="L3512">
        <v>1066325211</v>
      </c>
      <c r="M3512">
        <v>847385254</v>
      </c>
      <c r="N3512">
        <v>538514934</v>
      </c>
      <c r="O3512">
        <v>485066056</v>
      </c>
      <c r="P3512">
        <v>343</v>
      </c>
      <c r="Q3512" t="s">
        <v>7370</v>
      </c>
    </row>
    <row r="3513" spans="1:17" x14ac:dyDescent="0.3">
      <c r="A3513" t="s">
        <v>4729</v>
      </c>
      <c r="B3513" t="str">
        <f>"002793"</f>
        <v>002793</v>
      </c>
      <c r="C3513" t="s">
        <v>7371</v>
      </c>
      <c r="D3513" t="s">
        <v>143</v>
      </c>
      <c r="F3513">
        <v>4384586514</v>
      </c>
      <c r="G3513">
        <v>4040506448</v>
      </c>
      <c r="H3513">
        <v>3644297425</v>
      </c>
      <c r="I3513">
        <v>845530189</v>
      </c>
      <c r="J3513">
        <v>754185290</v>
      </c>
      <c r="K3513">
        <v>698333570</v>
      </c>
      <c r="L3513">
        <v>339496382</v>
      </c>
      <c r="M3513">
        <v>315459000</v>
      </c>
      <c r="N3513">
        <v>251499647</v>
      </c>
      <c r="P3513">
        <v>213</v>
      </c>
      <c r="Q3513" t="s">
        <v>7372</v>
      </c>
    </row>
    <row r="3514" spans="1:17" x14ac:dyDescent="0.3">
      <c r="A3514" t="s">
        <v>4729</v>
      </c>
      <c r="B3514" t="str">
        <f>"002795"</f>
        <v>002795</v>
      </c>
      <c r="C3514" t="s">
        <v>7373</v>
      </c>
      <c r="D3514" t="s">
        <v>274</v>
      </c>
      <c r="F3514">
        <v>770553264</v>
      </c>
      <c r="G3514">
        <v>639140711</v>
      </c>
      <c r="H3514">
        <v>608222991</v>
      </c>
      <c r="I3514">
        <v>647967560</v>
      </c>
      <c r="J3514">
        <v>616751660</v>
      </c>
      <c r="K3514">
        <v>608723292</v>
      </c>
      <c r="L3514">
        <v>211967914</v>
      </c>
      <c r="M3514">
        <v>215966142</v>
      </c>
      <c r="N3514">
        <v>185948228</v>
      </c>
      <c r="P3514">
        <v>73</v>
      </c>
      <c r="Q3514" t="s">
        <v>7374</v>
      </c>
    </row>
    <row r="3515" spans="1:17" x14ac:dyDescent="0.3">
      <c r="A3515" t="s">
        <v>4729</v>
      </c>
      <c r="B3515" t="str">
        <f>"002796"</f>
        <v>002796</v>
      </c>
      <c r="C3515" t="s">
        <v>7375</v>
      </c>
      <c r="D3515" t="s">
        <v>1691</v>
      </c>
      <c r="F3515">
        <v>891161648</v>
      </c>
      <c r="G3515">
        <v>1562233293</v>
      </c>
      <c r="H3515">
        <v>1516757284</v>
      </c>
      <c r="I3515">
        <v>1423773747</v>
      </c>
      <c r="J3515">
        <v>491396775</v>
      </c>
      <c r="K3515">
        <v>486449921</v>
      </c>
      <c r="L3515">
        <v>258669626</v>
      </c>
      <c r="M3515">
        <v>240777715</v>
      </c>
      <c r="N3515">
        <v>207692637</v>
      </c>
      <c r="P3515">
        <v>248</v>
      </c>
      <c r="Q3515" t="s">
        <v>7376</v>
      </c>
    </row>
    <row r="3516" spans="1:17" x14ac:dyDescent="0.3">
      <c r="A3516" t="s">
        <v>4729</v>
      </c>
      <c r="B3516" t="str">
        <f>"002797"</f>
        <v>002797</v>
      </c>
      <c r="C3516" t="s">
        <v>7377</v>
      </c>
      <c r="D3516" t="s">
        <v>80</v>
      </c>
      <c r="F3516">
        <v>14419397201</v>
      </c>
      <c r="G3516">
        <v>13927912273</v>
      </c>
      <c r="H3516">
        <v>9043512154</v>
      </c>
      <c r="I3516">
        <v>8802333607</v>
      </c>
      <c r="J3516">
        <v>8857281229</v>
      </c>
      <c r="K3516">
        <v>8612901275</v>
      </c>
      <c r="L3516">
        <v>6150928009</v>
      </c>
      <c r="M3516">
        <v>5134309827</v>
      </c>
      <c r="N3516">
        <v>4555072889</v>
      </c>
      <c r="O3516">
        <v>4446462162.5100002</v>
      </c>
      <c r="P3516">
        <v>838</v>
      </c>
      <c r="Q3516" t="s">
        <v>7378</v>
      </c>
    </row>
    <row r="3517" spans="1:17" x14ac:dyDescent="0.3">
      <c r="A3517" t="s">
        <v>4729</v>
      </c>
      <c r="B3517" t="str">
        <f>"002798"</f>
        <v>002798</v>
      </c>
      <c r="C3517" t="s">
        <v>7379</v>
      </c>
      <c r="D3517" t="s">
        <v>178</v>
      </c>
      <c r="F3517">
        <v>4270697122</v>
      </c>
      <c r="G3517">
        <v>4257546808</v>
      </c>
      <c r="H3517">
        <v>3648524049</v>
      </c>
      <c r="I3517">
        <v>3247053584</v>
      </c>
      <c r="J3517">
        <v>1050819245</v>
      </c>
      <c r="K3517">
        <v>585797641</v>
      </c>
      <c r="L3517">
        <v>387522948</v>
      </c>
      <c r="M3517">
        <v>347056542</v>
      </c>
      <c r="N3517">
        <v>315456901</v>
      </c>
      <c r="P3517">
        <v>374</v>
      </c>
      <c r="Q3517" t="s">
        <v>7380</v>
      </c>
    </row>
    <row r="3518" spans="1:17" x14ac:dyDescent="0.3">
      <c r="A3518" t="s">
        <v>4729</v>
      </c>
      <c r="B3518" t="str">
        <f>"002799"</f>
        <v>002799</v>
      </c>
      <c r="C3518" t="s">
        <v>7381</v>
      </c>
      <c r="D3518" t="s">
        <v>2165</v>
      </c>
      <c r="F3518">
        <v>758397542</v>
      </c>
      <c r="G3518">
        <v>669611646</v>
      </c>
      <c r="H3518">
        <v>604817969</v>
      </c>
      <c r="I3518">
        <v>543698499</v>
      </c>
      <c r="J3518">
        <v>518725136</v>
      </c>
      <c r="K3518">
        <v>516097847</v>
      </c>
      <c r="L3518">
        <v>318877333</v>
      </c>
      <c r="M3518">
        <v>282036004</v>
      </c>
      <c r="N3518">
        <v>243893740</v>
      </c>
      <c r="P3518">
        <v>109</v>
      </c>
      <c r="Q3518" t="s">
        <v>7382</v>
      </c>
    </row>
    <row r="3519" spans="1:17" x14ac:dyDescent="0.3">
      <c r="A3519" t="s">
        <v>4729</v>
      </c>
      <c r="B3519" t="str">
        <f>"002800"</f>
        <v>002800</v>
      </c>
      <c r="C3519" t="s">
        <v>7383</v>
      </c>
      <c r="D3519" t="s">
        <v>2503</v>
      </c>
      <c r="F3519">
        <v>565573850</v>
      </c>
      <c r="G3519">
        <v>485870378</v>
      </c>
      <c r="H3519">
        <v>460985514</v>
      </c>
      <c r="I3519">
        <v>441738127</v>
      </c>
      <c r="J3519">
        <v>445645333</v>
      </c>
      <c r="K3519">
        <v>411928499</v>
      </c>
      <c r="L3519">
        <v>270278920</v>
      </c>
      <c r="M3519">
        <v>243960764</v>
      </c>
      <c r="N3519">
        <v>217303837</v>
      </c>
      <c r="P3519">
        <v>86</v>
      </c>
      <c r="Q3519" t="s">
        <v>7384</v>
      </c>
    </row>
    <row r="3520" spans="1:17" x14ac:dyDescent="0.3">
      <c r="A3520" t="s">
        <v>4729</v>
      </c>
      <c r="B3520" t="str">
        <f>"002801"</f>
        <v>002801</v>
      </c>
      <c r="C3520" t="s">
        <v>7385</v>
      </c>
      <c r="D3520" t="s">
        <v>1171</v>
      </c>
      <c r="F3520">
        <v>1336678339</v>
      </c>
      <c r="G3520">
        <v>1173723850</v>
      </c>
      <c r="H3520">
        <v>1015175788</v>
      </c>
      <c r="I3520">
        <v>881971010</v>
      </c>
      <c r="J3520">
        <v>838802080</v>
      </c>
      <c r="K3520">
        <v>747232344</v>
      </c>
      <c r="L3520">
        <v>410438963</v>
      </c>
      <c r="M3520">
        <v>337046390</v>
      </c>
      <c r="N3520">
        <v>274116826</v>
      </c>
      <c r="P3520">
        <v>201</v>
      </c>
      <c r="Q3520" t="s">
        <v>7386</v>
      </c>
    </row>
    <row r="3521" spans="1:17" x14ac:dyDescent="0.3">
      <c r="A3521" t="s">
        <v>4729</v>
      </c>
      <c r="B3521" t="str">
        <f>"002802"</f>
        <v>002802</v>
      </c>
      <c r="C3521" t="s">
        <v>7387</v>
      </c>
      <c r="D3521" t="s">
        <v>386</v>
      </c>
      <c r="F3521">
        <v>620553266</v>
      </c>
      <c r="G3521">
        <v>582323965</v>
      </c>
      <c r="H3521">
        <v>566663088</v>
      </c>
      <c r="I3521">
        <v>613053294</v>
      </c>
      <c r="J3521">
        <v>605034835</v>
      </c>
      <c r="K3521">
        <v>547789875</v>
      </c>
      <c r="L3521">
        <v>281301789</v>
      </c>
      <c r="M3521">
        <v>235931672</v>
      </c>
      <c r="N3521">
        <v>205045814</v>
      </c>
      <c r="P3521">
        <v>102</v>
      </c>
      <c r="Q3521" t="s">
        <v>7388</v>
      </c>
    </row>
    <row r="3522" spans="1:17" x14ac:dyDescent="0.3">
      <c r="A3522" t="s">
        <v>4729</v>
      </c>
      <c r="B3522" t="str">
        <f>"002803"</f>
        <v>002803</v>
      </c>
      <c r="C3522" t="s">
        <v>7389</v>
      </c>
      <c r="D3522" t="s">
        <v>2020</v>
      </c>
      <c r="F3522">
        <v>1867591850</v>
      </c>
      <c r="G3522">
        <v>1740476943</v>
      </c>
      <c r="H3522">
        <v>1406881611</v>
      </c>
      <c r="I3522">
        <v>687774728</v>
      </c>
      <c r="J3522">
        <v>502457787</v>
      </c>
      <c r="K3522">
        <v>436756894</v>
      </c>
      <c r="L3522">
        <v>255502018</v>
      </c>
      <c r="M3522">
        <v>225078438</v>
      </c>
      <c r="N3522">
        <v>212954502</v>
      </c>
      <c r="P3522">
        <v>601</v>
      </c>
      <c r="Q3522" t="s">
        <v>7390</v>
      </c>
    </row>
    <row r="3523" spans="1:17" x14ac:dyDescent="0.3">
      <c r="A3523" t="s">
        <v>4729</v>
      </c>
      <c r="B3523" t="str">
        <f>"002805"</f>
        <v>002805</v>
      </c>
      <c r="C3523" t="s">
        <v>7391</v>
      </c>
      <c r="D3523" t="s">
        <v>1233</v>
      </c>
      <c r="F3523">
        <v>1043001833</v>
      </c>
      <c r="G3523">
        <v>547096060</v>
      </c>
      <c r="H3523">
        <v>585023696</v>
      </c>
      <c r="I3523">
        <v>580382415</v>
      </c>
      <c r="J3523">
        <v>570570962</v>
      </c>
      <c r="K3523">
        <v>537944866</v>
      </c>
      <c r="L3523">
        <v>412039759</v>
      </c>
      <c r="M3523">
        <v>396770070</v>
      </c>
      <c r="N3523">
        <v>373471953</v>
      </c>
      <c r="P3523">
        <v>113</v>
      </c>
      <c r="Q3523" t="s">
        <v>7392</v>
      </c>
    </row>
    <row r="3524" spans="1:17" x14ac:dyDescent="0.3">
      <c r="A3524" t="s">
        <v>4729</v>
      </c>
      <c r="B3524" t="str">
        <f>"002806"</f>
        <v>002806</v>
      </c>
      <c r="C3524" t="s">
        <v>7393</v>
      </c>
      <c r="D3524" t="s">
        <v>504</v>
      </c>
      <c r="F3524">
        <v>1195111615</v>
      </c>
      <c r="G3524">
        <v>985460819</v>
      </c>
      <c r="H3524">
        <v>1299866879</v>
      </c>
      <c r="I3524">
        <v>1260233672</v>
      </c>
      <c r="J3524">
        <v>372532921</v>
      </c>
      <c r="K3524">
        <v>352031884</v>
      </c>
      <c r="L3524">
        <v>226396436</v>
      </c>
      <c r="M3524">
        <v>200755075</v>
      </c>
      <c r="N3524">
        <v>184554848</v>
      </c>
      <c r="P3524">
        <v>100</v>
      </c>
      <c r="Q3524" t="s">
        <v>7394</v>
      </c>
    </row>
    <row r="3525" spans="1:17" x14ac:dyDescent="0.3">
      <c r="A3525" t="s">
        <v>4729</v>
      </c>
      <c r="B3525" t="str">
        <f>"002807"</f>
        <v>002807</v>
      </c>
      <c r="C3525" t="s">
        <v>7395</v>
      </c>
      <c r="D3525" t="s">
        <v>1831</v>
      </c>
      <c r="F3525">
        <v>12666302000</v>
      </c>
      <c r="G3525">
        <v>11771995000</v>
      </c>
      <c r="H3525">
        <v>11397939000</v>
      </c>
      <c r="I3525">
        <v>10107385000</v>
      </c>
      <c r="J3525">
        <v>9148779000</v>
      </c>
      <c r="K3525">
        <v>8751954000</v>
      </c>
      <c r="L3525">
        <v>7234315000</v>
      </c>
      <c r="M3525">
        <v>6259715000</v>
      </c>
      <c r="N3525">
        <v>5447164000</v>
      </c>
      <c r="O3525">
        <v>4932616000</v>
      </c>
      <c r="P3525">
        <v>571</v>
      </c>
      <c r="Q3525" t="s">
        <v>7396</v>
      </c>
    </row>
    <row r="3526" spans="1:17" x14ac:dyDescent="0.3">
      <c r="A3526" t="s">
        <v>4729</v>
      </c>
      <c r="B3526" t="str">
        <f>"002808"</f>
        <v>002808</v>
      </c>
      <c r="C3526" t="s">
        <v>7397</v>
      </c>
      <c r="D3526" t="s">
        <v>164</v>
      </c>
      <c r="F3526">
        <v>411468706</v>
      </c>
      <c r="G3526">
        <v>580657928</v>
      </c>
      <c r="H3526">
        <v>577363560</v>
      </c>
      <c r="I3526">
        <v>566624942</v>
      </c>
      <c r="J3526">
        <v>540957167</v>
      </c>
      <c r="K3526">
        <v>523077850</v>
      </c>
      <c r="L3526">
        <v>298075537</v>
      </c>
      <c r="M3526">
        <v>264490853</v>
      </c>
      <c r="N3526">
        <v>229368292</v>
      </c>
      <c r="P3526">
        <v>73</v>
      </c>
      <c r="Q3526" t="s">
        <v>7398</v>
      </c>
    </row>
    <row r="3527" spans="1:17" x14ac:dyDescent="0.3">
      <c r="A3527" t="s">
        <v>4729</v>
      </c>
      <c r="B3527" t="str">
        <f>"002809"</f>
        <v>002809</v>
      </c>
      <c r="C3527" t="s">
        <v>7399</v>
      </c>
      <c r="D3527" t="s">
        <v>386</v>
      </c>
      <c r="F3527">
        <v>1428208711</v>
      </c>
      <c r="G3527">
        <v>1308543717</v>
      </c>
      <c r="H3527">
        <v>1160160185</v>
      </c>
      <c r="I3527">
        <v>1035833259</v>
      </c>
      <c r="J3527">
        <v>954320285</v>
      </c>
      <c r="K3527">
        <v>885932052</v>
      </c>
      <c r="L3527">
        <v>424050195</v>
      </c>
      <c r="M3527">
        <v>349865993</v>
      </c>
      <c r="N3527">
        <v>275723701</v>
      </c>
      <c r="P3527">
        <v>99</v>
      </c>
      <c r="Q3527" t="s">
        <v>7400</v>
      </c>
    </row>
    <row r="3528" spans="1:17" x14ac:dyDescent="0.3">
      <c r="A3528" t="s">
        <v>4729</v>
      </c>
      <c r="B3528" t="str">
        <f>"002810"</f>
        <v>002810</v>
      </c>
      <c r="C3528" t="s">
        <v>7401</v>
      </c>
      <c r="D3528" t="s">
        <v>386</v>
      </c>
      <c r="F3528">
        <v>1548237529</v>
      </c>
      <c r="G3528">
        <v>1203395145</v>
      </c>
      <c r="H3528">
        <v>914486857</v>
      </c>
      <c r="I3528">
        <v>757044982</v>
      </c>
      <c r="J3528">
        <v>675240206</v>
      </c>
      <c r="K3528">
        <v>631347107</v>
      </c>
      <c r="L3528">
        <v>389674364</v>
      </c>
      <c r="M3528">
        <v>351126172</v>
      </c>
      <c r="N3528">
        <v>310453521</v>
      </c>
      <c r="P3528">
        <v>419</v>
      </c>
      <c r="Q3528" t="s">
        <v>7402</v>
      </c>
    </row>
    <row r="3529" spans="1:17" x14ac:dyDescent="0.3">
      <c r="A3529" t="s">
        <v>4729</v>
      </c>
      <c r="B3529" t="str">
        <f>"002811"</f>
        <v>002811</v>
      </c>
      <c r="C3529" t="s">
        <v>7403</v>
      </c>
      <c r="D3529" t="s">
        <v>450</v>
      </c>
      <c r="F3529">
        <v>1360927725</v>
      </c>
      <c r="G3529">
        <v>1461260948</v>
      </c>
      <c r="H3529">
        <v>1489869635</v>
      </c>
      <c r="I3529">
        <v>1401034180</v>
      </c>
      <c r="J3529">
        <v>1308243762</v>
      </c>
      <c r="K3529">
        <v>1231667782</v>
      </c>
      <c r="L3529">
        <v>588730688</v>
      </c>
      <c r="M3529">
        <v>499474189</v>
      </c>
      <c r="N3529">
        <v>407017210</v>
      </c>
      <c r="P3529">
        <v>95</v>
      </c>
      <c r="Q3529" t="s">
        <v>7404</v>
      </c>
    </row>
    <row r="3530" spans="1:17" x14ac:dyDescent="0.3">
      <c r="A3530" t="s">
        <v>4729</v>
      </c>
      <c r="B3530" t="str">
        <f>"002812"</f>
        <v>002812</v>
      </c>
      <c r="C3530" t="s">
        <v>7405</v>
      </c>
      <c r="D3530" t="s">
        <v>1790</v>
      </c>
      <c r="F3530">
        <v>13781514603</v>
      </c>
      <c r="G3530">
        <v>11010447510</v>
      </c>
      <c r="H3530">
        <v>4551052876</v>
      </c>
      <c r="I3530">
        <v>3831154952</v>
      </c>
      <c r="J3530">
        <v>1655027243</v>
      </c>
      <c r="K3530">
        <v>1572539827</v>
      </c>
      <c r="L3530">
        <v>739380886</v>
      </c>
      <c r="M3530">
        <v>689328391</v>
      </c>
      <c r="N3530">
        <v>621519033</v>
      </c>
      <c r="P3530">
        <v>1583</v>
      </c>
      <c r="Q3530" t="s">
        <v>7406</v>
      </c>
    </row>
    <row r="3531" spans="1:17" x14ac:dyDescent="0.3">
      <c r="A3531" t="s">
        <v>4729</v>
      </c>
      <c r="B3531" t="str">
        <f>"002813"</f>
        <v>002813</v>
      </c>
      <c r="C3531" t="s">
        <v>7407</v>
      </c>
      <c r="D3531" t="s">
        <v>1415</v>
      </c>
      <c r="F3531">
        <v>387581528</v>
      </c>
      <c r="G3531">
        <v>382692957</v>
      </c>
      <c r="H3531">
        <v>305757362</v>
      </c>
      <c r="I3531">
        <v>669798132</v>
      </c>
      <c r="J3531">
        <v>657851265</v>
      </c>
      <c r="K3531">
        <v>663568018</v>
      </c>
      <c r="L3531">
        <v>455890866</v>
      </c>
      <c r="M3531">
        <v>409572730</v>
      </c>
      <c r="N3531">
        <v>325945574</v>
      </c>
      <c r="P3531">
        <v>113</v>
      </c>
      <c r="Q3531" t="s">
        <v>7408</v>
      </c>
    </row>
    <row r="3532" spans="1:17" x14ac:dyDescent="0.3">
      <c r="A3532" t="s">
        <v>4729</v>
      </c>
      <c r="B3532" t="str">
        <f>"002815"</f>
        <v>002815</v>
      </c>
      <c r="C3532" t="s">
        <v>7409</v>
      </c>
      <c r="D3532" t="s">
        <v>425</v>
      </c>
      <c r="F3532">
        <v>4397017939</v>
      </c>
      <c r="G3532">
        <v>4049837997</v>
      </c>
      <c r="H3532">
        <v>3866155443</v>
      </c>
      <c r="I3532">
        <v>2752513099</v>
      </c>
      <c r="J3532">
        <v>2366518355</v>
      </c>
      <c r="K3532">
        <v>2107115271</v>
      </c>
      <c r="L3532">
        <v>1037501873</v>
      </c>
      <c r="M3532">
        <v>857132034</v>
      </c>
      <c r="N3532">
        <v>619593120</v>
      </c>
      <c r="P3532">
        <v>919</v>
      </c>
      <c r="Q3532" t="s">
        <v>7410</v>
      </c>
    </row>
    <row r="3533" spans="1:17" x14ac:dyDescent="0.3">
      <c r="A3533" t="s">
        <v>4729</v>
      </c>
      <c r="B3533" t="str">
        <f>"002816"</f>
        <v>002816</v>
      </c>
      <c r="C3533" t="s">
        <v>7411</v>
      </c>
      <c r="D3533" t="s">
        <v>741</v>
      </c>
      <c r="F3533">
        <v>419159036</v>
      </c>
      <c r="G3533">
        <v>405882091</v>
      </c>
      <c r="H3533">
        <v>457130349</v>
      </c>
      <c r="I3533">
        <v>527327411</v>
      </c>
      <c r="J3533">
        <v>523494057</v>
      </c>
      <c r="K3533">
        <v>512325823</v>
      </c>
      <c r="L3533">
        <v>307972643</v>
      </c>
      <c r="M3533">
        <v>268468692</v>
      </c>
      <c r="N3533">
        <v>229680828</v>
      </c>
      <c r="P3533">
        <v>46</v>
      </c>
      <c r="Q3533" t="s">
        <v>7412</v>
      </c>
    </row>
    <row r="3534" spans="1:17" x14ac:dyDescent="0.3">
      <c r="A3534" t="s">
        <v>4729</v>
      </c>
      <c r="B3534" t="str">
        <f>"002817"</f>
        <v>002817</v>
      </c>
      <c r="C3534" t="s">
        <v>7413</v>
      </c>
      <c r="D3534" t="s">
        <v>1077</v>
      </c>
      <c r="F3534">
        <v>809694572</v>
      </c>
      <c r="G3534">
        <v>761707350</v>
      </c>
      <c r="H3534">
        <v>724606242</v>
      </c>
      <c r="I3534">
        <v>692536074</v>
      </c>
      <c r="J3534">
        <v>666103565</v>
      </c>
      <c r="K3534">
        <v>630950275</v>
      </c>
      <c r="L3534">
        <v>323917863</v>
      </c>
      <c r="M3534">
        <v>278777405</v>
      </c>
      <c r="N3534">
        <v>236766299</v>
      </c>
      <c r="P3534">
        <v>126</v>
      </c>
      <c r="Q3534" t="s">
        <v>7414</v>
      </c>
    </row>
    <row r="3535" spans="1:17" x14ac:dyDescent="0.3">
      <c r="A3535" t="s">
        <v>4729</v>
      </c>
      <c r="B3535" t="str">
        <f>"002818"</f>
        <v>002818</v>
      </c>
      <c r="C3535" t="s">
        <v>7415</v>
      </c>
      <c r="D3535" t="s">
        <v>271</v>
      </c>
      <c r="F3535">
        <v>6047390817</v>
      </c>
      <c r="G3535">
        <v>5578271354</v>
      </c>
      <c r="H3535">
        <v>4962048016</v>
      </c>
      <c r="I3535">
        <v>4503092884</v>
      </c>
      <c r="J3535">
        <v>4242317339</v>
      </c>
      <c r="K3535">
        <v>3811117559</v>
      </c>
      <c r="L3535">
        <v>2283124417</v>
      </c>
      <c r="M3535">
        <v>1870052952</v>
      </c>
      <c r="N3535">
        <v>1539464018</v>
      </c>
      <c r="P3535">
        <v>868</v>
      </c>
      <c r="Q3535" t="s">
        <v>7416</v>
      </c>
    </row>
    <row r="3536" spans="1:17" x14ac:dyDescent="0.3">
      <c r="A3536" t="s">
        <v>4729</v>
      </c>
      <c r="B3536" t="str">
        <f>"002819"</f>
        <v>002819</v>
      </c>
      <c r="C3536" t="s">
        <v>7417</v>
      </c>
      <c r="D3536" t="s">
        <v>2566</v>
      </c>
      <c r="F3536">
        <v>3852869982</v>
      </c>
      <c r="G3536">
        <v>549115675</v>
      </c>
      <c r="H3536">
        <v>526647216</v>
      </c>
      <c r="I3536">
        <v>474280112</v>
      </c>
      <c r="J3536">
        <v>434634811</v>
      </c>
      <c r="K3536">
        <v>423155184</v>
      </c>
      <c r="L3536">
        <v>297220085</v>
      </c>
      <c r="M3536">
        <v>272171387</v>
      </c>
      <c r="N3536">
        <v>261199957</v>
      </c>
      <c r="P3536">
        <v>139</v>
      </c>
      <c r="Q3536" t="s">
        <v>7418</v>
      </c>
    </row>
    <row r="3537" spans="1:17" x14ac:dyDescent="0.3">
      <c r="A3537" t="s">
        <v>4729</v>
      </c>
      <c r="B3537" t="str">
        <f>"002820"</f>
        <v>002820</v>
      </c>
      <c r="C3537" t="s">
        <v>7419</v>
      </c>
      <c r="D3537" t="s">
        <v>2488</v>
      </c>
      <c r="F3537">
        <v>1053517349</v>
      </c>
      <c r="G3537">
        <v>1062387408</v>
      </c>
      <c r="H3537">
        <v>1077537259</v>
      </c>
      <c r="I3537">
        <v>1084159561</v>
      </c>
      <c r="J3537">
        <v>1038465575</v>
      </c>
      <c r="K3537">
        <v>977874075</v>
      </c>
      <c r="L3537">
        <v>430505370</v>
      </c>
      <c r="M3537">
        <v>355872878</v>
      </c>
      <c r="N3537">
        <v>290368291</v>
      </c>
      <c r="P3537">
        <v>146</v>
      </c>
      <c r="Q3537" t="s">
        <v>7420</v>
      </c>
    </row>
    <row r="3538" spans="1:17" x14ac:dyDescent="0.3">
      <c r="A3538" t="s">
        <v>4729</v>
      </c>
      <c r="B3538" t="str">
        <f>"002821"</f>
        <v>002821</v>
      </c>
      <c r="C3538" t="s">
        <v>7421</v>
      </c>
      <c r="D3538" t="s">
        <v>1461</v>
      </c>
      <c r="F3538">
        <v>12610011324</v>
      </c>
      <c r="G3538">
        <v>5994593533</v>
      </c>
      <c r="H3538">
        <v>3045504193</v>
      </c>
      <c r="I3538">
        <v>2510569181</v>
      </c>
      <c r="J3538">
        <v>2057620391</v>
      </c>
      <c r="K3538">
        <v>1754335923</v>
      </c>
      <c r="L3538">
        <v>881237733</v>
      </c>
      <c r="M3538">
        <v>745556507</v>
      </c>
      <c r="N3538">
        <v>629844718</v>
      </c>
      <c r="P3538">
        <v>2412</v>
      </c>
      <c r="Q3538" t="s">
        <v>7422</v>
      </c>
    </row>
    <row r="3539" spans="1:17" x14ac:dyDescent="0.3">
      <c r="A3539" t="s">
        <v>4729</v>
      </c>
      <c r="B3539" t="str">
        <f>"002822"</f>
        <v>002822</v>
      </c>
      <c r="C3539" t="s">
        <v>7423</v>
      </c>
      <c r="D3539" t="s">
        <v>450</v>
      </c>
      <c r="F3539">
        <v>3435540504</v>
      </c>
      <c r="G3539">
        <v>3345786120</v>
      </c>
      <c r="H3539">
        <v>2882349053</v>
      </c>
      <c r="I3539">
        <v>2172452358</v>
      </c>
      <c r="J3539">
        <v>2035391962</v>
      </c>
      <c r="K3539">
        <v>1934606136</v>
      </c>
      <c r="L3539">
        <v>1097560514</v>
      </c>
      <c r="M3539">
        <v>943759581</v>
      </c>
      <c r="N3539">
        <v>816498933</v>
      </c>
      <c r="P3539">
        <v>134</v>
      </c>
      <c r="Q3539" t="s">
        <v>7424</v>
      </c>
    </row>
    <row r="3540" spans="1:17" x14ac:dyDescent="0.3">
      <c r="A3540" t="s">
        <v>4729</v>
      </c>
      <c r="B3540" t="str">
        <f>"002823"</f>
        <v>002823</v>
      </c>
      <c r="C3540" t="s">
        <v>7425</v>
      </c>
      <c r="D3540" t="s">
        <v>1171</v>
      </c>
      <c r="F3540">
        <v>1236783898</v>
      </c>
      <c r="G3540">
        <v>1340860082</v>
      </c>
      <c r="H3540">
        <v>1272367701</v>
      </c>
      <c r="I3540">
        <v>1220230059</v>
      </c>
      <c r="J3540">
        <v>1135594470</v>
      </c>
      <c r="K3540">
        <v>1004590556</v>
      </c>
      <c r="L3540">
        <v>447916184</v>
      </c>
      <c r="M3540">
        <v>374779959</v>
      </c>
      <c r="N3540">
        <v>316990639</v>
      </c>
      <c r="P3540">
        <v>158</v>
      </c>
      <c r="Q3540" t="s">
        <v>7426</v>
      </c>
    </row>
    <row r="3541" spans="1:17" x14ac:dyDescent="0.3">
      <c r="A3541" t="s">
        <v>4729</v>
      </c>
      <c r="B3541" t="str">
        <f>"002824"</f>
        <v>002824</v>
      </c>
      <c r="C3541" t="s">
        <v>7427</v>
      </c>
      <c r="D3541" t="s">
        <v>504</v>
      </c>
      <c r="F3541">
        <v>1088610671</v>
      </c>
      <c r="G3541">
        <v>868565480</v>
      </c>
      <c r="H3541">
        <v>778433402</v>
      </c>
      <c r="I3541">
        <v>748817770</v>
      </c>
      <c r="J3541">
        <v>737153390</v>
      </c>
      <c r="K3541">
        <v>425580889</v>
      </c>
      <c r="L3541">
        <v>370517028</v>
      </c>
      <c r="M3541">
        <v>339051861</v>
      </c>
      <c r="N3541">
        <v>316056436</v>
      </c>
      <c r="P3541">
        <v>167</v>
      </c>
      <c r="Q3541" t="s">
        <v>7428</v>
      </c>
    </row>
    <row r="3542" spans="1:17" x14ac:dyDescent="0.3">
      <c r="A3542" t="s">
        <v>4729</v>
      </c>
      <c r="B3542" t="str">
        <f>"002825"</f>
        <v>002825</v>
      </c>
      <c r="C3542" t="s">
        <v>7429</v>
      </c>
      <c r="D3542" t="s">
        <v>1192</v>
      </c>
      <c r="F3542">
        <v>1054928323</v>
      </c>
      <c r="G3542">
        <v>787999125</v>
      </c>
      <c r="H3542">
        <v>716962326</v>
      </c>
      <c r="I3542">
        <v>621538087</v>
      </c>
      <c r="J3542">
        <v>568961668</v>
      </c>
      <c r="K3542">
        <v>552627038</v>
      </c>
      <c r="L3542">
        <v>291164447</v>
      </c>
      <c r="M3542">
        <v>250472976</v>
      </c>
      <c r="N3542">
        <v>215382207</v>
      </c>
      <c r="P3542">
        <v>100</v>
      </c>
      <c r="Q3542" t="s">
        <v>7430</v>
      </c>
    </row>
    <row r="3543" spans="1:17" x14ac:dyDescent="0.3">
      <c r="A3543" t="s">
        <v>4729</v>
      </c>
      <c r="B3543" t="str">
        <f>"002826"</f>
        <v>002826</v>
      </c>
      <c r="C3543" t="s">
        <v>7431</v>
      </c>
      <c r="D3543" t="s">
        <v>143</v>
      </c>
      <c r="F3543">
        <v>717389579</v>
      </c>
      <c r="G3543">
        <v>687146489</v>
      </c>
      <c r="H3543">
        <v>652168994</v>
      </c>
      <c r="I3543">
        <v>618400812</v>
      </c>
      <c r="J3543">
        <v>604528970</v>
      </c>
      <c r="K3543">
        <v>555435546</v>
      </c>
      <c r="L3543">
        <v>248251330</v>
      </c>
      <c r="M3543">
        <v>179121626</v>
      </c>
      <c r="N3543">
        <v>65029936</v>
      </c>
      <c r="P3543">
        <v>127</v>
      </c>
      <c r="Q3543" t="s">
        <v>7432</v>
      </c>
    </row>
    <row r="3544" spans="1:17" x14ac:dyDescent="0.3">
      <c r="A3544" t="s">
        <v>4729</v>
      </c>
      <c r="B3544" t="str">
        <f>"002827"</f>
        <v>002827</v>
      </c>
      <c r="C3544" t="s">
        <v>7433</v>
      </c>
      <c r="D3544" t="s">
        <v>2736</v>
      </c>
      <c r="F3544">
        <v>765928791</v>
      </c>
      <c r="G3544">
        <v>761104301</v>
      </c>
      <c r="H3544">
        <v>765705711</v>
      </c>
      <c r="I3544">
        <v>803123860</v>
      </c>
      <c r="J3544">
        <v>813168092</v>
      </c>
      <c r="K3544">
        <v>748106918</v>
      </c>
      <c r="L3544">
        <v>326750404</v>
      </c>
      <c r="M3544">
        <v>281643467</v>
      </c>
      <c r="N3544">
        <v>214017692</v>
      </c>
      <c r="P3544">
        <v>89</v>
      </c>
      <c r="Q3544" t="s">
        <v>7434</v>
      </c>
    </row>
    <row r="3545" spans="1:17" x14ac:dyDescent="0.3">
      <c r="A3545" t="s">
        <v>4729</v>
      </c>
      <c r="B3545" t="str">
        <f>"002828"</f>
        <v>002828</v>
      </c>
      <c r="C3545" t="s">
        <v>7435</v>
      </c>
      <c r="D3545" t="s">
        <v>1762</v>
      </c>
      <c r="F3545">
        <v>966881268</v>
      </c>
      <c r="G3545">
        <v>978469294</v>
      </c>
      <c r="H3545">
        <v>971870769</v>
      </c>
      <c r="I3545">
        <v>957221157</v>
      </c>
      <c r="J3545">
        <v>904503125</v>
      </c>
      <c r="K3545">
        <v>839016090</v>
      </c>
      <c r="L3545">
        <v>473505781</v>
      </c>
      <c r="M3545">
        <v>423287822</v>
      </c>
      <c r="N3545">
        <v>368662636</v>
      </c>
      <c r="P3545">
        <v>73</v>
      </c>
      <c r="Q3545" t="s">
        <v>7436</v>
      </c>
    </row>
    <row r="3546" spans="1:17" x14ac:dyDescent="0.3">
      <c r="A3546" t="s">
        <v>4729</v>
      </c>
      <c r="B3546" t="str">
        <f>"002829"</f>
        <v>002829</v>
      </c>
      <c r="C3546" t="s">
        <v>7437</v>
      </c>
      <c r="D3546" t="s">
        <v>284</v>
      </c>
      <c r="F3546">
        <v>1076905253</v>
      </c>
      <c r="G3546">
        <v>1021672911</v>
      </c>
      <c r="H3546">
        <v>867399172</v>
      </c>
      <c r="I3546">
        <v>852224276</v>
      </c>
      <c r="J3546">
        <v>780921979</v>
      </c>
      <c r="K3546">
        <v>705933787</v>
      </c>
      <c r="L3546">
        <v>327205186</v>
      </c>
      <c r="M3546">
        <v>276444131</v>
      </c>
      <c r="N3546">
        <v>218447607</v>
      </c>
      <c r="P3546">
        <v>132</v>
      </c>
      <c r="Q3546" t="s">
        <v>7438</v>
      </c>
    </row>
    <row r="3547" spans="1:17" x14ac:dyDescent="0.3">
      <c r="A3547" t="s">
        <v>4729</v>
      </c>
      <c r="B3547" t="str">
        <f>"002830"</f>
        <v>002830</v>
      </c>
      <c r="C3547" t="s">
        <v>7439</v>
      </c>
      <c r="D3547" t="s">
        <v>450</v>
      </c>
      <c r="F3547">
        <v>659316478</v>
      </c>
      <c r="G3547">
        <v>646174853</v>
      </c>
      <c r="H3547">
        <v>641114677</v>
      </c>
      <c r="I3547">
        <v>638216752</v>
      </c>
      <c r="J3547">
        <v>608279463</v>
      </c>
      <c r="K3547">
        <v>569075102</v>
      </c>
      <c r="L3547">
        <v>303584371</v>
      </c>
      <c r="M3547">
        <v>270497485</v>
      </c>
      <c r="N3547">
        <v>235327308</v>
      </c>
      <c r="P3547">
        <v>78</v>
      </c>
      <c r="Q3547" t="s">
        <v>7440</v>
      </c>
    </row>
    <row r="3548" spans="1:17" x14ac:dyDescent="0.3">
      <c r="A3548" t="s">
        <v>4729</v>
      </c>
      <c r="B3548" t="str">
        <f>"002831"</f>
        <v>002831</v>
      </c>
      <c r="C3548" t="s">
        <v>7441</v>
      </c>
      <c r="D3548" t="s">
        <v>2165</v>
      </c>
      <c r="F3548">
        <v>9261200333</v>
      </c>
      <c r="G3548">
        <v>8498732298</v>
      </c>
      <c r="H3548">
        <v>6361650355</v>
      </c>
      <c r="I3548">
        <v>5653288044</v>
      </c>
      <c r="J3548">
        <v>4999569529</v>
      </c>
      <c r="K3548">
        <v>4271593154</v>
      </c>
      <c r="L3548">
        <v>2169268433</v>
      </c>
      <c r="M3548">
        <v>1649444339</v>
      </c>
      <c r="N3548">
        <v>1156328236</v>
      </c>
      <c r="P3548">
        <v>663</v>
      </c>
      <c r="Q3548" t="s">
        <v>7442</v>
      </c>
    </row>
    <row r="3549" spans="1:17" x14ac:dyDescent="0.3">
      <c r="A3549" t="s">
        <v>4729</v>
      </c>
      <c r="B3549" t="str">
        <f>"002832"</f>
        <v>002832</v>
      </c>
      <c r="C3549" t="s">
        <v>7443</v>
      </c>
      <c r="D3549" t="s">
        <v>255</v>
      </c>
      <c r="F3549">
        <v>3217917142</v>
      </c>
      <c r="G3549">
        <v>2276177242</v>
      </c>
      <c r="H3549">
        <v>1957377186</v>
      </c>
      <c r="I3549">
        <v>1628237880</v>
      </c>
      <c r="J3549">
        <v>1442650462</v>
      </c>
      <c r="K3549">
        <v>1283760508</v>
      </c>
      <c r="L3549">
        <v>527087126</v>
      </c>
      <c r="M3549">
        <v>403896963</v>
      </c>
      <c r="N3549">
        <v>296392334</v>
      </c>
      <c r="P3549">
        <v>636</v>
      </c>
      <c r="Q3549" t="s">
        <v>7444</v>
      </c>
    </row>
    <row r="3550" spans="1:17" x14ac:dyDescent="0.3">
      <c r="A3550" t="s">
        <v>4729</v>
      </c>
      <c r="B3550" t="str">
        <f>"002833"</f>
        <v>002833</v>
      </c>
      <c r="C3550" t="s">
        <v>7445</v>
      </c>
      <c r="D3550" t="s">
        <v>741</v>
      </c>
      <c r="F3550">
        <v>2082942271</v>
      </c>
      <c r="G3550">
        <v>1734508114</v>
      </c>
      <c r="H3550">
        <v>1432241451</v>
      </c>
      <c r="I3550">
        <v>1157519574</v>
      </c>
      <c r="J3550">
        <v>936837274</v>
      </c>
      <c r="K3550">
        <v>706155172</v>
      </c>
      <c r="L3550">
        <v>329943407</v>
      </c>
      <c r="M3550">
        <v>253809277</v>
      </c>
      <c r="N3550">
        <v>168934141</v>
      </c>
      <c r="P3550">
        <v>2869</v>
      </c>
      <c r="Q3550" t="s">
        <v>7446</v>
      </c>
    </row>
    <row r="3551" spans="1:17" x14ac:dyDescent="0.3">
      <c r="A3551" t="s">
        <v>4729</v>
      </c>
      <c r="B3551" t="str">
        <f>"002835"</f>
        <v>002835</v>
      </c>
      <c r="C3551" t="s">
        <v>7447</v>
      </c>
      <c r="D3551" t="s">
        <v>2980</v>
      </c>
      <c r="F3551">
        <v>829693670</v>
      </c>
      <c r="G3551">
        <v>751735752</v>
      </c>
      <c r="H3551">
        <v>683186762</v>
      </c>
      <c r="I3551">
        <v>648232228</v>
      </c>
      <c r="J3551">
        <v>650739253</v>
      </c>
      <c r="K3551">
        <v>646529286</v>
      </c>
      <c r="L3551">
        <v>301598214</v>
      </c>
      <c r="M3551">
        <v>241331123</v>
      </c>
      <c r="N3551">
        <v>200245815</v>
      </c>
      <c r="P3551">
        <v>94</v>
      </c>
      <c r="Q3551" t="s">
        <v>7448</v>
      </c>
    </row>
    <row r="3552" spans="1:17" x14ac:dyDescent="0.3">
      <c r="A3552" t="s">
        <v>4729</v>
      </c>
      <c r="B3552" t="str">
        <f>"002836"</f>
        <v>002836</v>
      </c>
      <c r="C3552" t="s">
        <v>7449</v>
      </c>
      <c r="D3552" t="s">
        <v>2165</v>
      </c>
      <c r="F3552">
        <v>362250382</v>
      </c>
      <c r="G3552">
        <v>399073455</v>
      </c>
      <c r="H3552">
        <v>382942311</v>
      </c>
      <c r="I3552">
        <v>436663984</v>
      </c>
      <c r="J3552">
        <v>427090244</v>
      </c>
      <c r="K3552">
        <v>395497503</v>
      </c>
      <c r="L3552">
        <v>253530945</v>
      </c>
      <c r="M3552">
        <v>252990241</v>
      </c>
      <c r="N3552">
        <v>243100765</v>
      </c>
      <c r="P3552">
        <v>63</v>
      </c>
      <c r="Q3552" t="s">
        <v>7450</v>
      </c>
    </row>
    <row r="3553" spans="1:17" x14ac:dyDescent="0.3">
      <c r="A3553" t="s">
        <v>4729</v>
      </c>
      <c r="B3553" t="str">
        <f>"002837"</f>
        <v>002837</v>
      </c>
      <c r="C3553" t="s">
        <v>7451</v>
      </c>
      <c r="D3553" t="s">
        <v>741</v>
      </c>
      <c r="F3553">
        <v>1856990566</v>
      </c>
      <c r="G3553">
        <v>1404036167</v>
      </c>
      <c r="H3553">
        <v>1243781824</v>
      </c>
      <c r="I3553">
        <v>1080416798</v>
      </c>
      <c r="J3553">
        <v>673988818</v>
      </c>
      <c r="K3553">
        <v>598087079</v>
      </c>
      <c r="L3553">
        <v>215489394</v>
      </c>
      <c r="M3553">
        <v>147685475</v>
      </c>
      <c r="N3553">
        <v>105154882</v>
      </c>
      <c r="P3553">
        <v>396</v>
      </c>
      <c r="Q3553" t="s">
        <v>7452</v>
      </c>
    </row>
    <row r="3554" spans="1:17" x14ac:dyDescent="0.3">
      <c r="A3554" t="s">
        <v>4729</v>
      </c>
      <c r="B3554" t="str">
        <f>"002838"</f>
        <v>002838</v>
      </c>
      <c r="C3554" t="s">
        <v>7453</v>
      </c>
      <c r="D3554" t="s">
        <v>341</v>
      </c>
      <c r="F3554">
        <v>1993781021</v>
      </c>
      <c r="G3554">
        <v>1827667132</v>
      </c>
      <c r="H3554">
        <v>1084853909</v>
      </c>
      <c r="I3554">
        <v>944772537</v>
      </c>
      <c r="J3554">
        <v>842507992</v>
      </c>
      <c r="K3554">
        <v>763017240</v>
      </c>
      <c r="L3554">
        <v>391600113</v>
      </c>
      <c r="M3554">
        <v>331800948</v>
      </c>
      <c r="N3554">
        <v>284687015</v>
      </c>
      <c r="P3554">
        <v>614</v>
      </c>
      <c r="Q3554" t="s">
        <v>7454</v>
      </c>
    </row>
    <row r="3555" spans="1:17" x14ac:dyDescent="0.3">
      <c r="A3555" t="s">
        <v>4729</v>
      </c>
      <c r="B3555" t="str">
        <f>"002839"</f>
        <v>002839</v>
      </c>
      <c r="C3555" t="s">
        <v>7455</v>
      </c>
      <c r="D3555" t="s">
        <v>1831</v>
      </c>
      <c r="F3555">
        <v>11968278774</v>
      </c>
      <c r="G3555">
        <v>10755223862</v>
      </c>
      <c r="H3555">
        <v>10217778855</v>
      </c>
      <c r="I3555">
        <v>9467436488</v>
      </c>
      <c r="J3555">
        <v>8278626050</v>
      </c>
      <c r="K3555">
        <v>7326412736</v>
      </c>
      <c r="L3555">
        <v>7027310926</v>
      </c>
      <c r="M3555">
        <v>6340094045</v>
      </c>
      <c r="N3555">
        <v>5471452391</v>
      </c>
      <c r="O3555">
        <v>5017481600</v>
      </c>
      <c r="P3555">
        <v>474</v>
      </c>
      <c r="Q3555" t="s">
        <v>7456</v>
      </c>
    </row>
    <row r="3556" spans="1:17" x14ac:dyDescent="0.3">
      <c r="A3556" t="s">
        <v>4729</v>
      </c>
      <c r="B3556" t="str">
        <f>"002840"</f>
        <v>002840</v>
      </c>
      <c r="C3556" t="s">
        <v>7457</v>
      </c>
      <c r="D3556" t="s">
        <v>170</v>
      </c>
      <c r="F3556">
        <v>1499325620</v>
      </c>
      <c r="G3556">
        <v>1655598684</v>
      </c>
      <c r="H3556">
        <v>1484179909</v>
      </c>
      <c r="I3556">
        <v>1297867905</v>
      </c>
      <c r="J3556">
        <v>1170349901</v>
      </c>
      <c r="K3556">
        <v>808619651</v>
      </c>
      <c r="L3556">
        <v>731576238</v>
      </c>
      <c r="M3556">
        <v>675407224</v>
      </c>
      <c r="N3556">
        <v>421779851</v>
      </c>
      <c r="P3556">
        <v>600</v>
      </c>
      <c r="Q3556" t="s">
        <v>7458</v>
      </c>
    </row>
    <row r="3557" spans="1:17" x14ac:dyDescent="0.3">
      <c r="A3557" t="s">
        <v>4729</v>
      </c>
      <c r="B3557" t="str">
        <f>"002841"</f>
        <v>002841</v>
      </c>
      <c r="C3557" t="s">
        <v>7459</v>
      </c>
      <c r="D3557" t="s">
        <v>1285</v>
      </c>
      <c r="F3557">
        <v>8355590513</v>
      </c>
      <c r="G3557">
        <v>7198499526</v>
      </c>
      <c r="H3557">
        <v>4738455097</v>
      </c>
      <c r="I3557">
        <v>3403208672</v>
      </c>
      <c r="J3557">
        <v>2507906785</v>
      </c>
      <c r="K3557">
        <v>1244935480</v>
      </c>
      <c r="L3557">
        <v>809428739</v>
      </c>
      <c r="M3557">
        <v>521649445</v>
      </c>
      <c r="N3557">
        <v>345264225</v>
      </c>
      <c r="P3557">
        <v>3102</v>
      </c>
      <c r="Q3557" t="s">
        <v>7460</v>
      </c>
    </row>
    <row r="3558" spans="1:17" x14ac:dyDescent="0.3">
      <c r="A3558" t="s">
        <v>4729</v>
      </c>
      <c r="B3558" t="str">
        <f>"002842"</f>
        <v>002842</v>
      </c>
      <c r="C3558" t="s">
        <v>7461</v>
      </c>
      <c r="D3558" t="s">
        <v>1110</v>
      </c>
      <c r="F3558">
        <v>946642195</v>
      </c>
      <c r="G3558">
        <v>921119957</v>
      </c>
      <c r="H3558">
        <v>898874160</v>
      </c>
      <c r="I3558">
        <v>851234468</v>
      </c>
      <c r="J3558">
        <v>772633623</v>
      </c>
      <c r="K3558">
        <v>465826570</v>
      </c>
      <c r="L3558">
        <v>415999738</v>
      </c>
      <c r="M3558">
        <v>359459926</v>
      </c>
      <c r="N3558">
        <v>328957264</v>
      </c>
      <c r="P3558">
        <v>99</v>
      </c>
      <c r="Q3558" t="s">
        <v>7462</v>
      </c>
    </row>
    <row r="3559" spans="1:17" x14ac:dyDescent="0.3">
      <c r="A3559" t="s">
        <v>4729</v>
      </c>
      <c r="B3559" t="str">
        <f>"002843"</f>
        <v>002843</v>
      </c>
      <c r="C3559" t="s">
        <v>7463</v>
      </c>
      <c r="D3559" t="s">
        <v>274</v>
      </c>
      <c r="F3559">
        <v>590208743</v>
      </c>
      <c r="G3559">
        <v>484691655</v>
      </c>
      <c r="H3559">
        <v>588866101</v>
      </c>
      <c r="I3559">
        <v>666397310</v>
      </c>
      <c r="J3559">
        <v>610399322</v>
      </c>
      <c r="K3559">
        <v>402782387</v>
      </c>
      <c r="L3559">
        <v>382630008</v>
      </c>
      <c r="M3559">
        <v>371049933</v>
      </c>
      <c r="N3559">
        <v>342060947</v>
      </c>
      <c r="P3559">
        <v>74</v>
      </c>
      <c r="Q3559" t="s">
        <v>7464</v>
      </c>
    </row>
    <row r="3560" spans="1:17" x14ac:dyDescent="0.3">
      <c r="A3560" t="s">
        <v>4729</v>
      </c>
      <c r="B3560" t="str">
        <f>"002845"</f>
        <v>002845</v>
      </c>
      <c r="C3560" t="s">
        <v>7465</v>
      </c>
      <c r="D3560" t="s">
        <v>1117</v>
      </c>
      <c r="F3560">
        <v>2765895147</v>
      </c>
      <c r="G3560">
        <v>2371945390</v>
      </c>
      <c r="H3560">
        <v>1258668136</v>
      </c>
      <c r="I3560">
        <v>1146277737</v>
      </c>
      <c r="J3560">
        <v>996276294</v>
      </c>
      <c r="K3560">
        <v>464525836</v>
      </c>
      <c r="L3560">
        <v>366885780</v>
      </c>
      <c r="M3560">
        <v>296563174</v>
      </c>
      <c r="N3560">
        <v>142363378</v>
      </c>
      <c r="P3560">
        <v>222</v>
      </c>
      <c r="Q3560" t="s">
        <v>7466</v>
      </c>
    </row>
    <row r="3561" spans="1:17" x14ac:dyDescent="0.3">
      <c r="A3561" t="s">
        <v>4729</v>
      </c>
      <c r="B3561" t="str">
        <f>"002846"</f>
        <v>002846</v>
      </c>
      <c r="C3561" t="s">
        <v>7467</v>
      </c>
      <c r="D3561" t="s">
        <v>2373</v>
      </c>
      <c r="F3561">
        <v>793040006</v>
      </c>
      <c r="G3561">
        <v>776222115</v>
      </c>
      <c r="H3561">
        <v>651139594</v>
      </c>
      <c r="I3561">
        <v>568086634</v>
      </c>
      <c r="J3561">
        <v>525862718</v>
      </c>
      <c r="K3561">
        <v>285990871</v>
      </c>
      <c r="L3561">
        <v>244070948</v>
      </c>
      <c r="M3561">
        <v>212424356</v>
      </c>
      <c r="N3561">
        <v>174655465</v>
      </c>
      <c r="P3561">
        <v>109</v>
      </c>
      <c r="Q3561" t="s">
        <v>7468</v>
      </c>
    </row>
    <row r="3562" spans="1:17" x14ac:dyDescent="0.3">
      <c r="A3562" t="s">
        <v>4729</v>
      </c>
      <c r="B3562" t="str">
        <f>"002847"</f>
        <v>002847</v>
      </c>
      <c r="C3562" t="s">
        <v>7469</v>
      </c>
      <c r="D3562" t="s">
        <v>3194</v>
      </c>
      <c r="F3562">
        <v>873053880</v>
      </c>
      <c r="G3562">
        <v>858861717</v>
      </c>
      <c r="H3562">
        <v>773366224</v>
      </c>
      <c r="I3562">
        <v>640834321</v>
      </c>
      <c r="J3562">
        <v>595120989</v>
      </c>
      <c r="K3562">
        <v>304628227</v>
      </c>
      <c r="L3562">
        <v>248971754</v>
      </c>
      <c r="M3562">
        <v>183527842</v>
      </c>
      <c r="N3562">
        <v>148598914</v>
      </c>
      <c r="P3562">
        <v>742</v>
      </c>
      <c r="Q3562" t="s">
        <v>7470</v>
      </c>
    </row>
    <row r="3563" spans="1:17" x14ac:dyDescent="0.3">
      <c r="A3563" t="s">
        <v>4729</v>
      </c>
      <c r="B3563" t="str">
        <f>"002848"</f>
        <v>002848</v>
      </c>
      <c r="C3563" t="s">
        <v>7471</v>
      </c>
      <c r="D3563" t="s">
        <v>4467</v>
      </c>
      <c r="F3563">
        <v>226671120</v>
      </c>
      <c r="G3563">
        <v>352292399</v>
      </c>
      <c r="H3563">
        <v>676835326</v>
      </c>
      <c r="I3563">
        <v>602634076</v>
      </c>
      <c r="J3563">
        <v>646755743</v>
      </c>
      <c r="K3563">
        <v>614290557</v>
      </c>
      <c r="L3563">
        <v>553546585</v>
      </c>
      <c r="M3563">
        <v>503325283</v>
      </c>
      <c r="N3563">
        <v>472059565</v>
      </c>
      <c r="P3563">
        <v>189</v>
      </c>
      <c r="Q3563" t="s">
        <v>7472</v>
      </c>
    </row>
    <row r="3564" spans="1:17" x14ac:dyDescent="0.3">
      <c r="A3564" t="s">
        <v>4729</v>
      </c>
      <c r="B3564" t="str">
        <f>"002849"</f>
        <v>002849</v>
      </c>
      <c r="C3564" t="s">
        <v>7473</v>
      </c>
      <c r="D3564" t="s">
        <v>2566</v>
      </c>
      <c r="F3564">
        <v>819625463</v>
      </c>
      <c r="G3564">
        <v>767820469</v>
      </c>
      <c r="H3564">
        <v>681869233</v>
      </c>
      <c r="I3564">
        <v>604955487</v>
      </c>
      <c r="J3564">
        <v>550286036</v>
      </c>
      <c r="K3564">
        <v>277613873</v>
      </c>
      <c r="L3564">
        <v>233510269</v>
      </c>
      <c r="M3564">
        <v>198016491</v>
      </c>
      <c r="P3564">
        <v>177</v>
      </c>
      <c r="Q3564" t="s">
        <v>7474</v>
      </c>
    </row>
    <row r="3565" spans="1:17" x14ac:dyDescent="0.3">
      <c r="A3565" t="s">
        <v>4729</v>
      </c>
      <c r="B3565" t="str">
        <f>"002850"</f>
        <v>002850</v>
      </c>
      <c r="C3565" t="s">
        <v>7475</v>
      </c>
      <c r="D3565" t="s">
        <v>359</v>
      </c>
      <c r="F3565">
        <v>4554973600</v>
      </c>
      <c r="G3565">
        <v>3989035998</v>
      </c>
      <c r="H3565">
        <v>2490630236</v>
      </c>
      <c r="I3565">
        <v>2295319610</v>
      </c>
      <c r="J3565">
        <v>2255032386</v>
      </c>
      <c r="K3565">
        <v>929998156</v>
      </c>
      <c r="L3565">
        <v>653530425</v>
      </c>
      <c r="M3565">
        <v>499045051</v>
      </c>
      <c r="P3565">
        <v>379</v>
      </c>
      <c r="Q3565" t="s">
        <v>7476</v>
      </c>
    </row>
    <row r="3566" spans="1:17" x14ac:dyDescent="0.3">
      <c r="A3566" t="s">
        <v>4729</v>
      </c>
      <c r="B3566" t="str">
        <f>"002851"</f>
        <v>002851</v>
      </c>
      <c r="C3566" t="s">
        <v>7477</v>
      </c>
      <c r="D3566" t="s">
        <v>880</v>
      </c>
      <c r="F3566">
        <v>3156962539</v>
      </c>
      <c r="G3566">
        <v>3069401048</v>
      </c>
      <c r="H3566">
        <v>1925218550</v>
      </c>
      <c r="I3566">
        <v>1646819859</v>
      </c>
      <c r="J3566">
        <v>1310047003</v>
      </c>
      <c r="K3566">
        <v>689351371</v>
      </c>
      <c r="L3566">
        <v>580277002</v>
      </c>
      <c r="M3566">
        <v>523441305</v>
      </c>
      <c r="P3566">
        <v>565</v>
      </c>
      <c r="Q3566" t="s">
        <v>7478</v>
      </c>
    </row>
    <row r="3567" spans="1:17" x14ac:dyDescent="0.3">
      <c r="A3567" t="s">
        <v>4729</v>
      </c>
      <c r="B3567" t="str">
        <f>"002852"</f>
        <v>002852</v>
      </c>
      <c r="C3567" t="s">
        <v>7479</v>
      </c>
      <c r="D3567" t="s">
        <v>306</v>
      </c>
      <c r="F3567">
        <v>2393801776</v>
      </c>
      <c r="G3567">
        <v>1824434689</v>
      </c>
      <c r="H3567">
        <v>1967459755</v>
      </c>
      <c r="I3567">
        <v>2100034427</v>
      </c>
      <c r="J3567">
        <v>1920045398</v>
      </c>
      <c r="K3567">
        <v>664157372</v>
      </c>
      <c r="L3567">
        <v>477933074</v>
      </c>
      <c r="M3567">
        <v>309001826</v>
      </c>
      <c r="P3567">
        <v>141</v>
      </c>
      <c r="Q3567" t="s">
        <v>7480</v>
      </c>
    </row>
    <row r="3568" spans="1:17" x14ac:dyDescent="0.3">
      <c r="A3568" t="s">
        <v>4729</v>
      </c>
      <c r="B3568" t="str">
        <f>"002853"</f>
        <v>002853</v>
      </c>
      <c r="C3568" t="s">
        <v>7481</v>
      </c>
      <c r="D3568" t="s">
        <v>2664</v>
      </c>
      <c r="F3568">
        <v>1150754710</v>
      </c>
      <c r="G3568">
        <v>1920776843</v>
      </c>
      <c r="H3568">
        <v>1174363701</v>
      </c>
      <c r="I3568">
        <v>1028809689</v>
      </c>
      <c r="J3568">
        <v>910870270</v>
      </c>
      <c r="K3568">
        <v>380675919</v>
      </c>
      <c r="L3568">
        <v>311750609</v>
      </c>
      <c r="M3568">
        <v>243222504</v>
      </c>
      <c r="P3568">
        <v>379</v>
      </c>
      <c r="Q3568" t="s">
        <v>7482</v>
      </c>
    </row>
    <row r="3569" spans="1:17" x14ac:dyDescent="0.3">
      <c r="A3569" t="s">
        <v>4729</v>
      </c>
      <c r="B3569" t="str">
        <f>"002855"</f>
        <v>002855</v>
      </c>
      <c r="C3569" t="s">
        <v>7483</v>
      </c>
      <c r="D3569" t="s">
        <v>313</v>
      </c>
      <c r="F3569">
        <v>1148115967</v>
      </c>
      <c r="G3569">
        <v>1408891971</v>
      </c>
      <c r="H3569">
        <v>1297876251</v>
      </c>
      <c r="I3569">
        <v>1166507436</v>
      </c>
      <c r="J3569">
        <v>1193837097</v>
      </c>
      <c r="K3569">
        <v>804510675</v>
      </c>
      <c r="L3569">
        <v>729104733</v>
      </c>
      <c r="M3569">
        <v>645874123</v>
      </c>
      <c r="P3569">
        <v>138</v>
      </c>
      <c r="Q3569" t="s">
        <v>7484</v>
      </c>
    </row>
    <row r="3570" spans="1:17" x14ac:dyDescent="0.3">
      <c r="A3570" t="s">
        <v>4729</v>
      </c>
      <c r="B3570" t="str">
        <f>"002856"</f>
        <v>002856</v>
      </c>
      <c r="C3570" t="s">
        <v>7485</v>
      </c>
      <c r="D3570" t="s">
        <v>450</v>
      </c>
      <c r="F3570">
        <v>665461480</v>
      </c>
      <c r="G3570">
        <v>829082915</v>
      </c>
      <c r="H3570">
        <v>644273519</v>
      </c>
      <c r="I3570">
        <v>661779304</v>
      </c>
      <c r="J3570">
        <v>652704757</v>
      </c>
      <c r="K3570">
        <v>340751262</v>
      </c>
      <c r="L3570">
        <v>291336278</v>
      </c>
      <c r="M3570">
        <v>254447060</v>
      </c>
      <c r="P3570">
        <v>51</v>
      </c>
      <c r="Q3570" t="s">
        <v>7486</v>
      </c>
    </row>
    <row r="3571" spans="1:17" x14ac:dyDescent="0.3">
      <c r="A3571" t="s">
        <v>4729</v>
      </c>
      <c r="B3571" t="str">
        <f>"002857"</f>
        <v>002857</v>
      </c>
      <c r="C3571" t="s">
        <v>7487</v>
      </c>
      <c r="D3571" t="s">
        <v>2180</v>
      </c>
      <c r="F3571">
        <v>514377975</v>
      </c>
      <c r="G3571">
        <v>494873018</v>
      </c>
      <c r="H3571">
        <v>484248718</v>
      </c>
      <c r="I3571">
        <v>457505181</v>
      </c>
      <c r="J3571">
        <v>425533461</v>
      </c>
      <c r="K3571">
        <v>230260421</v>
      </c>
      <c r="L3571">
        <v>199182365</v>
      </c>
      <c r="M3571">
        <v>160644416</v>
      </c>
      <c r="N3571">
        <v>130984862</v>
      </c>
      <c r="P3571">
        <v>45</v>
      </c>
      <c r="Q3571" t="s">
        <v>7488</v>
      </c>
    </row>
    <row r="3572" spans="1:17" x14ac:dyDescent="0.3">
      <c r="A3572" t="s">
        <v>4729</v>
      </c>
      <c r="B3572" t="str">
        <f>"002858"</f>
        <v>002858</v>
      </c>
      <c r="C3572" t="s">
        <v>7489</v>
      </c>
      <c r="D3572" t="s">
        <v>327</v>
      </c>
      <c r="F3572">
        <v>730975465</v>
      </c>
      <c r="G3572">
        <v>354362351</v>
      </c>
      <c r="H3572">
        <v>439603639</v>
      </c>
      <c r="I3572">
        <v>428155026</v>
      </c>
      <c r="J3572">
        <v>402464611</v>
      </c>
      <c r="K3572">
        <v>222642449</v>
      </c>
      <c r="L3572">
        <v>194704520</v>
      </c>
      <c r="M3572">
        <v>174731037</v>
      </c>
      <c r="P3572">
        <v>75</v>
      </c>
      <c r="Q3572" t="s">
        <v>7490</v>
      </c>
    </row>
    <row r="3573" spans="1:17" x14ac:dyDescent="0.3">
      <c r="A3573" t="s">
        <v>4729</v>
      </c>
      <c r="B3573" t="str">
        <f>"002859"</f>
        <v>002859</v>
      </c>
      <c r="C3573" t="s">
        <v>7491</v>
      </c>
      <c r="D3573" t="s">
        <v>651</v>
      </c>
      <c r="F3573">
        <v>2029461948</v>
      </c>
      <c r="G3573">
        <v>1783000527</v>
      </c>
      <c r="H3573">
        <v>1584601083</v>
      </c>
      <c r="I3573">
        <v>1556317116</v>
      </c>
      <c r="J3573">
        <v>1346495530</v>
      </c>
      <c r="K3573">
        <v>551292309</v>
      </c>
      <c r="L3573">
        <v>436596947</v>
      </c>
      <c r="M3573">
        <v>347071716</v>
      </c>
      <c r="P3573">
        <v>2969</v>
      </c>
      <c r="Q3573" t="s">
        <v>7492</v>
      </c>
    </row>
    <row r="3574" spans="1:17" x14ac:dyDescent="0.3">
      <c r="A3574" t="s">
        <v>4729</v>
      </c>
      <c r="B3574" t="str">
        <f>"002860"</f>
        <v>002860</v>
      </c>
      <c r="C3574" t="s">
        <v>7493</v>
      </c>
      <c r="D3574" t="s">
        <v>1253</v>
      </c>
      <c r="F3574">
        <v>1168955515</v>
      </c>
      <c r="G3574">
        <v>964162764</v>
      </c>
      <c r="H3574">
        <v>839269399</v>
      </c>
      <c r="I3574">
        <v>710385323</v>
      </c>
      <c r="J3574">
        <v>635639843</v>
      </c>
      <c r="K3574">
        <v>336179592</v>
      </c>
      <c r="L3574">
        <v>280676068</v>
      </c>
      <c r="M3574">
        <v>213978918</v>
      </c>
      <c r="P3574">
        <v>249</v>
      </c>
      <c r="Q3574" t="s">
        <v>7494</v>
      </c>
    </row>
    <row r="3575" spans="1:17" x14ac:dyDescent="0.3">
      <c r="A3575" t="s">
        <v>4729</v>
      </c>
      <c r="B3575" t="str">
        <f>"002861"</f>
        <v>002861</v>
      </c>
      <c r="C3575" t="s">
        <v>7495</v>
      </c>
      <c r="D3575" t="s">
        <v>313</v>
      </c>
      <c r="F3575">
        <v>1021253384</v>
      </c>
      <c r="G3575">
        <v>1064323383</v>
      </c>
      <c r="H3575">
        <v>1052691869</v>
      </c>
      <c r="I3575">
        <v>996171788</v>
      </c>
      <c r="J3575">
        <v>1040611822</v>
      </c>
      <c r="K3575">
        <v>562214622</v>
      </c>
      <c r="L3575">
        <v>484959388</v>
      </c>
      <c r="M3575">
        <v>424018328</v>
      </c>
      <c r="P3575">
        <v>155</v>
      </c>
      <c r="Q3575" t="s">
        <v>7496</v>
      </c>
    </row>
    <row r="3576" spans="1:17" x14ac:dyDescent="0.3">
      <c r="A3576" t="s">
        <v>4729</v>
      </c>
      <c r="B3576" t="str">
        <f>"002862"</f>
        <v>002862</v>
      </c>
      <c r="C3576" t="s">
        <v>7497</v>
      </c>
      <c r="D3576" t="s">
        <v>2931</v>
      </c>
      <c r="F3576">
        <v>513214437</v>
      </c>
      <c r="G3576">
        <v>526779927</v>
      </c>
      <c r="H3576">
        <v>569635222</v>
      </c>
      <c r="I3576">
        <v>569171320</v>
      </c>
      <c r="J3576">
        <v>541860240</v>
      </c>
      <c r="K3576">
        <v>295339175</v>
      </c>
      <c r="L3576">
        <v>255154501</v>
      </c>
      <c r="M3576">
        <v>212254956</v>
      </c>
      <c r="P3576">
        <v>66</v>
      </c>
      <c r="Q3576" t="s">
        <v>7498</v>
      </c>
    </row>
    <row r="3577" spans="1:17" x14ac:dyDescent="0.3">
      <c r="A3577" t="s">
        <v>4729</v>
      </c>
      <c r="B3577" t="str">
        <f>"002863"</f>
        <v>002863</v>
      </c>
      <c r="C3577" t="s">
        <v>7499</v>
      </c>
      <c r="D3577" t="s">
        <v>422</v>
      </c>
      <c r="F3577">
        <v>1922143783</v>
      </c>
      <c r="G3577">
        <v>1850127693</v>
      </c>
      <c r="H3577">
        <v>1006038104</v>
      </c>
      <c r="I3577">
        <v>952616849</v>
      </c>
      <c r="J3577">
        <v>908108899</v>
      </c>
      <c r="K3577">
        <v>588390867</v>
      </c>
      <c r="L3577">
        <v>514523930</v>
      </c>
      <c r="M3577">
        <v>457477753</v>
      </c>
      <c r="P3577">
        <v>104</v>
      </c>
      <c r="Q3577" t="s">
        <v>7500</v>
      </c>
    </row>
    <row r="3578" spans="1:17" x14ac:dyDescent="0.3">
      <c r="A3578" t="s">
        <v>4729</v>
      </c>
      <c r="B3578" t="str">
        <f>"002864"</f>
        <v>002864</v>
      </c>
      <c r="C3578" t="s">
        <v>7501</v>
      </c>
      <c r="D3578" t="s">
        <v>188</v>
      </c>
      <c r="F3578">
        <v>791384719</v>
      </c>
      <c r="G3578">
        <v>720776959</v>
      </c>
      <c r="H3578">
        <v>674709479</v>
      </c>
      <c r="I3578">
        <v>611597583</v>
      </c>
      <c r="J3578">
        <v>555582698</v>
      </c>
      <c r="K3578">
        <v>327815509</v>
      </c>
      <c r="L3578">
        <v>288253849</v>
      </c>
      <c r="M3578">
        <v>245615617</v>
      </c>
      <c r="P3578">
        <v>184</v>
      </c>
      <c r="Q3578" t="s">
        <v>7502</v>
      </c>
    </row>
    <row r="3579" spans="1:17" x14ac:dyDescent="0.3">
      <c r="A3579" t="s">
        <v>4729</v>
      </c>
      <c r="B3579" t="str">
        <f>"002865"</f>
        <v>002865</v>
      </c>
      <c r="C3579" t="s">
        <v>7503</v>
      </c>
      <c r="D3579" t="s">
        <v>191</v>
      </c>
      <c r="F3579">
        <v>991071288</v>
      </c>
      <c r="G3579">
        <v>1014680713</v>
      </c>
      <c r="H3579">
        <v>865509449</v>
      </c>
      <c r="I3579">
        <v>866180241</v>
      </c>
      <c r="J3579">
        <v>844911159</v>
      </c>
      <c r="K3579">
        <v>559533589</v>
      </c>
      <c r="L3579">
        <v>503779935</v>
      </c>
      <c r="M3579">
        <v>457695001</v>
      </c>
      <c r="P3579">
        <v>111</v>
      </c>
      <c r="Q3579" t="s">
        <v>7504</v>
      </c>
    </row>
    <row r="3580" spans="1:17" x14ac:dyDescent="0.3">
      <c r="A3580" t="s">
        <v>4729</v>
      </c>
      <c r="B3580" t="str">
        <f>"002866"</f>
        <v>002866</v>
      </c>
      <c r="C3580" t="s">
        <v>7505</v>
      </c>
      <c r="D3580" t="s">
        <v>313</v>
      </c>
      <c r="F3580">
        <v>1928298673</v>
      </c>
      <c r="G3580">
        <v>1769179511</v>
      </c>
      <c r="H3580">
        <v>1038311188</v>
      </c>
      <c r="I3580">
        <v>970747992</v>
      </c>
      <c r="J3580">
        <v>891681773</v>
      </c>
      <c r="K3580">
        <v>384321499</v>
      </c>
      <c r="L3580">
        <v>297759300</v>
      </c>
      <c r="M3580">
        <v>187097539</v>
      </c>
      <c r="P3580">
        <v>161</v>
      </c>
      <c r="Q3580" t="s">
        <v>7506</v>
      </c>
    </row>
    <row r="3581" spans="1:17" x14ac:dyDescent="0.3">
      <c r="A3581" t="s">
        <v>4729</v>
      </c>
      <c r="B3581" t="str">
        <f>"002867"</f>
        <v>002867</v>
      </c>
      <c r="C3581" t="s">
        <v>7507</v>
      </c>
      <c r="D3581" t="s">
        <v>1238</v>
      </c>
      <c r="F3581">
        <v>5787152784</v>
      </c>
      <c r="G3581">
        <v>5385676480</v>
      </c>
      <c r="H3581">
        <v>4710267380</v>
      </c>
      <c r="I3581">
        <v>3941358933</v>
      </c>
      <c r="J3581">
        <v>3381636895</v>
      </c>
      <c r="K3581">
        <v>1612010278</v>
      </c>
      <c r="L3581">
        <v>1425939012</v>
      </c>
      <c r="M3581">
        <v>1273362912</v>
      </c>
      <c r="P3581">
        <v>1635</v>
      </c>
      <c r="Q3581" t="s">
        <v>7508</v>
      </c>
    </row>
    <row r="3582" spans="1:17" x14ac:dyDescent="0.3">
      <c r="A3582" t="s">
        <v>4729</v>
      </c>
      <c r="B3582" t="str">
        <f>"002868"</f>
        <v>002868</v>
      </c>
      <c r="C3582" t="s">
        <v>7509</v>
      </c>
      <c r="D3582" t="s">
        <v>453</v>
      </c>
      <c r="F3582">
        <v>717626999</v>
      </c>
      <c r="G3582">
        <v>765148251</v>
      </c>
      <c r="H3582">
        <v>774434087</v>
      </c>
      <c r="I3582">
        <v>740369575</v>
      </c>
      <c r="J3582">
        <v>695680129</v>
      </c>
      <c r="K3582">
        <v>271338160</v>
      </c>
      <c r="L3582">
        <v>238977462</v>
      </c>
      <c r="M3582">
        <v>190872816</v>
      </c>
      <c r="P3582">
        <v>88</v>
      </c>
      <c r="Q3582" t="s">
        <v>7510</v>
      </c>
    </row>
    <row r="3583" spans="1:17" x14ac:dyDescent="0.3">
      <c r="A3583" t="s">
        <v>4729</v>
      </c>
      <c r="B3583" t="str">
        <f>"002869"</f>
        <v>002869</v>
      </c>
      <c r="C3583" t="s">
        <v>7511</v>
      </c>
      <c r="D3583" t="s">
        <v>651</v>
      </c>
      <c r="F3583">
        <v>2271158328</v>
      </c>
      <c r="G3583">
        <v>2370538864</v>
      </c>
      <c r="H3583">
        <v>1902654234</v>
      </c>
      <c r="I3583">
        <v>1008949288</v>
      </c>
      <c r="J3583">
        <v>1022640167</v>
      </c>
      <c r="K3583">
        <v>426672023</v>
      </c>
      <c r="L3583">
        <v>349169208</v>
      </c>
      <c r="M3583">
        <v>249197118</v>
      </c>
      <c r="P3583">
        <v>600</v>
      </c>
      <c r="Q3583" t="s">
        <v>7512</v>
      </c>
    </row>
    <row r="3584" spans="1:17" x14ac:dyDescent="0.3">
      <c r="A3584" t="s">
        <v>4729</v>
      </c>
      <c r="B3584" t="str">
        <f>"002870"</f>
        <v>002870</v>
      </c>
      <c r="C3584" t="s">
        <v>7513</v>
      </c>
      <c r="D3584" t="s">
        <v>2566</v>
      </c>
      <c r="F3584">
        <v>846987246</v>
      </c>
      <c r="G3584">
        <v>812981419</v>
      </c>
      <c r="H3584">
        <v>753715372</v>
      </c>
      <c r="I3584">
        <v>838547494</v>
      </c>
      <c r="J3584">
        <v>806352071</v>
      </c>
      <c r="K3584">
        <v>347711572</v>
      </c>
      <c r="L3584">
        <v>285152203</v>
      </c>
      <c r="M3584">
        <v>207115293</v>
      </c>
      <c r="P3584">
        <v>91</v>
      </c>
      <c r="Q3584" t="s">
        <v>7514</v>
      </c>
    </row>
    <row r="3585" spans="1:17" x14ac:dyDescent="0.3">
      <c r="A3585" t="s">
        <v>4729</v>
      </c>
      <c r="B3585" t="str">
        <f>"002871"</f>
        <v>002871</v>
      </c>
      <c r="C3585" t="s">
        <v>7515</v>
      </c>
      <c r="D3585" t="s">
        <v>274</v>
      </c>
      <c r="F3585">
        <v>645978605</v>
      </c>
      <c r="G3585">
        <v>663232733</v>
      </c>
      <c r="H3585">
        <v>651310430</v>
      </c>
      <c r="I3585">
        <v>610558766</v>
      </c>
      <c r="J3585">
        <v>551852491</v>
      </c>
      <c r="K3585">
        <v>320232044</v>
      </c>
      <c r="L3585">
        <v>267839769</v>
      </c>
      <c r="M3585">
        <v>266551458</v>
      </c>
      <c r="P3585">
        <v>66</v>
      </c>
      <c r="Q3585" t="s">
        <v>7516</v>
      </c>
    </row>
    <row r="3586" spans="1:17" x14ac:dyDescent="0.3">
      <c r="A3586" t="s">
        <v>4729</v>
      </c>
      <c r="B3586" t="str">
        <f>"002872"</f>
        <v>002872</v>
      </c>
      <c r="C3586" t="s">
        <v>7517</v>
      </c>
      <c r="D3586" t="s">
        <v>125</v>
      </c>
      <c r="F3586">
        <v>2273431662</v>
      </c>
      <c r="G3586">
        <v>2340360126</v>
      </c>
      <c r="H3586">
        <v>2897269664</v>
      </c>
      <c r="I3586">
        <v>3114279101</v>
      </c>
      <c r="J3586">
        <v>3133096281</v>
      </c>
      <c r="K3586">
        <v>1805402870</v>
      </c>
      <c r="L3586">
        <v>1580751258</v>
      </c>
      <c r="M3586">
        <v>1388593866</v>
      </c>
      <c r="P3586">
        <v>69</v>
      </c>
      <c r="Q3586" t="s">
        <v>7518</v>
      </c>
    </row>
    <row r="3587" spans="1:17" x14ac:dyDescent="0.3">
      <c r="A3587" t="s">
        <v>4729</v>
      </c>
      <c r="B3587" t="str">
        <f>"002873"</f>
        <v>002873</v>
      </c>
      <c r="C3587" t="s">
        <v>7519</v>
      </c>
      <c r="D3587" t="s">
        <v>188</v>
      </c>
      <c r="F3587">
        <v>866964880</v>
      </c>
      <c r="G3587">
        <v>804760747</v>
      </c>
      <c r="H3587">
        <v>707444132</v>
      </c>
      <c r="I3587">
        <v>658718794</v>
      </c>
      <c r="J3587">
        <v>622105344</v>
      </c>
      <c r="K3587">
        <v>279206514</v>
      </c>
      <c r="L3587">
        <v>226312679</v>
      </c>
      <c r="M3587">
        <v>190501407</v>
      </c>
      <c r="P3587">
        <v>166</v>
      </c>
      <c r="Q3587" t="s">
        <v>7520</v>
      </c>
    </row>
    <row r="3588" spans="1:17" x14ac:dyDescent="0.3">
      <c r="A3588" t="s">
        <v>4729</v>
      </c>
      <c r="B3588" t="str">
        <f>"002875"</f>
        <v>002875</v>
      </c>
      <c r="C3588" t="s">
        <v>7521</v>
      </c>
      <c r="D3588" t="s">
        <v>255</v>
      </c>
      <c r="F3588">
        <v>1154052540</v>
      </c>
      <c r="G3588">
        <v>842668404</v>
      </c>
      <c r="H3588">
        <v>887758779</v>
      </c>
      <c r="I3588">
        <v>860236622</v>
      </c>
      <c r="J3588">
        <v>793167253</v>
      </c>
      <c r="K3588">
        <v>364522144</v>
      </c>
      <c r="L3588">
        <v>285404757</v>
      </c>
      <c r="M3588">
        <v>229496157</v>
      </c>
      <c r="P3588">
        <v>92</v>
      </c>
      <c r="Q3588" t="s">
        <v>7522</v>
      </c>
    </row>
    <row r="3589" spans="1:17" x14ac:dyDescent="0.3">
      <c r="A3589" t="s">
        <v>4729</v>
      </c>
      <c r="B3589" t="str">
        <f>"002876"</f>
        <v>002876</v>
      </c>
      <c r="C3589" t="s">
        <v>7523</v>
      </c>
      <c r="D3589" t="s">
        <v>1117</v>
      </c>
      <c r="F3589">
        <v>2117542175</v>
      </c>
      <c r="G3589">
        <v>1834667849</v>
      </c>
      <c r="H3589">
        <v>929613397</v>
      </c>
      <c r="I3589">
        <v>881560900</v>
      </c>
      <c r="J3589">
        <v>877862428</v>
      </c>
      <c r="K3589">
        <v>449894485</v>
      </c>
      <c r="L3589">
        <v>377688419</v>
      </c>
      <c r="M3589">
        <v>302978363</v>
      </c>
      <c r="P3589">
        <v>212</v>
      </c>
      <c r="Q3589" t="s">
        <v>7524</v>
      </c>
    </row>
    <row r="3590" spans="1:17" x14ac:dyDescent="0.3">
      <c r="A3590" t="s">
        <v>4729</v>
      </c>
      <c r="B3590" t="str">
        <f>"002877"</f>
        <v>002877</v>
      </c>
      <c r="C3590" t="s">
        <v>7525</v>
      </c>
      <c r="D3590" t="s">
        <v>274</v>
      </c>
      <c r="F3590">
        <v>782116556</v>
      </c>
      <c r="G3590">
        <v>733124243</v>
      </c>
      <c r="H3590">
        <v>698103933</v>
      </c>
      <c r="I3590">
        <v>639451605</v>
      </c>
      <c r="J3590">
        <v>585320705</v>
      </c>
      <c r="K3590">
        <v>322946098</v>
      </c>
      <c r="L3590">
        <v>283488597</v>
      </c>
      <c r="M3590">
        <v>248910854</v>
      </c>
      <c r="P3590">
        <v>100</v>
      </c>
      <c r="Q3590" t="s">
        <v>7526</v>
      </c>
    </row>
    <row r="3591" spans="1:17" x14ac:dyDescent="0.3">
      <c r="A3591" t="s">
        <v>4729</v>
      </c>
      <c r="B3591" t="str">
        <f>"002878"</f>
        <v>002878</v>
      </c>
      <c r="C3591" t="s">
        <v>7527</v>
      </c>
      <c r="D3591" t="s">
        <v>1673</v>
      </c>
      <c r="F3591">
        <v>876601510</v>
      </c>
      <c r="G3591">
        <v>830199869</v>
      </c>
      <c r="H3591">
        <v>697479689</v>
      </c>
      <c r="I3591">
        <v>605040729</v>
      </c>
      <c r="J3591">
        <v>519256207</v>
      </c>
      <c r="K3591">
        <v>237141092</v>
      </c>
      <c r="L3591">
        <v>202150796</v>
      </c>
      <c r="M3591">
        <v>174056144</v>
      </c>
      <c r="P3591">
        <v>345</v>
      </c>
      <c r="Q3591" t="s">
        <v>7528</v>
      </c>
    </row>
    <row r="3592" spans="1:17" x14ac:dyDescent="0.3">
      <c r="A3592" t="s">
        <v>4729</v>
      </c>
      <c r="B3592" t="str">
        <f>"002879"</f>
        <v>002879</v>
      </c>
      <c r="C3592" t="s">
        <v>7529</v>
      </c>
      <c r="D3592" t="s">
        <v>1164</v>
      </c>
      <c r="F3592">
        <v>1635076309</v>
      </c>
      <c r="G3592">
        <v>1536024328</v>
      </c>
      <c r="H3592">
        <v>1459167622</v>
      </c>
      <c r="I3592">
        <v>1504043456</v>
      </c>
      <c r="J3592">
        <v>1396418334</v>
      </c>
      <c r="K3592">
        <v>715652645</v>
      </c>
      <c r="L3592">
        <v>613304208</v>
      </c>
      <c r="M3592">
        <v>514732284</v>
      </c>
      <c r="P3592">
        <v>266</v>
      </c>
      <c r="Q3592" t="s">
        <v>7530</v>
      </c>
    </row>
    <row r="3593" spans="1:17" x14ac:dyDescent="0.3">
      <c r="A3593" t="s">
        <v>4729</v>
      </c>
      <c r="B3593" t="str">
        <f>"002880"</f>
        <v>002880</v>
      </c>
      <c r="C3593" t="s">
        <v>7531</v>
      </c>
      <c r="D3593" t="s">
        <v>378</v>
      </c>
      <c r="F3593">
        <v>1768725498</v>
      </c>
      <c r="G3593">
        <v>1603788840</v>
      </c>
      <c r="H3593">
        <v>1447950242</v>
      </c>
      <c r="I3593">
        <v>1305784762</v>
      </c>
      <c r="J3593">
        <v>1203147914</v>
      </c>
      <c r="K3593">
        <v>506441680</v>
      </c>
      <c r="L3593">
        <v>393714721</v>
      </c>
      <c r="M3593">
        <v>308860763</v>
      </c>
      <c r="P3593">
        <v>214</v>
      </c>
      <c r="Q3593" t="s">
        <v>7532</v>
      </c>
    </row>
    <row r="3594" spans="1:17" x14ac:dyDescent="0.3">
      <c r="A3594" t="s">
        <v>4729</v>
      </c>
      <c r="B3594" t="str">
        <f>"002881"</f>
        <v>002881</v>
      </c>
      <c r="C3594" t="s">
        <v>7533</v>
      </c>
      <c r="D3594" t="s">
        <v>313</v>
      </c>
      <c r="F3594">
        <v>689260651</v>
      </c>
      <c r="G3594">
        <v>581759466</v>
      </c>
      <c r="H3594">
        <v>549079470</v>
      </c>
      <c r="I3594">
        <v>529322529</v>
      </c>
      <c r="J3594">
        <v>493180541</v>
      </c>
      <c r="K3594">
        <v>228149063</v>
      </c>
      <c r="L3594">
        <v>181429231</v>
      </c>
      <c r="M3594">
        <v>145321715</v>
      </c>
      <c r="P3594">
        <v>240</v>
      </c>
      <c r="Q3594" t="s">
        <v>7534</v>
      </c>
    </row>
    <row r="3595" spans="1:17" x14ac:dyDescent="0.3">
      <c r="A3595" t="s">
        <v>4729</v>
      </c>
      <c r="B3595" t="str">
        <f>"002882"</f>
        <v>002882</v>
      </c>
      <c r="C3595" t="s">
        <v>7535</v>
      </c>
      <c r="D3595" t="s">
        <v>1164</v>
      </c>
      <c r="F3595">
        <v>1870774029</v>
      </c>
      <c r="G3595">
        <v>1947159139</v>
      </c>
      <c r="H3595">
        <v>1852413384</v>
      </c>
      <c r="I3595">
        <v>1596736882</v>
      </c>
      <c r="J3595">
        <v>1388238623</v>
      </c>
      <c r="K3595">
        <v>777307061</v>
      </c>
      <c r="L3595">
        <v>686046766</v>
      </c>
      <c r="M3595">
        <v>618059381</v>
      </c>
      <c r="P3595">
        <v>118</v>
      </c>
      <c r="Q3595" t="s">
        <v>7536</v>
      </c>
    </row>
    <row r="3596" spans="1:17" x14ac:dyDescent="0.3">
      <c r="A3596" t="s">
        <v>4729</v>
      </c>
      <c r="B3596" t="str">
        <f>"002883"</f>
        <v>002883</v>
      </c>
      <c r="C3596" t="s">
        <v>7537</v>
      </c>
      <c r="D3596" t="s">
        <v>1272</v>
      </c>
      <c r="F3596">
        <v>601495819</v>
      </c>
      <c r="G3596">
        <v>549084244</v>
      </c>
      <c r="H3596">
        <v>486700832</v>
      </c>
      <c r="I3596">
        <v>430981145</v>
      </c>
      <c r="J3596">
        <v>380109813</v>
      </c>
      <c r="K3596">
        <v>154131515</v>
      </c>
      <c r="L3596">
        <v>114180178</v>
      </c>
      <c r="M3596">
        <v>90017680</v>
      </c>
      <c r="P3596">
        <v>102</v>
      </c>
      <c r="Q3596" t="s">
        <v>7538</v>
      </c>
    </row>
    <row r="3597" spans="1:17" x14ac:dyDescent="0.3">
      <c r="A3597" t="s">
        <v>4729</v>
      </c>
      <c r="B3597" t="str">
        <f>"002884"</f>
        <v>002884</v>
      </c>
      <c r="C3597" t="s">
        <v>7539</v>
      </c>
      <c r="D3597" t="s">
        <v>560</v>
      </c>
      <c r="F3597">
        <v>2142068080</v>
      </c>
      <c r="G3597">
        <v>1975304246</v>
      </c>
      <c r="H3597">
        <v>1392182818</v>
      </c>
      <c r="I3597">
        <v>1326914868</v>
      </c>
      <c r="J3597">
        <v>1204591659</v>
      </c>
      <c r="K3597">
        <v>581334302</v>
      </c>
      <c r="L3597">
        <v>576492547</v>
      </c>
      <c r="M3597">
        <v>535254199</v>
      </c>
      <c r="P3597">
        <v>995</v>
      </c>
      <c r="Q3597" t="s">
        <v>7540</v>
      </c>
    </row>
    <row r="3598" spans="1:17" x14ac:dyDescent="0.3">
      <c r="A3598" t="s">
        <v>4729</v>
      </c>
      <c r="B3598" t="str">
        <f>"002885"</f>
        <v>002885</v>
      </c>
      <c r="C3598" t="s">
        <v>7541</v>
      </c>
      <c r="D3598" t="s">
        <v>313</v>
      </c>
      <c r="F3598">
        <v>813096567</v>
      </c>
      <c r="G3598">
        <v>802472561</v>
      </c>
      <c r="H3598">
        <v>780392687</v>
      </c>
      <c r="I3598">
        <v>736912402</v>
      </c>
      <c r="J3598">
        <v>662524065</v>
      </c>
      <c r="K3598">
        <v>347850990</v>
      </c>
      <c r="L3598">
        <v>292768283</v>
      </c>
      <c r="M3598">
        <v>251480096</v>
      </c>
      <c r="P3598">
        <v>199</v>
      </c>
      <c r="Q3598" t="s">
        <v>7542</v>
      </c>
    </row>
    <row r="3599" spans="1:17" x14ac:dyDescent="0.3">
      <c r="A3599" t="s">
        <v>4729</v>
      </c>
      <c r="B3599" t="str">
        <f>"002886"</f>
        <v>002886</v>
      </c>
      <c r="C3599" t="s">
        <v>7543</v>
      </c>
      <c r="D3599" t="s">
        <v>341</v>
      </c>
      <c r="F3599">
        <v>1163743849</v>
      </c>
      <c r="G3599">
        <v>1107603557</v>
      </c>
      <c r="H3599">
        <v>695632347</v>
      </c>
      <c r="I3599">
        <v>652832022</v>
      </c>
      <c r="J3599">
        <v>626372256</v>
      </c>
      <c r="K3599">
        <v>356525654</v>
      </c>
      <c r="L3599">
        <v>301319143</v>
      </c>
      <c r="M3599">
        <v>130046519</v>
      </c>
      <c r="P3599">
        <v>190</v>
      </c>
      <c r="Q3599" t="s">
        <v>7544</v>
      </c>
    </row>
    <row r="3600" spans="1:17" x14ac:dyDescent="0.3">
      <c r="A3600" t="s">
        <v>4729</v>
      </c>
      <c r="B3600" t="str">
        <f>"002887"</f>
        <v>002887</v>
      </c>
      <c r="C3600" t="s">
        <v>7545</v>
      </c>
      <c r="D3600" t="s">
        <v>3575</v>
      </c>
      <c r="F3600">
        <v>2078780441</v>
      </c>
      <c r="G3600">
        <v>2145598461</v>
      </c>
      <c r="H3600">
        <v>1916210038</v>
      </c>
      <c r="I3600">
        <v>1739287550</v>
      </c>
      <c r="J3600">
        <v>1634637255</v>
      </c>
      <c r="K3600">
        <v>718132971</v>
      </c>
      <c r="L3600">
        <v>546226157</v>
      </c>
      <c r="M3600">
        <v>334824279</v>
      </c>
      <c r="P3600">
        <v>167</v>
      </c>
      <c r="Q3600" t="s">
        <v>7546</v>
      </c>
    </row>
    <row r="3601" spans="1:17" x14ac:dyDescent="0.3">
      <c r="A3601" t="s">
        <v>4729</v>
      </c>
      <c r="B3601" t="str">
        <f>"002888"</f>
        <v>002888</v>
      </c>
      <c r="C3601" t="s">
        <v>7547</v>
      </c>
      <c r="D3601" t="s">
        <v>3526</v>
      </c>
      <c r="F3601">
        <v>432906095</v>
      </c>
      <c r="G3601">
        <v>427284950</v>
      </c>
      <c r="H3601">
        <v>421543324</v>
      </c>
      <c r="I3601">
        <v>445250158</v>
      </c>
      <c r="J3601">
        <v>433625820</v>
      </c>
      <c r="K3601">
        <v>245998600</v>
      </c>
      <c r="L3601">
        <v>218869407</v>
      </c>
      <c r="M3601">
        <v>185462090</v>
      </c>
      <c r="P3601">
        <v>80</v>
      </c>
      <c r="Q3601" t="s">
        <v>7548</v>
      </c>
    </row>
    <row r="3602" spans="1:17" x14ac:dyDescent="0.3">
      <c r="A3602" t="s">
        <v>4729</v>
      </c>
      <c r="B3602" t="str">
        <f>"002889"</f>
        <v>002889</v>
      </c>
      <c r="C3602" t="s">
        <v>7549</v>
      </c>
      <c r="D3602" t="s">
        <v>3125</v>
      </c>
      <c r="F3602">
        <v>1951021797</v>
      </c>
      <c r="G3602">
        <v>1743586247</v>
      </c>
      <c r="H3602">
        <v>1578567954</v>
      </c>
      <c r="I3602">
        <v>1429210745</v>
      </c>
      <c r="J3602">
        <v>1294476320</v>
      </c>
      <c r="K3602">
        <v>770366273</v>
      </c>
      <c r="L3602">
        <v>679797273</v>
      </c>
      <c r="M3602">
        <v>669376441</v>
      </c>
      <c r="P3602">
        <v>123</v>
      </c>
      <c r="Q3602" t="s">
        <v>7550</v>
      </c>
    </row>
    <row r="3603" spans="1:17" x14ac:dyDescent="0.3">
      <c r="A3603" t="s">
        <v>4729</v>
      </c>
      <c r="B3603" t="str">
        <f>"002890"</f>
        <v>002890</v>
      </c>
      <c r="C3603" t="s">
        <v>7551</v>
      </c>
      <c r="D3603" t="s">
        <v>1985</v>
      </c>
      <c r="F3603">
        <v>566496536</v>
      </c>
      <c r="G3603">
        <v>551550167</v>
      </c>
      <c r="H3603">
        <v>540677875</v>
      </c>
      <c r="I3603">
        <v>530157465</v>
      </c>
      <c r="J3603">
        <v>505064294</v>
      </c>
      <c r="K3603">
        <v>291343535</v>
      </c>
      <c r="L3603">
        <v>263109827</v>
      </c>
      <c r="M3603">
        <v>214827146</v>
      </c>
      <c r="P3603">
        <v>70</v>
      </c>
      <c r="Q3603" t="s">
        <v>7552</v>
      </c>
    </row>
    <row r="3604" spans="1:17" x14ac:dyDescent="0.3">
      <c r="A3604" t="s">
        <v>4729</v>
      </c>
      <c r="B3604" t="str">
        <f>"002891"</f>
        <v>002891</v>
      </c>
      <c r="C3604" t="s">
        <v>7553</v>
      </c>
      <c r="D3604" t="s">
        <v>7554</v>
      </c>
      <c r="F3604">
        <v>1818877375</v>
      </c>
      <c r="G3604">
        <v>1727536522</v>
      </c>
      <c r="H3604">
        <v>790433326</v>
      </c>
      <c r="I3604">
        <v>744082645</v>
      </c>
      <c r="J3604">
        <v>693323543</v>
      </c>
      <c r="K3604">
        <v>324264869</v>
      </c>
      <c r="L3604">
        <v>258126928</v>
      </c>
      <c r="M3604">
        <v>197981166</v>
      </c>
      <c r="P3604">
        <v>649</v>
      </c>
      <c r="Q3604" t="s">
        <v>7555</v>
      </c>
    </row>
    <row r="3605" spans="1:17" x14ac:dyDescent="0.3">
      <c r="A3605" t="s">
        <v>4729</v>
      </c>
      <c r="B3605" t="str">
        <f>"002892"</f>
        <v>002892</v>
      </c>
      <c r="C3605" t="s">
        <v>7556</v>
      </c>
      <c r="D3605" t="s">
        <v>1171</v>
      </c>
      <c r="F3605">
        <v>1253655922</v>
      </c>
      <c r="G3605">
        <v>713551343</v>
      </c>
      <c r="H3605">
        <v>684633416</v>
      </c>
      <c r="I3605">
        <v>625838688</v>
      </c>
      <c r="J3605">
        <v>566815147</v>
      </c>
      <c r="K3605">
        <v>244148148</v>
      </c>
      <c r="L3605">
        <v>186634919</v>
      </c>
      <c r="M3605">
        <v>161941036</v>
      </c>
      <c r="P3605">
        <v>145</v>
      </c>
      <c r="Q3605" t="s">
        <v>7557</v>
      </c>
    </row>
    <row r="3606" spans="1:17" x14ac:dyDescent="0.3">
      <c r="A3606" t="s">
        <v>4729</v>
      </c>
      <c r="B3606" t="str">
        <f>"002893"</f>
        <v>002893</v>
      </c>
      <c r="C3606" t="s">
        <v>7558</v>
      </c>
      <c r="D3606" t="s">
        <v>351</v>
      </c>
      <c r="F3606">
        <v>632768533</v>
      </c>
      <c r="G3606">
        <v>605384826</v>
      </c>
      <c r="H3606">
        <v>636126644</v>
      </c>
      <c r="I3606">
        <v>625627272</v>
      </c>
      <c r="J3606">
        <v>593443573</v>
      </c>
      <c r="K3606">
        <v>323615994</v>
      </c>
      <c r="L3606">
        <v>274137818</v>
      </c>
      <c r="M3606">
        <v>226683933</v>
      </c>
      <c r="P3606">
        <v>92</v>
      </c>
      <c r="Q3606" t="s">
        <v>7559</v>
      </c>
    </row>
    <row r="3607" spans="1:17" x14ac:dyDescent="0.3">
      <c r="A3607" t="s">
        <v>4729</v>
      </c>
      <c r="B3607" t="str">
        <f>"002895"</f>
        <v>002895</v>
      </c>
      <c r="C3607" t="s">
        <v>7560</v>
      </c>
      <c r="D3607" t="s">
        <v>183</v>
      </c>
      <c r="F3607">
        <v>3345084821</v>
      </c>
      <c r="G3607">
        <v>2943778261</v>
      </c>
      <c r="H3607">
        <v>1989946694</v>
      </c>
      <c r="I3607">
        <v>1911614885</v>
      </c>
      <c r="J3607">
        <v>1887505994</v>
      </c>
      <c r="K3607">
        <v>1586102820</v>
      </c>
      <c r="L3607">
        <v>1338788259</v>
      </c>
      <c r="M3607">
        <v>1218815589</v>
      </c>
      <c r="P3607">
        <v>148</v>
      </c>
      <c r="Q3607" t="s">
        <v>7561</v>
      </c>
    </row>
    <row r="3608" spans="1:17" x14ac:dyDescent="0.3">
      <c r="A3608" t="s">
        <v>4729</v>
      </c>
      <c r="B3608" t="str">
        <f>"002896"</f>
        <v>002896</v>
      </c>
      <c r="C3608" t="s">
        <v>7562</v>
      </c>
      <c r="D3608" t="s">
        <v>274</v>
      </c>
      <c r="F3608">
        <v>742319678</v>
      </c>
      <c r="G3608">
        <v>692959179</v>
      </c>
      <c r="H3608">
        <v>630727271</v>
      </c>
      <c r="I3608">
        <v>590220520</v>
      </c>
      <c r="J3608">
        <v>531744279</v>
      </c>
      <c r="K3608">
        <v>273068280</v>
      </c>
      <c r="L3608">
        <v>226312507</v>
      </c>
      <c r="M3608">
        <v>230380887</v>
      </c>
      <c r="P3608">
        <v>137</v>
      </c>
      <c r="Q3608" t="s">
        <v>7563</v>
      </c>
    </row>
    <row r="3609" spans="1:17" x14ac:dyDescent="0.3">
      <c r="A3609" t="s">
        <v>4729</v>
      </c>
      <c r="B3609" t="str">
        <f>"002897"</f>
        <v>002897</v>
      </c>
      <c r="C3609" t="s">
        <v>7564</v>
      </c>
      <c r="D3609" t="s">
        <v>1019</v>
      </c>
      <c r="F3609">
        <v>1376170742</v>
      </c>
      <c r="G3609">
        <v>1306860781</v>
      </c>
      <c r="H3609">
        <v>1146749230</v>
      </c>
      <c r="I3609">
        <v>1123283318</v>
      </c>
      <c r="J3609">
        <v>1098855424</v>
      </c>
      <c r="K3609">
        <v>534772745</v>
      </c>
      <c r="L3609">
        <v>455668714</v>
      </c>
      <c r="M3609">
        <v>390928057</v>
      </c>
      <c r="P3609">
        <v>234</v>
      </c>
      <c r="Q3609" t="s">
        <v>7565</v>
      </c>
    </row>
    <row r="3610" spans="1:17" x14ac:dyDescent="0.3">
      <c r="A3610" t="s">
        <v>4729</v>
      </c>
      <c r="B3610" t="str">
        <f>"002898"</f>
        <v>002898</v>
      </c>
      <c r="C3610" t="s">
        <v>7566</v>
      </c>
      <c r="D3610" t="s">
        <v>143</v>
      </c>
      <c r="F3610">
        <v>563661041</v>
      </c>
      <c r="G3610">
        <v>587002441</v>
      </c>
      <c r="H3610">
        <v>659024325</v>
      </c>
      <c r="I3610">
        <v>663541115</v>
      </c>
      <c r="J3610">
        <v>618636263</v>
      </c>
      <c r="K3610">
        <v>254446665</v>
      </c>
      <c r="L3610">
        <v>213197937</v>
      </c>
      <c r="M3610">
        <v>140550337</v>
      </c>
      <c r="P3610">
        <v>90</v>
      </c>
      <c r="Q3610" t="s">
        <v>7567</v>
      </c>
    </row>
    <row r="3611" spans="1:17" x14ac:dyDescent="0.3">
      <c r="A3611" t="s">
        <v>4729</v>
      </c>
      <c r="B3611" t="str">
        <f>"002899"</f>
        <v>002899</v>
      </c>
      <c r="C3611" t="s">
        <v>7568</v>
      </c>
      <c r="D3611" t="s">
        <v>2931</v>
      </c>
      <c r="F3611">
        <v>1097108351</v>
      </c>
      <c r="G3611">
        <v>1084356453</v>
      </c>
      <c r="H3611">
        <v>1044794531</v>
      </c>
      <c r="I3611">
        <v>1005516838</v>
      </c>
      <c r="J3611">
        <v>951470203</v>
      </c>
      <c r="K3611">
        <v>433975221</v>
      </c>
      <c r="L3611">
        <v>361385593</v>
      </c>
      <c r="M3611">
        <v>249642135</v>
      </c>
      <c r="P3611">
        <v>65</v>
      </c>
      <c r="Q3611" t="s">
        <v>7569</v>
      </c>
    </row>
    <row r="3612" spans="1:17" x14ac:dyDescent="0.3">
      <c r="A3612" t="s">
        <v>4729</v>
      </c>
      <c r="B3612" t="str">
        <f>"002900"</f>
        <v>002900</v>
      </c>
      <c r="C3612" t="s">
        <v>7570</v>
      </c>
      <c r="D3612" t="s">
        <v>143</v>
      </c>
      <c r="F3612">
        <v>2101449041</v>
      </c>
      <c r="G3612">
        <v>1775280766</v>
      </c>
      <c r="H3612">
        <v>1832695727</v>
      </c>
      <c r="I3612">
        <v>1947459154</v>
      </c>
      <c r="J3612">
        <v>1834946595</v>
      </c>
      <c r="K3612">
        <v>808173769</v>
      </c>
      <c r="L3612">
        <v>727970984</v>
      </c>
      <c r="M3612">
        <v>609159617</v>
      </c>
      <c r="P3612">
        <v>196</v>
      </c>
      <c r="Q3612" t="s">
        <v>7571</v>
      </c>
    </row>
    <row r="3613" spans="1:17" x14ac:dyDescent="0.3">
      <c r="A3613" t="s">
        <v>4729</v>
      </c>
      <c r="B3613" t="str">
        <f>"002901"</f>
        <v>002901</v>
      </c>
      <c r="C3613" t="s">
        <v>7572</v>
      </c>
      <c r="D3613" t="s">
        <v>1077</v>
      </c>
      <c r="F3613">
        <v>2512476210</v>
      </c>
      <c r="G3613">
        <v>2103900958</v>
      </c>
      <c r="H3613">
        <v>1721832929</v>
      </c>
      <c r="I3613">
        <v>1439889332</v>
      </c>
      <c r="J3613">
        <v>1227269651</v>
      </c>
      <c r="K3613">
        <v>573896431</v>
      </c>
      <c r="L3613">
        <v>439103081</v>
      </c>
      <c r="M3613">
        <v>271240026</v>
      </c>
      <c r="P3613">
        <v>1702</v>
      </c>
      <c r="Q3613" t="s">
        <v>7573</v>
      </c>
    </row>
    <row r="3614" spans="1:17" x14ac:dyDescent="0.3">
      <c r="A3614" t="s">
        <v>4729</v>
      </c>
      <c r="B3614" t="str">
        <f>"002902"</f>
        <v>002902</v>
      </c>
      <c r="C3614" t="s">
        <v>7574</v>
      </c>
      <c r="D3614" t="s">
        <v>1019</v>
      </c>
      <c r="F3614">
        <v>1005723529</v>
      </c>
      <c r="G3614">
        <v>1063824345</v>
      </c>
      <c r="H3614">
        <v>1075393478</v>
      </c>
      <c r="I3614">
        <v>1056869150</v>
      </c>
      <c r="J3614">
        <v>1044601038</v>
      </c>
      <c r="K3614">
        <v>539765724</v>
      </c>
      <c r="L3614">
        <v>449002812</v>
      </c>
      <c r="M3614">
        <v>389100702</v>
      </c>
      <c r="P3614">
        <v>216</v>
      </c>
      <c r="Q3614" t="s">
        <v>7575</v>
      </c>
    </row>
    <row r="3615" spans="1:17" x14ac:dyDescent="0.3">
      <c r="A3615" t="s">
        <v>4729</v>
      </c>
      <c r="B3615" t="str">
        <f>"002903"</f>
        <v>002903</v>
      </c>
      <c r="C3615" t="s">
        <v>7576</v>
      </c>
      <c r="D3615" t="s">
        <v>2321</v>
      </c>
      <c r="F3615">
        <v>727116104</v>
      </c>
      <c r="G3615">
        <v>654395730</v>
      </c>
      <c r="H3615">
        <v>606001452</v>
      </c>
      <c r="I3615">
        <v>616007344</v>
      </c>
      <c r="J3615">
        <v>613157706</v>
      </c>
      <c r="K3615">
        <v>289661019</v>
      </c>
      <c r="L3615">
        <v>223374038</v>
      </c>
      <c r="M3615">
        <v>205056790</v>
      </c>
      <c r="P3615">
        <v>143</v>
      </c>
      <c r="Q3615" t="s">
        <v>7577</v>
      </c>
    </row>
    <row r="3616" spans="1:17" x14ac:dyDescent="0.3">
      <c r="A3616" t="s">
        <v>4729</v>
      </c>
      <c r="B3616" t="str">
        <f>"002905"</f>
        <v>002905</v>
      </c>
      <c r="C3616" t="s">
        <v>7578</v>
      </c>
      <c r="D3616" t="s">
        <v>2573</v>
      </c>
      <c r="F3616">
        <v>514727342</v>
      </c>
      <c r="G3616">
        <v>1455461027</v>
      </c>
      <c r="H3616">
        <v>1974122725</v>
      </c>
      <c r="I3616">
        <v>1942849051</v>
      </c>
      <c r="J3616">
        <v>1885785685</v>
      </c>
      <c r="K3616">
        <v>863904574</v>
      </c>
      <c r="L3616">
        <v>668427612</v>
      </c>
      <c r="M3616">
        <v>422160493</v>
      </c>
      <c r="P3616">
        <v>133</v>
      </c>
      <c r="Q3616" t="s">
        <v>7579</v>
      </c>
    </row>
    <row r="3617" spans="1:17" x14ac:dyDescent="0.3">
      <c r="A3617" t="s">
        <v>4729</v>
      </c>
      <c r="B3617" t="str">
        <f>"002906"</f>
        <v>002906</v>
      </c>
      <c r="C3617" t="s">
        <v>7580</v>
      </c>
      <c r="D3617" t="s">
        <v>1415</v>
      </c>
      <c r="F3617">
        <v>3878459627</v>
      </c>
      <c r="G3617">
        <v>3583342152</v>
      </c>
      <c r="H3617">
        <v>3440999541</v>
      </c>
      <c r="I3617">
        <v>3400828147</v>
      </c>
      <c r="J3617">
        <v>3494680023</v>
      </c>
      <c r="K3617">
        <v>2372516192</v>
      </c>
      <c r="L3617">
        <v>2195711424</v>
      </c>
      <c r="M3617">
        <v>2133808066</v>
      </c>
      <c r="P3617">
        <v>228</v>
      </c>
      <c r="Q3617" t="s">
        <v>7581</v>
      </c>
    </row>
    <row r="3618" spans="1:17" x14ac:dyDescent="0.3">
      <c r="A3618" t="s">
        <v>4729</v>
      </c>
      <c r="B3618" t="str">
        <f>"002907"</f>
        <v>002907</v>
      </c>
      <c r="C3618" t="s">
        <v>7582</v>
      </c>
      <c r="D3618" t="s">
        <v>188</v>
      </c>
      <c r="F3618">
        <v>1183589328</v>
      </c>
      <c r="G3618">
        <v>1099474005</v>
      </c>
      <c r="H3618">
        <v>988398297</v>
      </c>
      <c r="I3618">
        <v>828914050</v>
      </c>
      <c r="J3618">
        <v>719946499</v>
      </c>
      <c r="K3618">
        <v>461416526</v>
      </c>
      <c r="L3618">
        <v>365708798</v>
      </c>
      <c r="M3618">
        <v>292077044</v>
      </c>
      <c r="P3618">
        <v>286</v>
      </c>
      <c r="Q3618" t="s">
        <v>7583</v>
      </c>
    </row>
    <row r="3619" spans="1:17" x14ac:dyDescent="0.3">
      <c r="A3619" t="s">
        <v>4729</v>
      </c>
      <c r="B3619" t="str">
        <f>"002908"</f>
        <v>002908</v>
      </c>
      <c r="C3619" t="s">
        <v>7584</v>
      </c>
      <c r="D3619" t="s">
        <v>786</v>
      </c>
      <c r="F3619">
        <v>856057029</v>
      </c>
      <c r="G3619">
        <v>780811278</v>
      </c>
      <c r="H3619">
        <v>734217202</v>
      </c>
      <c r="I3619">
        <v>670529188</v>
      </c>
      <c r="J3619">
        <v>623868807</v>
      </c>
      <c r="K3619">
        <v>352485696</v>
      </c>
      <c r="L3619">
        <v>319752589</v>
      </c>
      <c r="M3619">
        <v>232264810</v>
      </c>
      <c r="P3619">
        <v>126</v>
      </c>
      <c r="Q3619" t="s">
        <v>7585</v>
      </c>
    </row>
    <row r="3620" spans="1:17" x14ac:dyDescent="0.3">
      <c r="A3620" t="s">
        <v>4729</v>
      </c>
      <c r="B3620" t="str">
        <f>"002909"</f>
        <v>002909</v>
      </c>
      <c r="C3620" t="s">
        <v>7586</v>
      </c>
      <c r="D3620" t="s">
        <v>1205</v>
      </c>
      <c r="F3620">
        <v>842569991</v>
      </c>
      <c r="G3620">
        <v>860795882</v>
      </c>
      <c r="H3620">
        <v>519876570</v>
      </c>
      <c r="I3620">
        <v>461152997</v>
      </c>
      <c r="J3620">
        <v>484770121</v>
      </c>
      <c r="K3620">
        <v>248391530</v>
      </c>
      <c r="L3620">
        <v>241621357</v>
      </c>
      <c r="M3620">
        <v>190765159</v>
      </c>
      <c r="P3620">
        <v>87</v>
      </c>
      <c r="Q3620" t="s">
        <v>7587</v>
      </c>
    </row>
    <row r="3621" spans="1:17" x14ac:dyDescent="0.3">
      <c r="A3621" t="s">
        <v>4729</v>
      </c>
      <c r="B3621" t="str">
        <f>"002910"</f>
        <v>002910</v>
      </c>
      <c r="C3621" t="s">
        <v>7588</v>
      </c>
      <c r="D3621" t="s">
        <v>900</v>
      </c>
      <c r="F3621">
        <v>1640693051</v>
      </c>
      <c r="G3621">
        <v>1591833607</v>
      </c>
      <c r="H3621">
        <v>1225407188</v>
      </c>
      <c r="I3621">
        <v>1184406733</v>
      </c>
      <c r="J3621">
        <v>1127665195</v>
      </c>
      <c r="K3621">
        <v>760234710</v>
      </c>
      <c r="L3621">
        <v>694327730</v>
      </c>
      <c r="M3621">
        <v>495413588</v>
      </c>
      <c r="P3621">
        <v>147</v>
      </c>
      <c r="Q3621" t="s">
        <v>7589</v>
      </c>
    </row>
    <row r="3622" spans="1:17" x14ac:dyDescent="0.3">
      <c r="A3622" t="s">
        <v>4729</v>
      </c>
      <c r="B3622" t="str">
        <f>"002911"</f>
        <v>002911</v>
      </c>
      <c r="C3622" t="s">
        <v>7590</v>
      </c>
      <c r="D3622" t="s">
        <v>749</v>
      </c>
      <c r="F3622">
        <v>3663004259</v>
      </c>
      <c r="G3622">
        <v>3347888587</v>
      </c>
      <c r="H3622">
        <v>3149682060</v>
      </c>
      <c r="I3622">
        <v>2586314279</v>
      </c>
      <c r="J3622">
        <v>2391339950</v>
      </c>
      <c r="K3622">
        <v>1672269154</v>
      </c>
      <c r="L3622">
        <v>1538486025</v>
      </c>
      <c r="M3622">
        <v>1353838946</v>
      </c>
      <c r="P3622">
        <v>183</v>
      </c>
      <c r="Q3622" t="s">
        <v>7591</v>
      </c>
    </row>
    <row r="3623" spans="1:17" x14ac:dyDescent="0.3">
      <c r="A3623" t="s">
        <v>4729</v>
      </c>
      <c r="B3623" t="str">
        <f>"002912"</f>
        <v>002912</v>
      </c>
      <c r="C3623" t="s">
        <v>7592</v>
      </c>
      <c r="D3623" t="s">
        <v>236</v>
      </c>
      <c r="F3623">
        <v>1679831434</v>
      </c>
      <c r="G3623">
        <v>1755101814</v>
      </c>
      <c r="H3623">
        <v>1519605457</v>
      </c>
      <c r="I3623">
        <v>1293874974</v>
      </c>
      <c r="J3623">
        <v>1139145150</v>
      </c>
      <c r="K3623">
        <v>584098132</v>
      </c>
      <c r="L3623">
        <v>533421437</v>
      </c>
      <c r="M3623">
        <v>343733487</v>
      </c>
      <c r="P3623">
        <v>586</v>
      </c>
      <c r="Q3623" t="s">
        <v>7593</v>
      </c>
    </row>
    <row r="3624" spans="1:17" x14ac:dyDescent="0.3">
      <c r="A3624" t="s">
        <v>4729</v>
      </c>
      <c r="B3624" t="str">
        <f>"002913"</f>
        <v>002913</v>
      </c>
      <c r="C3624" t="s">
        <v>7594</v>
      </c>
      <c r="D3624" t="s">
        <v>425</v>
      </c>
      <c r="F3624">
        <v>3523273188</v>
      </c>
      <c r="G3624">
        <v>2753053332</v>
      </c>
      <c r="H3624">
        <v>2433760672</v>
      </c>
      <c r="I3624">
        <v>2174064039</v>
      </c>
      <c r="J3624">
        <v>1962838591</v>
      </c>
      <c r="K3624">
        <v>762551935</v>
      </c>
      <c r="L3624">
        <v>614355516</v>
      </c>
      <c r="M3624">
        <v>368858074</v>
      </c>
      <c r="P3624">
        <v>205</v>
      </c>
      <c r="Q3624" t="s">
        <v>7595</v>
      </c>
    </row>
    <row r="3625" spans="1:17" x14ac:dyDescent="0.3">
      <c r="A3625" t="s">
        <v>4729</v>
      </c>
      <c r="B3625" t="str">
        <f>"002915"</f>
        <v>002915</v>
      </c>
      <c r="C3625" t="s">
        <v>7596</v>
      </c>
      <c r="D3625" t="s">
        <v>375</v>
      </c>
      <c r="F3625">
        <v>1584753906</v>
      </c>
      <c r="G3625">
        <v>1010879576</v>
      </c>
      <c r="H3625">
        <v>1057169690</v>
      </c>
      <c r="I3625">
        <v>473125058</v>
      </c>
      <c r="J3625">
        <v>453768388</v>
      </c>
      <c r="K3625">
        <v>274738947</v>
      </c>
      <c r="L3625">
        <v>242922119</v>
      </c>
      <c r="M3625">
        <v>171874172</v>
      </c>
      <c r="P3625">
        <v>90</v>
      </c>
      <c r="Q3625" t="s">
        <v>7597</v>
      </c>
    </row>
    <row r="3626" spans="1:17" x14ac:dyDescent="0.3">
      <c r="A3626" t="s">
        <v>4729</v>
      </c>
      <c r="B3626" t="str">
        <f>"002916"</f>
        <v>002916</v>
      </c>
      <c r="C3626" t="s">
        <v>7598</v>
      </c>
      <c r="D3626" t="s">
        <v>425</v>
      </c>
      <c r="F3626">
        <v>8516936682</v>
      </c>
      <c r="G3626">
        <v>7441079749</v>
      </c>
      <c r="H3626">
        <v>4799163053</v>
      </c>
      <c r="I3626">
        <v>3722440663</v>
      </c>
      <c r="J3626">
        <v>3167779895</v>
      </c>
      <c r="K3626">
        <v>1578307553</v>
      </c>
      <c r="L3626">
        <v>1355421604</v>
      </c>
      <c r="M3626">
        <v>1299199370</v>
      </c>
      <c r="P3626">
        <v>2552</v>
      </c>
      <c r="Q3626" t="s">
        <v>7599</v>
      </c>
    </row>
    <row r="3627" spans="1:17" x14ac:dyDescent="0.3">
      <c r="A3627" t="s">
        <v>4729</v>
      </c>
      <c r="B3627" t="str">
        <f>"002917"</f>
        <v>002917</v>
      </c>
      <c r="C3627" t="s">
        <v>7600</v>
      </c>
      <c r="D3627" t="s">
        <v>2736</v>
      </c>
      <c r="F3627">
        <v>769948155</v>
      </c>
      <c r="G3627">
        <v>760419875</v>
      </c>
      <c r="H3627">
        <v>703263828</v>
      </c>
      <c r="I3627">
        <v>652974596</v>
      </c>
      <c r="J3627">
        <v>604343905</v>
      </c>
      <c r="K3627">
        <v>250449102</v>
      </c>
      <c r="L3627">
        <v>126490687</v>
      </c>
      <c r="M3627">
        <v>129374255</v>
      </c>
      <c r="P3627">
        <v>67</v>
      </c>
      <c r="Q3627" t="s">
        <v>7601</v>
      </c>
    </row>
    <row r="3628" spans="1:17" x14ac:dyDescent="0.3">
      <c r="A3628" t="s">
        <v>4729</v>
      </c>
      <c r="B3628" t="str">
        <f>"002918"</f>
        <v>002918</v>
      </c>
      <c r="C3628" t="s">
        <v>7602</v>
      </c>
      <c r="D3628" t="s">
        <v>178</v>
      </c>
      <c r="F3628">
        <v>3648342805</v>
      </c>
      <c r="G3628">
        <v>3450694388</v>
      </c>
      <c r="H3628">
        <v>2921836768</v>
      </c>
      <c r="I3628">
        <v>2549413234</v>
      </c>
      <c r="J3628">
        <v>2217649369</v>
      </c>
      <c r="K3628">
        <v>792073570</v>
      </c>
      <c r="L3628">
        <v>558165743</v>
      </c>
      <c r="M3628">
        <v>380010044</v>
      </c>
      <c r="P3628">
        <v>529</v>
      </c>
      <c r="Q3628" t="s">
        <v>7603</v>
      </c>
    </row>
    <row r="3629" spans="1:17" x14ac:dyDescent="0.3">
      <c r="A3629" t="s">
        <v>4729</v>
      </c>
      <c r="B3629" t="str">
        <f>"002919"</f>
        <v>002919</v>
      </c>
      <c r="C3629" t="s">
        <v>7604</v>
      </c>
      <c r="D3629" t="s">
        <v>569</v>
      </c>
      <c r="F3629">
        <v>757810649</v>
      </c>
      <c r="G3629">
        <v>655461348</v>
      </c>
      <c r="H3629">
        <v>565434655</v>
      </c>
      <c r="I3629">
        <v>550895935</v>
      </c>
      <c r="J3629">
        <v>537519965</v>
      </c>
      <c r="K3629">
        <v>287371715</v>
      </c>
      <c r="L3629">
        <v>229962711</v>
      </c>
      <c r="M3629">
        <v>180454184</v>
      </c>
      <c r="P3629">
        <v>146</v>
      </c>
      <c r="Q3629" t="s">
        <v>7605</v>
      </c>
    </row>
    <row r="3630" spans="1:17" x14ac:dyDescent="0.3">
      <c r="A3630" t="s">
        <v>4729</v>
      </c>
      <c r="B3630" t="str">
        <f>"002920"</f>
        <v>002920</v>
      </c>
      <c r="C3630" t="s">
        <v>7606</v>
      </c>
      <c r="D3630" t="s">
        <v>945</v>
      </c>
      <c r="F3630">
        <v>5338646162</v>
      </c>
      <c r="G3630">
        <v>4640210396</v>
      </c>
      <c r="H3630">
        <v>4215660093</v>
      </c>
      <c r="I3630">
        <v>3972350861</v>
      </c>
      <c r="J3630">
        <v>3720403742</v>
      </c>
      <c r="K3630">
        <v>1281506462</v>
      </c>
      <c r="L3630">
        <v>870512380</v>
      </c>
      <c r="M3630">
        <v>591818492</v>
      </c>
      <c r="P3630">
        <v>688</v>
      </c>
      <c r="Q3630" t="s">
        <v>7607</v>
      </c>
    </row>
    <row r="3631" spans="1:17" x14ac:dyDescent="0.3">
      <c r="A3631" t="s">
        <v>4729</v>
      </c>
      <c r="B3631" t="str">
        <f>"002921"</f>
        <v>002921</v>
      </c>
      <c r="C3631" t="s">
        <v>7608</v>
      </c>
      <c r="D3631" t="s">
        <v>985</v>
      </c>
      <c r="F3631">
        <v>808940189</v>
      </c>
      <c r="G3631">
        <v>763223028</v>
      </c>
      <c r="H3631">
        <v>702334478</v>
      </c>
      <c r="I3631">
        <v>671916718</v>
      </c>
      <c r="J3631">
        <v>652412157</v>
      </c>
      <c r="K3631">
        <v>417141220</v>
      </c>
      <c r="L3631">
        <v>382370080</v>
      </c>
      <c r="M3631">
        <v>339106556</v>
      </c>
      <c r="P3631">
        <v>95</v>
      </c>
      <c r="Q3631" t="s">
        <v>7609</v>
      </c>
    </row>
    <row r="3632" spans="1:17" x14ac:dyDescent="0.3">
      <c r="A3632" t="s">
        <v>4729</v>
      </c>
      <c r="B3632" t="str">
        <f>"002922"</f>
        <v>002922</v>
      </c>
      <c r="C3632" t="s">
        <v>7610</v>
      </c>
      <c r="D3632" t="s">
        <v>651</v>
      </c>
      <c r="F3632">
        <v>1617248523</v>
      </c>
      <c r="G3632">
        <v>1444333311</v>
      </c>
      <c r="H3632">
        <v>928549699</v>
      </c>
      <c r="I3632">
        <v>894974025</v>
      </c>
      <c r="J3632">
        <v>878809109</v>
      </c>
      <c r="K3632">
        <v>439478244</v>
      </c>
      <c r="L3632">
        <v>427669712</v>
      </c>
      <c r="M3632">
        <v>276600094</v>
      </c>
      <c r="P3632">
        <v>170</v>
      </c>
      <c r="Q3632" t="s">
        <v>7611</v>
      </c>
    </row>
    <row r="3633" spans="1:17" x14ac:dyDescent="0.3">
      <c r="A3633" t="s">
        <v>4729</v>
      </c>
      <c r="B3633" t="str">
        <f>"002923"</f>
        <v>002923</v>
      </c>
      <c r="C3633" t="s">
        <v>7612</v>
      </c>
      <c r="D3633" t="s">
        <v>143</v>
      </c>
      <c r="F3633">
        <v>1112155582</v>
      </c>
      <c r="G3633">
        <v>1038233650</v>
      </c>
      <c r="H3633">
        <v>940294711</v>
      </c>
      <c r="I3633">
        <v>871294552</v>
      </c>
      <c r="J3633">
        <v>488839889</v>
      </c>
      <c r="K3633">
        <v>398187278</v>
      </c>
      <c r="L3633">
        <v>310721480</v>
      </c>
      <c r="M3633">
        <v>273306098</v>
      </c>
      <c r="P3633">
        <v>165</v>
      </c>
      <c r="Q3633" t="s">
        <v>7613</v>
      </c>
    </row>
    <row r="3634" spans="1:17" x14ac:dyDescent="0.3">
      <c r="A3634" t="s">
        <v>4729</v>
      </c>
      <c r="B3634" t="str">
        <f>"002925"</f>
        <v>002925</v>
      </c>
      <c r="C3634" t="s">
        <v>7614</v>
      </c>
      <c r="D3634" t="s">
        <v>313</v>
      </c>
      <c r="F3634">
        <v>5499285011</v>
      </c>
      <c r="G3634">
        <v>4807849790</v>
      </c>
      <c r="H3634">
        <v>4150408964</v>
      </c>
      <c r="I3634">
        <v>3721136626</v>
      </c>
      <c r="J3634">
        <v>1668320741</v>
      </c>
      <c r="K3634">
        <v>839144176</v>
      </c>
      <c r="L3634">
        <v>425767492</v>
      </c>
      <c r="M3634">
        <v>231424555</v>
      </c>
      <c r="P3634">
        <v>1061</v>
      </c>
      <c r="Q3634" t="s">
        <v>7615</v>
      </c>
    </row>
    <row r="3635" spans="1:17" x14ac:dyDescent="0.3">
      <c r="A3635" t="s">
        <v>4729</v>
      </c>
      <c r="B3635" t="str">
        <f>"002926"</f>
        <v>002926</v>
      </c>
      <c r="C3635" t="s">
        <v>7616</v>
      </c>
      <c r="D3635" t="s">
        <v>80</v>
      </c>
      <c r="F3635">
        <v>22377893384</v>
      </c>
      <c r="G3635">
        <v>21321684397</v>
      </c>
      <c r="H3635">
        <v>19649386673</v>
      </c>
      <c r="I3635">
        <v>18355873409</v>
      </c>
      <c r="J3635">
        <v>12757330951</v>
      </c>
      <c r="K3635">
        <v>11889566595</v>
      </c>
      <c r="L3635">
        <v>10432946884</v>
      </c>
      <c r="M3635">
        <v>7710815017</v>
      </c>
      <c r="N3635">
        <v>6982698600</v>
      </c>
      <c r="O3635">
        <v>6326905200</v>
      </c>
      <c r="P3635">
        <v>921</v>
      </c>
      <c r="Q3635" t="s">
        <v>7617</v>
      </c>
    </row>
    <row r="3636" spans="1:17" x14ac:dyDescent="0.3">
      <c r="A3636" t="s">
        <v>4729</v>
      </c>
      <c r="B3636" t="str">
        <f>"002927"</f>
        <v>002927</v>
      </c>
      <c r="C3636" t="s">
        <v>7618</v>
      </c>
      <c r="D3636" t="s">
        <v>657</v>
      </c>
      <c r="F3636">
        <v>924099919</v>
      </c>
      <c r="G3636">
        <v>848894205</v>
      </c>
      <c r="H3636">
        <v>793923209</v>
      </c>
      <c r="I3636">
        <v>734968400</v>
      </c>
      <c r="J3636">
        <v>368628182</v>
      </c>
      <c r="K3636">
        <v>317097824</v>
      </c>
      <c r="L3636">
        <v>253748551</v>
      </c>
      <c r="M3636">
        <v>198969401</v>
      </c>
      <c r="P3636">
        <v>117</v>
      </c>
      <c r="Q3636" t="s">
        <v>7619</v>
      </c>
    </row>
    <row r="3637" spans="1:17" x14ac:dyDescent="0.3">
      <c r="A3637" t="s">
        <v>4729</v>
      </c>
      <c r="B3637" t="str">
        <f>"002928"</f>
        <v>002928</v>
      </c>
      <c r="C3637" t="s">
        <v>7620</v>
      </c>
      <c r="D3637" t="s">
        <v>77</v>
      </c>
      <c r="F3637">
        <v>3616430226</v>
      </c>
      <c r="G3637">
        <v>3937458589</v>
      </c>
      <c r="H3637">
        <v>2574121690</v>
      </c>
      <c r="I3637">
        <v>2123949232</v>
      </c>
      <c r="J3637">
        <v>1150162850</v>
      </c>
      <c r="K3637">
        <v>793932130</v>
      </c>
      <c r="L3637">
        <v>449437750</v>
      </c>
      <c r="P3637">
        <v>333</v>
      </c>
      <c r="Q3637" t="s">
        <v>7621</v>
      </c>
    </row>
    <row r="3638" spans="1:17" x14ac:dyDescent="0.3">
      <c r="A3638" t="s">
        <v>4729</v>
      </c>
      <c r="B3638" t="str">
        <f>"002929"</f>
        <v>002929</v>
      </c>
      <c r="C3638" t="s">
        <v>7622</v>
      </c>
      <c r="D3638" t="s">
        <v>654</v>
      </c>
      <c r="F3638">
        <v>3684416743</v>
      </c>
      <c r="G3638">
        <v>3087618618</v>
      </c>
      <c r="H3638">
        <v>2846581522</v>
      </c>
      <c r="I3638">
        <v>2630309971</v>
      </c>
      <c r="J3638">
        <v>1189539737</v>
      </c>
      <c r="K3638">
        <v>945994465</v>
      </c>
      <c r="L3638">
        <v>590226981</v>
      </c>
      <c r="P3638">
        <v>270</v>
      </c>
      <c r="Q3638" t="s">
        <v>7623</v>
      </c>
    </row>
    <row r="3639" spans="1:17" x14ac:dyDescent="0.3">
      <c r="A3639" t="s">
        <v>4729</v>
      </c>
      <c r="B3639" t="str">
        <f>"002930"</f>
        <v>002930</v>
      </c>
      <c r="C3639" t="s">
        <v>7624</v>
      </c>
      <c r="D3639" t="s">
        <v>1592</v>
      </c>
      <c r="F3639">
        <v>2201555154</v>
      </c>
      <c r="G3639">
        <v>2002857702</v>
      </c>
      <c r="H3639">
        <v>1849821388</v>
      </c>
      <c r="I3639">
        <v>1772153980</v>
      </c>
      <c r="J3639">
        <v>1192629502</v>
      </c>
      <c r="K3639">
        <v>1100112541</v>
      </c>
      <c r="L3639">
        <v>918500631</v>
      </c>
      <c r="P3639">
        <v>160</v>
      </c>
      <c r="Q3639" t="s">
        <v>7625</v>
      </c>
    </row>
    <row r="3640" spans="1:17" x14ac:dyDescent="0.3">
      <c r="A3640" t="s">
        <v>4729</v>
      </c>
      <c r="B3640" t="str">
        <f>"002931"</f>
        <v>002931</v>
      </c>
      <c r="C3640" t="s">
        <v>7626</v>
      </c>
      <c r="D3640" t="s">
        <v>274</v>
      </c>
      <c r="F3640">
        <v>605497279</v>
      </c>
      <c r="G3640">
        <v>599795256</v>
      </c>
      <c r="H3640">
        <v>536092269</v>
      </c>
      <c r="I3640">
        <v>496238453</v>
      </c>
      <c r="J3640">
        <v>221568061</v>
      </c>
      <c r="K3640">
        <v>173863445</v>
      </c>
      <c r="L3640">
        <v>106002677</v>
      </c>
      <c r="P3640">
        <v>107</v>
      </c>
      <c r="Q3640" t="s">
        <v>7627</v>
      </c>
    </row>
    <row r="3641" spans="1:17" x14ac:dyDescent="0.3">
      <c r="A3641" t="s">
        <v>4729</v>
      </c>
      <c r="B3641" t="str">
        <f>"002932"</f>
        <v>002932</v>
      </c>
      <c r="C3641" t="s">
        <v>7628</v>
      </c>
      <c r="D3641" t="s">
        <v>1305</v>
      </c>
      <c r="F3641">
        <v>2788824635</v>
      </c>
      <c r="G3641">
        <v>1101793294</v>
      </c>
      <c r="H3641">
        <v>609708823</v>
      </c>
      <c r="I3641">
        <v>588158571</v>
      </c>
      <c r="J3641">
        <v>240573543</v>
      </c>
      <c r="K3641">
        <v>175080896</v>
      </c>
      <c r="L3641">
        <v>115388896</v>
      </c>
      <c r="P3641">
        <v>423</v>
      </c>
      <c r="Q3641" t="s">
        <v>7629</v>
      </c>
    </row>
    <row r="3642" spans="1:17" x14ac:dyDescent="0.3">
      <c r="A3642" t="s">
        <v>4729</v>
      </c>
      <c r="B3642" t="str">
        <f>"002933"</f>
        <v>002933</v>
      </c>
      <c r="C3642" t="s">
        <v>7630</v>
      </c>
      <c r="D3642" t="s">
        <v>98</v>
      </c>
      <c r="F3642">
        <v>1466631464</v>
      </c>
      <c r="G3642">
        <v>1589538807</v>
      </c>
      <c r="H3642">
        <v>1528831877</v>
      </c>
      <c r="I3642">
        <v>1445216074</v>
      </c>
      <c r="J3642">
        <v>764628587</v>
      </c>
      <c r="K3642">
        <v>680950341</v>
      </c>
      <c r="L3642">
        <v>598571960</v>
      </c>
      <c r="P3642">
        <v>314</v>
      </c>
      <c r="Q3642" t="s">
        <v>7631</v>
      </c>
    </row>
    <row r="3643" spans="1:17" x14ac:dyDescent="0.3">
      <c r="A3643" t="s">
        <v>4729</v>
      </c>
      <c r="B3643" t="str">
        <f>"002935"</f>
        <v>002935</v>
      </c>
      <c r="C3643" t="s">
        <v>7632</v>
      </c>
      <c r="D3643" t="s">
        <v>1136</v>
      </c>
      <c r="F3643">
        <v>1412882171</v>
      </c>
      <c r="G3643">
        <v>1346484664</v>
      </c>
      <c r="H3643">
        <v>1265914339</v>
      </c>
      <c r="I3643">
        <v>1182901460</v>
      </c>
      <c r="J3643">
        <v>607098968</v>
      </c>
      <c r="K3643">
        <v>526582979</v>
      </c>
      <c r="L3643">
        <v>458791752</v>
      </c>
      <c r="P3643">
        <v>203</v>
      </c>
      <c r="Q3643" t="s">
        <v>7633</v>
      </c>
    </row>
    <row r="3644" spans="1:17" x14ac:dyDescent="0.3">
      <c r="A3644" t="s">
        <v>4729</v>
      </c>
      <c r="B3644" t="str">
        <f>"002936"</f>
        <v>002936</v>
      </c>
      <c r="C3644" t="s">
        <v>7634</v>
      </c>
      <c r="D3644" t="s">
        <v>1842</v>
      </c>
      <c r="F3644">
        <v>39941819000</v>
      </c>
      <c r="G3644">
        <v>36669389000</v>
      </c>
      <c r="H3644">
        <v>30764814000</v>
      </c>
      <c r="I3644">
        <v>28824231000</v>
      </c>
      <c r="J3644">
        <v>24380379000</v>
      </c>
      <c r="K3644">
        <v>21296378000</v>
      </c>
      <c r="L3644">
        <v>17794840000</v>
      </c>
      <c r="M3644">
        <v>11405578000</v>
      </c>
      <c r="N3644">
        <v>9536466000</v>
      </c>
      <c r="O3644">
        <v>7671349000</v>
      </c>
      <c r="P3644">
        <v>469</v>
      </c>
      <c r="Q3644" t="s">
        <v>7635</v>
      </c>
    </row>
    <row r="3645" spans="1:17" x14ac:dyDescent="0.3">
      <c r="A3645" t="s">
        <v>4729</v>
      </c>
      <c r="B3645" t="str">
        <f>"002937"</f>
        <v>002937</v>
      </c>
      <c r="C3645" t="s">
        <v>7636</v>
      </c>
      <c r="D3645" t="s">
        <v>313</v>
      </c>
      <c r="F3645">
        <v>1058385286</v>
      </c>
      <c r="G3645">
        <v>1002121754</v>
      </c>
      <c r="H3645">
        <v>920847578</v>
      </c>
      <c r="I3645">
        <v>835359987</v>
      </c>
      <c r="J3645">
        <v>373164263</v>
      </c>
      <c r="K3645">
        <v>328660557</v>
      </c>
      <c r="L3645">
        <v>277188061</v>
      </c>
      <c r="P3645">
        <v>209</v>
      </c>
      <c r="Q3645" t="s">
        <v>7637</v>
      </c>
    </row>
    <row r="3646" spans="1:17" x14ac:dyDescent="0.3">
      <c r="A3646" t="s">
        <v>4729</v>
      </c>
      <c r="B3646" t="str">
        <f>"002938"</f>
        <v>002938</v>
      </c>
      <c r="C3646" t="s">
        <v>7638</v>
      </c>
      <c r="D3646" t="s">
        <v>425</v>
      </c>
      <c r="F3646">
        <v>23812982133</v>
      </c>
      <c r="G3646">
        <v>21558026745</v>
      </c>
      <c r="H3646">
        <v>19829254992</v>
      </c>
      <c r="I3646">
        <v>17887640726</v>
      </c>
      <c r="J3646">
        <v>12282987578</v>
      </c>
      <c r="K3646">
        <v>10195037219</v>
      </c>
      <c r="L3646">
        <v>10306446971</v>
      </c>
      <c r="P3646">
        <v>961</v>
      </c>
      <c r="Q3646" t="s">
        <v>7639</v>
      </c>
    </row>
    <row r="3647" spans="1:17" x14ac:dyDescent="0.3">
      <c r="A3647" t="s">
        <v>4729</v>
      </c>
      <c r="B3647" t="str">
        <f>"002939"</f>
        <v>002939</v>
      </c>
      <c r="C3647" t="s">
        <v>7640</v>
      </c>
      <c r="D3647" t="s">
        <v>80</v>
      </c>
      <c r="F3647">
        <v>19591038668</v>
      </c>
      <c r="G3647">
        <v>18075701983</v>
      </c>
      <c r="H3647">
        <v>16919414596</v>
      </c>
      <c r="I3647">
        <v>16524010238</v>
      </c>
      <c r="J3647">
        <v>14358961320</v>
      </c>
      <c r="K3647">
        <v>13821549745</v>
      </c>
      <c r="L3647">
        <v>13744046977</v>
      </c>
      <c r="M3647">
        <v>7212151849</v>
      </c>
      <c r="N3647">
        <v>6211593949</v>
      </c>
      <c r="O3647">
        <v>5975990017</v>
      </c>
      <c r="P3647">
        <v>832</v>
      </c>
      <c r="Q3647" t="s">
        <v>7641</v>
      </c>
    </row>
    <row r="3648" spans="1:17" x14ac:dyDescent="0.3">
      <c r="A3648" t="s">
        <v>4729</v>
      </c>
      <c r="B3648" t="str">
        <f>"002940"</f>
        <v>002940</v>
      </c>
      <c r="C3648" t="s">
        <v>7642</v>
      </c>
      <c r="D3648" t="s">
        <v>143</v>
      </c>
      <c r="F3648">
        <v>1338853096</v>
      </c>
      <c r="G3648">
        <v>1318879304</v>
      </c>
      <c r="H3648">
        <v>965125416</v>
      </c>
      <c r="I3648">
        <v>919067528</v>
      </c>
      <c r="J3648">
        <v>370187118</v>
      </c>
      <c r="K3648">
        <v>310847187</v>
      </c>
      <c r="L3648">
        <v>247466309</v>
      </c>
      <c r="P3648">
        <v>148</v>
      </c>
      <c r="Q3648" t="s">
        <v>7643</v>
      </c>
    </row>
    <row r="3649" spans="1:17" x14ac:dyDescent="0.3">
      <c r="A3649" t="s">
        <v>4729</v>
      </c>
      <c r="B3649" t="str">
        <f>"002941"</f>
        <v>002941</v>
      </c>
      <c r="C3649" t="s">
        <v>7644</v>
      </c>
      <c r="D3649" t="s">
        <v>101</v>
      </c>
      <c r="F3649">
        <v>2646949155</v>
      </c>
      <c r="G3649">
        <v>2443383947</v>
      </c>
      <c r="H3649">
        <v>2377869445</v>
      </c>
      <c r="I3649">
        <v>2257981433</v>
      </c>
      <c r="J3649">
        <v>1488263964</v>
      </c>
      <c r="K3649">
        <v>1258114220</v>
      </c>
      <c r="L3649">
        <v>1192882409</v>
      </c>
      <c r="P3649">
        <v>145</v>
      </c>
      <c r="Q3649" t="s">
        <v>7645</v>
      </c>
    </row>
    <row r="3650" spans="1:17" x14ac:dyDescent="0.3">
      <c r="A3650" t="s">
        <v>4729</v>
      </c>
      <c r="B3650" t="str">
        <f>"002942"</f>
        <v>002942</v>
      </c>
      <c r="C3650" t="s">
        <v>7646</v>
      </c>
      <c r="D3650" t="s">
        <v>853</v>
      </c>
      <c r="F3650">
        <v>1139395447</v>
      </c>
      <c r="G3650">
        <v>1066056557</v>
      </c>
      <c r="H3650">
        <v>925153810</v>
      </c>
      <c r="I3650">
        <v>748283070</v>
      </c>
      <c r="J3650">
        <v>297872641</v>
      </c>
      <c r="K3650">
        <v>262355626</v>
      </c>
      <c r="L3650">
        <v>241486277</v>
      </c>
      <c r="P3650">
        <v>414</v>
      </c>
      <c r="Q3650" t="s">
        <v>7647</v>
      </c>
    </row>
    <row r="3651" spans="1:17" x14ac:dyDescent="0.3">
      <c r="A3651" t="s">
        <v>4729</v>
      </c>
      <c r="B3651" t="str">
        <f>"002943"</f>
        <v>002943</v>
      </c>
      <c r="C3651" t="s">
        <v>7648</v>
      </c>
      <c r="D3651" t="s">
        <v>2321</v>
      </c>
      <c r="F3651">
        <v>761536052</v>
      </c>
      <c r="G3651">
        <v>768301879</v>
      </c>
      <c r="H3651">
        <v>779276917</v>
      </c>
      <c r="I3651">
        <v>775573589</v>
      </c>
      <c r="J3651">
        <v>278315378</v>
      </c>
      <c r="K3651">
        <v>220403771</v>
      </c>
      <c r="L3651">
        <v>187235443</v>
      </c>
      <c r="P3651">
        <v>74</v>
      </c>
      <c r="Q3651" t="s">
        <v>7649</v>
      </c>
    </row>
    <row r="3652" spans="1:17" x14ac:dyDescent="0.3">
      <c r="A3652" t="s">
        <v>4729</v>
      </c>
      <c r="B3652" t="str">
        <f>"002945"</f>
        <v>002945</v>
      </c>
      <c r="C3652" t="s">
        <v>7650</v>
      </c>
      <c r="D3652" t="s">
        <v>80</v>
      </c>
      <c r="F3652">
        <v>6263723221</v>
      </c>
      <c r="G3652">
        <v>6020488964</v>
      </c>
      <c r="H3652">
        <v>5338361717</v>
      </c>
      <c r="I3652">
        <v>4073416349</v>
      </c>
      <c r="J3652">
        <v>3728763337</v>
      </c>
      <c r="K3652">
        <v>3386428474</v>
      </c>
      <c r="L3652">
        <v>2797310196</v>
      </c>
      <c r="M3652">
        <v>1678595694</v>
      </c>
      <c r="N3652">
        <v>1168265280</v>
      </c>
      <c r="O3652">
        <v>1100611602</v>
      </c>
      <c r="P3652">
        <v>913</v>
      </c>
      <c r="Q3652" t="s">
        <v>7651</v>
      </c>
    </row>
    <row r="3653" spans="1:17" x14ac:dyDescent="0.3">
      <c r="A3653" t="s">
        <v>4729</v>
      </c>
      <c r="B3653" t="str">
        <f>"002946"</f>
        <v>002946</v>
      </c>
      <c r="C3653" t="s">
        <v>7652</v>
      </c>
      <c r="D3653" t="s">
        <v>900</v>
      </c>
      <c r="F3653">
        <v>2541376768</v>
      </c>
      <c r="G3653">
        <v>2557545583</v>
      </c>
      <c r="H3653">
        <v>1968906227</v>
      </c>
      <c r="I3653">
        <v>1459191548</v>
      </c>
      <c r="J3653">
        <v>1227063500</v>
      </c>
      <c r="K3653">
        <v>939171935</v>
      </c>
      <c r="L3653">
        <v>1206095786</v>
      </c>
      <c r="P3653">
        <v>342</v>
      </c>
      <c r="Q3653" t="s">
        <v>7653</v>
      </c>
    </row>
    <row r="3654" spans="1:17" x14ac:dyDescent="0.3">
      <c r="A3654" t="s">
        <v>4729</v>
      </c>
      <c r="B3654" t="str">
        <f>"002947"</f>
        <v>002947</v>
      </c>
      <c r="C3654" t="s">
        <v>7654</v>
      </c>
      <c r="D3654" t="s">
        <v>313</v>
      </c>
      <c r="F3654">
        <v>1710608950</v>
      </c>
      <c r="G3654">
        <v>1267821102</v>
      </c>
      <c r="H3654">
        <v>1216710984</v>
      </c>
      <c r="I3654">
        <v>548920478</v>
      </c>
      <c r="J3654">
        <v>422911462</v>
      </c>
      <c r="K3654">
        <v>180759449</v>
      </c>
      <c r="L3654">
        <v>202527038</v>
      </c>
      <c r="P3654">
        <v>266</v>
      </c>
      <c r="Q3654" t="s">
        <v>7655</v>
      </c>
    </row>
    <row r="3655" spans="1:17" x14ac:dyDescent="0.3">
      <c r="A3655" t="s">
        <v>4729</v>
      </c>
      <c r="B3655" t="str">
        <f>"002948"</f>
        <v>002948</v>
      </c>
      <c r="C3655" t="s">
        <v>7656</v>
      </c>
      <c r="D3655" t="s">
        <v>1842</v>
      </c>
      <c r="F3655">
        <v>24781531000</v>
      </c>
      <c r="G3655">
        <v>22431210000</v>
      </c>
      <c r="H3655">
        <v>22061496000</v>
      </c>
      <c r="I3655">
        <v>19131009000</v>
      </c>
      <c r="J3655">
        <v>17775890000</v>
      </c>
      <c r="K3655">
        <v>17635973000</v>
      </c>
      <c r="L3655">
        <v>16613652000</v>
      </c>
      <c r="M3655">
        <v>9784650000</v>
      </c>
      <c r="N3655">
        <v>8205152000</v>
      </c>
      <c r="O3655">
        <v>7436635000</v>
      </c>
      <c r="P3655">
        <v>458</v>
      </c>
      <c r="Q3655" t="s">
        <v>7657</v>
      </c>
    </row>
    <row r="3656" spans="1:17" x14ac:dyDescent="0.3">
      <c r="A3656" t="s">
        <v>4729</v>
      </c>
      <c r="B3656" t="str">
        <f>"002949"</f>
        <v>002949</v>
      </c>
      <c r="C3656" t="s">
        <v>7658</v>
      </c>
      <c r="D3656" t="s">
        <v>1272</v>
      </c>
      <c r="F3656">
        <v>1315097574</v>
      </c>
      <c r="G3656">
        <v>1283929247</v>
      </c>
      <c r="H3656">
        <v>1149796267</v>
      </c>
      <c r="I3656">
        <v>586645751</v>
      </c>
      <c r="J3656">
        <v>488190552</v>
      </c>
      <c r="K3656">
        <v>355663584</v>
      </c>
      <c r="L3656">
        <v>252687268</v>
      </c>
      <c r="P3656">
        <v>158</v>
      </c>
      <c r="Q3656" t="s">
        <v>7659</v>
      </c>
    </row>
    <row r="3657" spans="1:17" x14ac:dyDescent="0.3">
      <c r="A3657" t="s">
        <v>4729</v>
      </c>
      <c r="B3657" t="str">
        <f>"002950"</f>
        <v>002950</v>
      </c>
      <c r="C3657" t="s">
        <v>7660</v>
      </c>
      <c r="D3657" t="s">
        <v>1077</v>
      </c>
      <c r="F3657">
        <v>2752953286</v>
      </c>
      <c r="G3657">
        <v>2910700529</v>
      </c>
      <c r="H3657">
        <v>2051694831</v>
      </c>
      <c r="I3657">
        <v>1312596411</v>
      </c>
      <c r="J3657">
        <v>1087979119</v>
      </c>
      <c r="K3657">
        <v>1007453057</v>
      </c>
      <c r="L3657">
        <v>981625144</v>
      </c>
      <c r="P3657">
        <v>1080</v>
      </c>
      <c r="Q3657" t="s">
        <v>7661</v>
      </c>
    </row>
    <row r="3658" spans="1:17" x14ac:dyDescent="0.3">
      <c r="A3658" t="s">
        <v>4729</v>
      </c>
      <c r="B3658" t="str">
        <f>"002951"</f>
        <v>002951</v>
      </c>
      <c r="C3658" t="s">
        <v>7662</v>
      </c>
      <c r="D3658" t="s">
        <v>2165</v>
      </c>
      <c r="F3658">
        <v>1607839690</v>
      </c>
      <c r="G3658">
        <v>1410891081</v>
      </c>
      <c r="H3658">
        <v>1323733459</v>
      </c>
      <c r="I3658">
        <v>915015080</v>
      </c>
      <c r="J3658">
        <v>799878088</v>
      </c>
      <c r="K3658">
        <v>491168633</v>
      </c>
      <c r="P3658">
        <v>93</v>
      </c>
      <c r="Q3658" t="s">
        <v>7663</v>
      </c>
    </row>
    <row r="3659" spans="1:17" x14ac:dyDescent="0.3">
      <c r="A3659" t="s">
        <v>4729</v>
      </c>
      <c r="B3659" t="str">
        <f>"002952"</f>
        <v>002952</v>
      </c>
      <c r="C3659" t="s">
        <v>7664</v>
      </c>
      <c r="D3659" t="s">
        <v>1117</v>
      </c>
      <c r="F3659">
        <v>833304354</v>
      </c>
      <c r="G3659">
        <v>836655250</v>
      </c>
      <c r="H3659">
        <v>793124738</v>
      </c>
      <c r="I3659">
        <v>343343476</v>
      </c>
      <c r="J3659">
        <v>244419352</v>
      </c>
      <c r="K3659">
        <v>214294771</v>
      </c>
      <c r="P3659">
        <v>79</v>
      </c>
      <c r="Q3659" t="s">
        <v>7665</v>
      </c>
    </row>
    <row r="3660" spans="1:17" x14ac:dyDescent="0.3">
      <c r="A3660" t="s">
        <v>4729</v>
      </c>
      <c r="B3660" t="str">
        <f>"002953"</f>
        <v>002953</v>
      </c>
      <c r="C3660" t="s">
        <v>7666</v>
      </c>
      <c r="D3660" t="s">
        <v>1164</v>
      </c>
      <c r="F3660">
        <v>1152005131</v>
      </c>
      <c r="G3660">
        <v>1028784834</v>
      </c>
      <c r="H3660">
        <v>941011340</v>
      </c>
      <c r="I3660">
        <v>481758399</v>
      </c>
      <c r="J3660">
        <v>366182195</v>
      </c>
      <c r="K3660">
        <v>304374732</v>
      </c>
      <c r="P3660">
        <v>99</v>
      </c>
      <c r="Q3660" t="s">
        <v>7667</v>
      </c>
    </row>
    <row r="3661" spans="1:17" x14ac:dyDescent="0.3">
      <c r="A3661" t="s">
        <v>4729</v>
      </c>
      <c r="B3661" t="str">
        <f>"002955"</f>
        <v>002955</v>
      </c>
      <c r="C3661" t="s">
        <v>7668</v>
      </c>
      <c r="D3661" t="s">
        <v>1117</v>
      </c>
      <c r="F3661">
        <v>3139762201</v>
      </c>
      <c r="G3661">
        <v>3015943878</v>
      </c>
      <c r="H3661">
        <v>2922401451</v>
      </c>
      <c r="I3661">
        <v>909053439</v>
      </c>
      <c r="J3661">
        <v>742930502</v>
      </c>
      <c r="K3661">
        <v>342914975</v>
      </c>
      <c r="P3661">
        <v>167</v>
      </c>
      <c r="Q3661" t="s">
        <v>7669</v>
      </c>
    </row>
    <row r="3662" spans="1:17" x14ac:dyDescent="0.3">
      <c r="A3662" t="s">
        <v>4729</v>
      </c>
      <c r="B3662" t="str">
        <f>"002956"</f>
        <v>002956</v>
      </c>
      <c r="C3662" t="s">
        <v>7670</v>
      </c>
      <c r="D3662" t="s">
        <v>2488</v>
      </c>
      <c r="F3662">
        <v>1351793032</v>
      </c>
      <c r="G3662">
        <v>1344642514</v>
      </c>
      <c r="H3662">
        <v>1340516544</v>
      </c>
      <c r="I3662">
        <v>522530741</v>
      </c>
      <c r="J3662">
        <v>385717638</v>
      </c>
      <c r="K3662">
        <v>313244754</v>
      </c>
      <c r="P3662">
        <v>281</v>
      </c>
      <c r="Q3662" t="s">
        <v>7671</v>
      </c>
    </row>
    <row r="3663" spans="1:17" x14ac:dyDescent="0.3">
      <c r="A3663" t="s">
        <v>4729</v>
      </c>
      <c r="B3663" t="str">
        <f>"002957"</f>
        <v>002957</v>
      </c>
      <c r="C3663" t="s">
        <v>7672</v>
      </c>
      <c r="D3663" t="s">
        <v>2432</v>
      </c>
      <c r="F3663">
        <v>2472547531</v>
      </c>
      <c r="G3663">
        <v>2535339958</v>
      </c>
      <c r="H3663">
        <v>2331586157</v>
      </c>
      <c r="I3663">
        <v>1615953021</v>
      </c>
      <c r="J3663">
        <v>1410260069</v>
      </c>
      <c r="K3663">
        <v>1305502944</v>
      </c>
      <c r="P3663">
        <v>182</v>
      </c>
      <c r="Q3663" t="s">
        <v>7673</v>
      </c>
    </row>
    <row r="3664" spans="1:17" x14ac:dyDescent="0.3">
      <c r="A3664" t="s">
        <v>4729</v>
      </c>
      <c r="B3664" t="str">
        <f>"002958"</f>
        <v>002958</v>
      </c>
      <c r="C3664" t="s">
        <v>7674</v>
      </c>
      <c r="D3664" t="s">
        <v>1831</v>
      </c>
      <c r="F3664">
        <v>28692964000</v>
      </c>
      <c r="G3664">
        <v>26366069000</v>
      </c>
      <c r="H3664">
        <v>24415271000</v>
      </c>
      <c r="I3664">
        <v>20513629000</v>
      </c>
      <c r="J3664">
        <v>17114539000</v>
      </c>
      <c r="K3664">
        <v>14948258000</v>
      </c>
      <c r="L3664">
        <v>13489241000</v>
      </c>
      <c r="M3664">
        <v>11833256312</v>
      </c>
      <c r="N3664">
        <v>10535439000</v>
      </c>
      <c r="O3664">
        <v>8960511000</v>
      </c>
      <c r="P3664">
        <v>416</v>
      </c>
      <c r="Q3664" t="s">
        <v>7675</v>
      </c>
    </row>
    <row r="3665" spans="1:17" x14ac:dyDescent="0.3">
      <c r="A3665" t="s">
        <v>4729</v>
      </c>
      <c r="B3665" t="str">
        <f>"002959"</f>
        <v>002959</v>
      </c>
      <c r="C3665" t="s">
        <v>7676</v>
      </c>
      <c r="D3665" t="s">
        <v>5799</v>
      </c>
      <c r="F3665">
        <v>2068504136</v>
      </c>
      <c r="G3665">
        <v>1972838000</v>
      </c>
      <c r="H3665">
        <v>1664702128</v>
      </c>
      <c r="I3665">
        <v>459708499</v>
      </c>
      <c r="J3665">
        <v>274206641</v>
      </c>
      <c r="K3665">
        <v>120936669</v>
      </c>
      <c r="P3665">
        <v>1479</v>
      </c>
      <c r="Q3665" t="s">
        <v>7677</v>
      </c>
    </row>
    <row r="3666" spans="1:17" x14ac:dyDescent="0.3">
      <c r="A3666" t="s">
        <v>4729</v>
      </c>
      <c r="B3666" t="str">
        <f>"002960"</f>
        <v>002960</v>
      </c>
      <c r="C3666" t="s">
        <v>7678</v>
      </c>
      <c r="D3666" t="s">
        <v>1691</v>
      </c>
      <c r="F3666">
        <v>3543280833</v>
      </c>
      <c r="G3666">
        <v>3082013524</v>
      </c>
      <c r="H3666">
        <v>2743564900</v>
      </c>
      <c r="I3666">
        <v>1470148699</v>
      </c>
      <c r="J3666">
        <v>1125900447</v>
      </c>
      <c r="K3666">
        <v>802722092</v>
      </c>
      <c r="P3666">
        <v>389</v>
      </c>
      <c r="Q3666" t="s">
        <v>7679</v>
      </c>
    </row>
    <row r="3667" spans="1:17" x14ac:dyDescent="0.3">
      <c r="A3667" t="s">
        <v>4729</v>
      </c>
      <c r="B3667" t="str">
        <f>"002961"</f>
        <v>002961</v>
      </c>
      <c r="C3667" t="s">
        <v>7680</v>
      </c>
      <c r="D3667" t="s">
        <v>1847</v>
      </c>
      <c r="F3667">
        <v>2254670222</v>
      </c>
      <c r="G3667">
        <v>1872233535</v>
      </c>
      <c r="H3667">
        <v>1708347580</v>
      </c>
      <c r="I3667">
        <v>1371252712</v>
      </c>
      <c r="J3667">
        <v>1300322753</v>
      </c>
      <c r="K3667">
        <v>1142334410</v>
      </c>
      <c r="L3667">
        <v>930322361</v>
      </c>
      <c r="M3667">
        <v>671617240</v>
      </c>
      <c r="N3667">
        <v>610717626</v>
      </c>
      <c r="O3667">
        <v>536763554</v>
      </c>
      <c r="P3667">
        <v>121</v>
      </c>
      <c r="Q3667" t="s">
        <v>7681</v>
      </c>
    </row>
    <row r="3668" spans="1:17" x14ac:dyDescent="0.3">
      <c r="A3668" t="s">
        <v>4729</v>
      </c>
      <c r="B3668" t="str">
        <f>"002962"</f>
        <v>002962</v>
      </c>
      <c r="C3668" t="s">
        <v>7682</v>
      </c>
      <c r="D3668" t="s">
        <v>164</v>
      </c>
      <c r="F3668">
        <v>1776824901</v>
      </c>
      <c r="G3668">
        <v>1731926739</v>
      </c>
      <c r="H3668">
        <v>1632119529</v>
      </c>
      <c r="I3668">
        <v>849275648</v>
      </c>
      <c r="J3668">
        <v>711425748</v>
      </c>
      <c r="K3668">
        <v>245027059</v>
      </c>
      <c r="P3668">
        <v>137</v>
      </c>
      <c r="Q3668" t="s">
        <v>7683</v>
      </c>
    </row>
    <row r="3669" spans="1:17" x14ac:dyDescent="0.3">
      <c r="A3669" t="s">
        <v>4729</v>
      </c>
      <c r="B3669" t="str">
        <f>"002963"</f>
        <v>002963</v>
      </c>
      <c r="C3669" t="s">
        <v>7684</v>
      </c>
      <c r="D3669" t="s">
        <v>450</v>
      </c>
      <c r="F3669">
        <v>1665334463</v>
      </c>
      <c r="G3669">
        <v>1656555410</v>
      </c>
      <c r="H3669">
        <v>1640254337</v>
      </c>
      <c r="I3669">
        <v>623639666</v>
      </c>
      <c r="J3669">
        <v>452827963</v>
      </c>
      <c r="K3669">
        <v>267602359</v>
      </c>
      <c r="P3669">
        <v>75</v>
      </c>
      <c r="Q3669" t="s">
        <v>7685</v>
      </c>
    </row>
    <row r="3670" spans="1:17" x14ac:dyDescent="0.3">
      <c r="A3670" t="s">
        <v>4729</v>
      </c>
      <c r="B3670" t="str">
        <f>"002965"</f>
        <v>002965</v>
      </c>
      <c r="C3670" t="s">
        <v>7686</v>
      </c>
      <c r="D3670" t="s">
        <v>274</v>
      </c>
      <c r="F3670">
        <v>1758860402</v>
      </c>
      <c r="G3670">
        <v>1736836150</v>
      </c>
      <c r="H3670">
        <v>1622409175</v>
      </c>
      <c r="I3670">
        <v>779383607</v>
      </c>
      <c r="J3670">
        <v>638510898</v>
      </c>
      <c r="K3670">
        <v>533348553</v>
      </c>
      <c r="P3670">
        <v>400</v>
      </c>
      <c r="Q3670" t="s">
        <v>7687</v>
      </c>
    </row>
    <row r="3671" spans="1:17" x14ac:dyDescent="0.3">
      <c r="A3671" t="s">
        <v>4729</v>
      </c>
      <c r="B3671" t="str">
        <f>"002966"</f>
        <v>002966</v>
      </c>
      <c r="C3671" t="s">
        <v>7688</v>
      </c>
      <c r="D3671" t="s">
        <v>1842</v>
      </c>
      <c r="F3671">
        <v>32278986861</v>
      </c>
      <c r="G3671">
        <v>29730167963</v>
      </c>
      <c r="H3671">
        <v>27802330624</v>
      </c>
      <c r="I3671">
        <v>23562648894</v>
      </c>
      <c r="J3671">
        <v>21325610587</v>
      </c>
      <c r="K3671">
        <v>19955177258</v>
      </c>
      <c r="L3671">
        <v>18668253000</v>
      </c>
      <c r="M3671">
        <v>17117660000</v>
      </c>
      <c r="N3671">
        <v>15440868000</v>
      </c>
      <c r="O3671">
        <v>14759771859</v>
      </c>
      <c r="P3671">
        <v>365</v>
      </c>
      <c r="Q3671" t="s">
        <v>7689</v>
      </c>
    </row>
    <row r="3672" spans="1:17" x14ac:dyDescent="0.3">
      <c r="A3672" t="s">
        <v>4729</v>
      </c>
      <c r="B3672" t="str">
        <f>"002967"</f>
        <v>002967</v>
      </c>
      <c r="C3672" t="s">
        <v>7690</v>
      </c>
      <c r="D3672" t="s">
        <v>2510</v>
      </c>
      <c r="F3672">
        <v>3409858079</v>
      </c>
      <c r="G3672">
        <v>1715523184</v>
      </c>
      <c r="H3672">
        <v>1526437784</v>
      </c>
      <c r="I3672">
        <v>792113417</v>
      </c>
      <c r="J3672">
        <v>766228177</v>
      </c>
      <c r="K3672">
        <v>697840870</v>
      </c>
      <c r="P3672">
        <v>236</v>
      </c>
      <c r="Q3672" t="s">
        <v>7691</v>
      </c>
    </row>
    <row r="3673" spans="1:17" x14ac:dyDescent="0.3">
      <c r="A3673" t="s">
        <v>4729</v>
      </c>
      <c r="B3673" t="str">
        <f>"002968"</f>
        <v>002968</v>
      </c>
      <c r="C3673" t="s">
        <v>7692</v>
      </c>
      <c r="D3673" t="s">
        <v>2975</v>
      </c>
      <c r="F3673">
        <v>974077194</v>
      </c>
      <c r="G3673">
        <v>850302007</v>
      </c>
      <c r="H3673">
        <v>753526049</v>
      </c>
      <c r="I3673">
        <v>268125491</v>
      </c>
      <c r="J3673">
        <v>220409923</v>
      </c>
      <c r="K3673">
        <v>107783048</v>
      </c>
      <c r="P3673">
        <v>234</v>
      </c>
      <c r="Q3673" t="s">
        <v>7693</v>
      </c>
    </row>
    <row r="3674" spans="1:17" x14ac:dyDescent="0.3">
      <c r="A3674" t="s">
        <v>4729</v>
      </c>
      <c r="B3674" t="str">
        <f>"002969"</f>
        <v>002969</v>
      </c>
      <c r="C3674" t="s">
        <v>7694</v>
      </c>
      <c r="D3674" t="s">
        <v>2373</v>
      </c>
      <c r="F3674">
        <v>2260534030</v>
      </c>
      <c r="G3674">
        <v>2097398694</v>
      </c>
      <c r="H3674">
        <v>2079998092</v>
      </c>
      <c r="I3674">
        <v>1599866710</v>
      </c>
      <c r="J3674">
        <v>1427946386</v>
      </c>
      <c r="K3674">
        <v>1207189811</v>
      </c>
      <c r="P3674">
        <v>78</v>
      </c>
      <c r="Q3674" t="s">
        <v>7695</v>
      </c>
    </row>
    <row r="3675" spans="1:17" x14ac:dyDescent="0.3">
      <c r="A3675" t="s">
        <v>4729</v>
      </c>
      <c r="B3675" t="str">
        <f>"002970"</f>
        <v>002970</v>
      </c>
      <c r="C3675" t="s">
        <v>7696</v>
      </c>
      <c r="D3675" t="s">
        <v>236</v>
      </c>
      <c r="F3675">
        <v>1502368870</v>
      </c>
      <c r="G3675">
        <v>1547467132</v>
      </c>
      <c r="H3675">
        <v>1379380447</v>
      </c>
      <c r="I3675">
        <v>429659439</v>
      </c>
      <c r="J3675">
        <v>321524170</v>
      </c>
      <c r="K3675">
        <v>218491344</v>
      </c>
      <c r="P3675">
        <v>563</v>
      </c>
      <c r="Q3675" t="s">
        <v>7697</v>
      </c>
    </row>
    <row r="3676" spans="1:17" x14ac:dyDescent="0.3">
      <c r="A3676" t="s">
        <v>4729</v>
      </c>
      <c r="B3676" t="str">
        <f>"002971"</f>
        <v>002971</v>
      </c>
      <c r="C3676" t="s">
        <v>7698</v>
      </c>
      <c r="D3676" t="s">
        <v>386</v>
      </c>
      <c r="F3676">
        <v>1143760376</v>
      </c>
      <c r="G3676">
        <v>1088082851</v>
      </c>
      <c r="H3676">
        <v>611744885</v>
      </c>
      <c r="I3676">
        <v>527849695</v>
      </c>
      <c r="J3676">
        <v>453446084</v>
      </c>
      <c r="K3676">
        <v>439956769</v>
      </c>
      <c r="P3676">
        <v>70</v>
      </c>
      <c r="Q3676" t="s">
        <v>7699</v>
      </c>
    </row>
    <row r="3677" spans="1:17" x14ac:dyDescent="0.3">
      <c r="A3677" t="s">
        <v>4729</v>
      </c>
      <c r="B3677" t="str">
        <f>"002972"</f>
        <v>002972</v>
      </c>
      <c r="C3677" t="s">
        <v>7700</v>
      </c>
      <c r="D3677" t="s">
        <v>1012</v>
      </c>
      <c r="F3677">
        <v>1240649298</v>
      </c>
      <c r="G3677">
        <v>1146444761</v>
      </c>
      <c r="H3677">
        <v>1036445329</v>
      </c>
      <c r="I3677">
        <v>474919639</v>
      </c>
      <c r="J3677">
        <v>394913902</v>
      </c>
      <c r="K3677">
        <v>357732487</v>
      </c>
      <c r="P3677">
        <v>188</v>
      </c>
      <c r="Q3677" t="s">
        <v>7701</v>
      </c>
    </row>
    <row r="3678" spans="1:17" x14ac:dyDescent="0.3">
      <c r="A3678" t="s">
        <v>4729</v>
      </c>
      <c r="B3678" t="str">
        <f>"002973"</f>
        <v>002973</v>
      </c>
      <c r="C3678" t="s">
        <v>7702</v>
      </c>
      <c r="D3678" t="s">
        <v>499</v>
      </c>
      <c r="F3678">
        <v>1639353173</v>
      </c>
      <c r="G3678">
        <v>1419019197</v>
      </c>
      <c r="H3678">
        <v>1056005091</v>
      </c>
      <c r="I3678">
        <v>745198319</v>
      </c>
      <c r="J3678">
        <v>633814180</v>
      </c>
      <c r="K3678">
        <v>457723670</v>
      </c>
      <c r="P3678">
        <v>212</v>
      </c>
      <c r="Q3678" t="s">
        <v>7703</v>
      </c>
    </row>
    <row r="3679" spans="1:17" x14ac:dyDescent="0.3">
      <c r="A3679" t="s">
        <v>4729</v>
      </c>
      <c r="B3679" t="str">
        <f>"002975"</f>
        <v>002975</v>
      </c>
      <c r="C3679" t="s">
        <v>7704</v>
      </c>
      <c r="D3679" t="s">
        <v>2432</v>
      </c>
      <c r="F3679">
        <v>1495817851</v>
      </c>
      <c r="G3679">
        <v>1348894294</v>
      </c>
      <c r="H3679">
        <v>534302746</v>
      </c>
      <c r="I3679">
        <v>394877236</v>
      </c>
      <c r="J3679">
        <v>247581993</v>
      </c>
      <c r="K3679">
        <v>232997313</v>
      </c>
      <c r="P3679">
        <v>293</v>
      </c>
      <c r="Q3679" t="s">
        <v>7705</v>
      </c>
    </row>
    <row r="3680" spans="1:17" x14ac:dyDescent="0.3">
      <c r="A3680" t="s">
        <v>4729</v>
      </c>
      <c r="B3680" t="str">
        <f>"002976"</f>
        <v>002976</v>
      </c>
      <c r="C3680" t="s">
        <v>7706</v>
      </c>
      <c r="D3680" t="s">
        <v>313</v>
      </c>
      <c r="F3680">
        <v>784727110</v>
      </c>
      <c r="G3680">
        <v>755664663</v>
      </c>
      <c r="H3680">
        <v>396530155</v>
      </c>
      <c r="I3680">
        <v>333123995</v>
      </c>
      <c r="J3680">
        <v>247345400</v>
      </c>
      <c r="K3680">
        <v>202742570</v>
      </c>
      <c r="P3680">
        <v>104</v>
      </c>
      <c r="Q3680" t="s">
        <v>7707</v>
      </c>
    </row>
    <row r="3681" spans="1:17" x14ac:dyDescent="0.3">
      <c r="A3681" t="s">
        <v>4729</v>
      </c>
      <c r="B3681" t="str">
        <f>"002977"</f>
        <v>002977</v>
      </c>
      <c r="C3681" t="s">
        <v>7708</v>
      </c>
      <c r="D3681" t="s">
        <v>1136</v>
      </c>
      <c r="F3681">
        <v>1014015276</v>
      </c>
      <c r="G3681">
        <v>924113833</v>
      </c>
      <c r="H3681">
        <v>376044282</v>
      </c>
      <c r="I3681">
        <v>279967804</v>
      </c>
      <c r="J3681">
        <v>201852807</v>
      </c>
      <c r="P3681">
        <v>126</v>
      </c>
      <c r="Q3681" t="s">
        <v>7709</v>
      </c>
    </row>
    <row r="3682" spans="1:17" x14ac:dyDescent="0.3">
      <c r="A3682" t="s">
        <v>4729</v>
      </c>
      <c r="B3682" t="str">
        <f>"002978"</f>
        <v>002978</v>
      </c>
      <c r="C3682" t="s">
        <v>7710</v>
      </c>
      <c r="D3682" t="s">
        <v>636</v>
      </c>
      <c r="F3682">
        <v>4807829997</v>
      </c>
      <c r="G3682">
        <v>4038706876</v>
      </c>
      <c r="H3682">
        <v>2347530927</v>
      </c>
      <c r="I3682">
        <v>1839142704</v>
      </c>
      <c r="J3682">
        <v>1635357475</v>
      </c>
      <c r="P3682">
        <v>229</v>
      </c>
      <c r="Q3682" t="s">
        <v>7711</v>
      </c>
    </row>
    <row r="3683" spans="1:17" x14ac:dyDescent="0.3">
      <c r="A3683" t="s">
        <v>4729</v>
      </c>
      <c r="B3683" t="str">
        <f>"002979"</f>
        <v>002979</v>
      </c>
      <c r="C3683" t="s">
        <v>7712</v>
      </c>
      <c r="D3683" t="s">
        <v>2938</v>
      </c>
      <c r="F3683">
        <v>1066992087</v>
      </c>
      <c r="G3683">
        <v>1088417810</v>
      </c>
      <c r="H3683">
        <v>600548079</v>
      </c>
      <c r="I3683">
        <v>470899826</v>
      </c>
      <c r="J3683">
        <v>359857941</v>
      </c>
      <c r="P3683">
        <v>196</v>
      </c>
      <c r="Q3683" t="s">
        <v>7713</v>
      </c>
    </row>
    <row r="3684" spans="1:17" x14ac:dyDescent="0.3">
      <c r="A3684" t="s">
        <v>4729</v>
      </c>
      <c r="B3684" t="str">
        <f>"002980"</f>
        <v>002980</v>
      </c>
      <c r="C3684" t="s">
        <v>7714</v>
      </c>
      <c r="D3684" t="s">
        <v>2180</v>
      </c>
      <c r="F3684">
        <v>1062074050</v>
      </c>
      <c r="G3684">
        <v>1057765071</v>
      </c>
      <c r="H3684">
        <v>392837530</v>
      </c>
      <c r="I3684">
        <v>300270716</v>
      </c>
      <c r="J3684">
        <v>270559683</v>
      </c>
      <c r="P3684">
        <v>154</v>
      </c>
      <c r="Q3684" t="s">
        <v>7715</v>
      </c>
    </row>
    <row r="3685" spans="1:17" x14ac:dyDescent="0.3">
      <c r="A3685" t="s">
        <v>4729</v>
      </c>
      <c r="B3685" t="str">
        <f>"002981"</f>
        <v>002981</v>
      </c>
      <c r="C3685" t="s">
        <v>7716</v>
      </c>
      <c r="D3685" t="s">
        <v>313</v>
      </c>
      <c r="F3685">
        <v>789192764</v>
      </c>
      <c r="G3685">
        <v>835675870</v>
      </c>
      <c r="H3685">
        <v>443654827</v>
      </c>
      <c r="I3685">
        <v>374742984</v>
      </c>
      <c r="J3685">
        <v>315799760</v>
      </c>
      <c r="K3685">
        <v>239265090</v>
      </c>
      <c r="P3685">
        <v>73</v>
      </c>
      <c r="Q3685" t="s">
        <v>7717</v>
      </c>
    </row>
    <row r="3686" spans="1:17" x14ac:dyDescent="0.3">
      <c r="A3686" t="s">
        <v>4729</v>
      </c>
      <c r="B3686" t="str">
        <f>"002982"</f>
        <v>002982</v>
      </c>
      <c r="C3686" t="s">
        <v>7718</v>
      </c>
      <c r="D3686" t="s">
        <v>6260</v>
      </c>
      <c r="F3686">
        <v>1608470721</v>
      </c>
      <c r="G3686">
        <v>1604318565</v>
      </c>
      <c r="H3686">
        <v>804614226</v>
      </c>
      <c r="I3686">
        <v>577509906</v>
      </c>
      <c r="J3686">
        <v>463439199</v>
      </c>
      <c r="P3686">
        <v>131</v>
      </c>
      <c r="Q3686" t="s">
        <v>7719</v>
      </c>
    </row>
    <row r="3687" spans="1:17" x14ac:dyDescent="0.3">
      <c r="A3687" t="s">
        <v>4729</v>
      </c>
      <c r="B3687" t="str">
        <f>"002983"</f>
        <v>002983</v>
      </c>
      <c r="C3687" t="s">
        <v>7720</v>
      </c>
      <c r="D3687" t="s">
        <v>803</v>
      </c>
      <c r="F3687">
        <v>1068537270</v>
      </c>
      <c r="G3687">
        <v>1028366014</v>
      </c>
      <c r="H3687">
        <v>515076991</v>
      </c>
      <c r="I3687">
        <v>421564328</v>
      </c>
      <c r="J3687">
        <v>348066705</v>
      </c>
      <c r="P3687">
        <v>109</v>
      </c>
      <c r="Q3687" t="s">
        <v>7721</v>
      </c>
    </row>
    <row r="3688" spans="1:17" x14ac:dyDescent="0.3">
      <c r="A3688" t="s">
        <v>4729</v>
      </c>
      <c r="B3688" t="str">
        <f>"002984"</f>
        <v>002984</v>
      </c>
      <c r="C3688" t="s">
        <v>7722</v>
      </c>
      <c r="D3688" t="s">
        <v>422</v>
      </c>
      <c r="F3688">
        <v>6249990129</v>
      </c>
      <c r="G3688">
        <v>5549847856</v>
      </c>
      <c r="H3688">
        <v>3610167469</v>
      </c>
      <c r="I3688">
        <v>2820874890</v>
      </c>
      <c r="J3688">
        <v>2237377629</v>
      </c>
      <c r="P3688">
        <v>203</v>
      </c>
      <c r="Q3688" t="s">
        <v>7723</v>
      </c>
    </row>
    <row r="3689" spans="1:17" x14ac:dyDescent="0.3">
      <c r="A3689" t="s">
        <v>4729</v>
      </c>
      <c r="B3689" t="str">
        <f>"002985"</f>
        <v>002985</v>
      </c>
      <c r="C3689" t="s">
        <v>7724</v>
      </c>
      <c r="D3689" t="s">
        <v>98</v>
      </c>
      <c r="F3689">
        <v>2451765544</v>
      </c>
      <c r="G3689">
        <v>2068550937</v>
      </c>
      <c r="H3689">
        <v>1125138613</v>
      </c>
      <c r="I3689">
        <v>910298432</v>
      </c>
      <c r="J3689">
        <v>757879899</v>
      </c>
      <c r="P3689">
        <v>548</v>
      </c>
      <c r="Q3689" t="s">
        <v>7725</v>
      </c>
    </row>
    <row r="3690" spans="1:17" x14ac:dyDescent="0.3">
      <c r="A3690" t="s">
        <v>4729</v>
      </c>
      <c r="B3690" t="str">
        <f>"002986"</f>
        <v>002986</v>
      </c>
      <c r="C3690" t="s">
        <v>7726</v>
      </c>
      <c r="D3690" t="s">
        <v>1617</v>
      </c>
      <c r="F3690">
        <v>2035505185</v>
      </c>
      <c r="G3690">
        <v>1908201458</v>
      </c>
      <c r="H3690">
        <v>988792454</v>
      </c>
      <c r="I3690">
        <v>745961889</v>
      </c>
      <c r="J3690">
        <v>568777795</v>
      </c>
      <c r="P3690">
        <v>58</v>
      </c>
      <c r="Q3690" t="s">
        <v>7727</v>
      </c>
    </row>
    <row r="3691" spans="1:17" x14ac:dyDescent="0.3">
      <c r="A3691" t="s">
        <v>4729</v>
      </c>
      <c r="B3691" t="str">
        <f>"002987"</f>
        <v>002987</v>
      </c>
      <c r="C3691" t="s">
        <v>7728</v>
      </c>
      <c r="D3691" t="s">
        <v>945</v>
      </c>
      <c r="F3691">
        <v>1970767998</v>
      </c>
      <c r="G3691">
        <v>1772208906</v>
      </c>
      <c r="H3691">
        <v>630389978</v>
      </c>
      <c r="I3691">
        <v>460979503</v>
      </c>
      <c r="J3691">
        <v>384749971</v>
      </c>
      <c r="P3691">
        <v>127</v>
      </c>
      <c r="Q3691" t="s">
        <v>7729</v>
      </c>
    </row>
    <row r="3692" spans="1:17" x14ac:dyDescent="0.3">
      <c r="A3692" t="s">
        <v>4729</v>
      </c>
      <c r="B3692" t="str">
        <f>"002988"</f>
        <v>002988</v>
      </c>
      <c r="C3692" t="s">
        <v>7730</v>
      </c>
      <c r="D3692" t="s">
        <v>504</v>
      </c>
      <c r="F3692">
        <v>2228131309</v>
      </c>
      <c r="G3692">
        <v>2121022685</v>
      </c>
      <c r="H3692">
        <v>1417855506</v>
      </c>
      <c r="I3692">
        <v>1249694041</v>
      </c>
      <c r="J3692">
        <v>1154158529</v>
      </c>
      <c r="P3692">
        <v>61</v>
      </c>
      <c r="Q3692" t="s">
        <v>7731</v>
      </c>
    </row>
    <row r="3693" spans="1:17" x14ac:dyDescent="0.3">
      <c r="A3693" t="s">
        <v>4729</v>
      </c>
      <c r="B3693" t="str">
        <f>"002989"</f>
        <v>002989</v>
      </c>
      <c r="C3693" t="s">
        <v>7732</v>
      </c>
      <c r="D3693" t="s">
        <v>450</v>
      </c>
      <c r="F3693">
        <v>1672972076</v>
      </c>
      <c r="G3693">
        <v>1619619514</v>
      </c>
      <c r="H3693">
        <v>720454603</v>
      </c>
      <c r="I3693">
        <v>549750387</v>
      </c>
      <c r="J3693">
        <v>484431689</v>
      </c>
      <c r="P3693">
        <v>137</v>
      </c>
      <c r="Q3693" t="s">
        <v>7733</v>
      </c>
    </row>
    <row r="3694" spans="1:17" x14ac:dyDescent="0.3">
      <c r="A3694" t="s">
        <v>4729</v>
      </c>
      <c r="B3694" t="str">
        <f>"002990"</f>
        <v>002990</v>
      </c>
      <c r="C3694" t="s">
        <v>7734</v>
      </c>
      <c r="D3694" t="s">
        <v>236</v>
      </c>
      <c r="F3694">
        <v>2024314811</v>
      </c>
      <c r="G3694">
        <v>1886611305</v>
      </c>
      <c r="H3694">
        <v>625323878</v>
      </c>
      <c r="I3694">
        <v>412219285</v>
      </c>
      <c r="J3694">
        <v>270456469</v>
      </c>
      <c r="P3694">
        <v>109</v>
      </c>
      <c r="Q3694" t="s">
        <v>7735</v>
      </c>
    </row>
    <row r="3695" spans="1:17" x14ac:dyDescent="0.3">
      <c r="A3695" t="s">
        <v>4729</v>
      </c>
      <c r="B3695" t="str">
        <f>"002991"</f>
        <v>002991</v>
      </c>
      <c r="C3695" t="s">
        <v>7736</v>
      </c>
      <c r="D3695" t="s">
        <v>3194</v>
      </c>
      <c r="F3695">
        <v>1444671324</v>
      </c>
      <c r="G3695">
        <v>1420928773</v>
      </c>
      <c r="H3695">
        <v>504359122</v>
      </c>
      <c r="I3695">
        <v>406363080</v>
      </c>
      <c r="J3695">
        <v>346483671</v>
      </c>
      <c r="P3695">
        <v>211</v>
      </c>
      <c r="Q3695" t="s">
        <v>7737</v>
      </c>
    </row>
    <row r="3696" spans="1:17" x14ac:dyDescent="0.3">
      <c r="A3696" t="s">
        <v>4729</v>
      </c>
      <c r="B3696" t="str">
        <f>"002992"</f>
        <v>002992</v>
      </c>
      <c r="C3696" t="s">
        <v>7738</v>
      </c>
      <c r="D3696" t="s">
        <v>1117</v>
      </c>
      <c r="F3696">
        <v>1112501526</v>
      </c>
      <c r="G3696">
        <v>1517746876</v>
      </c>
      <c r="H3696">
        <v>779926374</v>
      </c>
      <c r="I3696">
        <v>670208604</v>
      </c>
      <c r="J3696">
        <v>582522447</v>
      </c>
      <c r="P3696">
        <v>51</v>
      </c>
      <c r="Q3696" t="s">
        <v>7739</v>
      </c>
    </row>
    <row r="3697" spans="1:17" x14ac:dyDescent="0.3">
      <c r="A3697" t="s">
        <v>4729</v>
      </c>
      <c r="B3697" t="str">
        <f>"002993"</f>
        <v>002993</v>
      </c>
      <c r="C3697" t="s">
        <v>7740</v>
      </c>
      <c r="D3697" t="s">
        <v>313</v>
      </c>
      <c r="F3697">
        <v>2497510695</v>
      </c>
      <c r="G3697">
        <v>2216171185</v>
      </c>
      <c r="H3697">
        <v>784408551</v>
      </c>
      <c r="I3697">
        <v>560667879</v>
      </c>
      <c r="J3697">
        <v>447281074</v>
      </c>
      <c r="P3697">
        <v>145</v>
      </c>
      <c r="Q3697" t="s">
        <v>7741</v>
      </c>
    </row>
    <row r="3698" spans="1:17" x14ac:dyDescent="0.3">
      <c r="A3698" t="s">
        <v>4729</v>
      </c>
      <c r="B3698" t="str">
        <f>"002995"</f>
        <v>002995</v>
      </c>
      <c r="C3698" t="s">
        <v>7742</v>
      </c>
      <c r="D3698" t="s">
        <v>207</v>
      </c>
      <c r="F3698">
        <v>1060785132</v>
      </c>
      <c r="G3698">
        <v>1035955712</v>
      </c>
      <c r="H3698">
        <v>437875469</v>
      </c>
      <c r="I3698">
        <v>336894212</v>
      </c>
      <c r="J3698">
        <v>155286780</v>
      </c>
      <c r="P3698">
        <v>74</v>
      </c>
      <c r="Q3698" t="s">
        <v>7743</v>
      </c>
    </row>
    <row r="3699" spans="1:17" x14ac:dyDescent="0.3">
      <c r="A3699" t="s">
        <v>4729</v>
      </c>
      <c r="B3699" t="str">
        <f>"002996"</f>
        <v>002996</v>
      </c>
      <c r="C3699" t="s">
        <v>7744</v>
      </c>
      <c r="D3699" t="s">
        <v>504</v>
      </c>
      <c r="F3699">
        <v>2189403756</v>
      </c>
      <c r="G3699">
        <v>1879751715</v>
      </c>
      <c r="H3699">
        <v>1272093085</v>
      </c>
      <c r="I3699">
        <v>1127419177</v>
      </c>
      <c r="J3699">
        <v>893415760</v>
      </c>
      <c r="P3699">
        <v>73</v>
      </c>
      <c r="Q3699" t="s">
        <v>7745</v>
      </c>
    </row>
    <row r="3700" spans="1:17" x14ac:dyDescent="0.3">
      <c r="A3700" t="s">
        <v>4729</v>
      </c>
      <c r="B3700" t="str">
        <f>"002997"</f>
        <v>002997</v>
      </c>
      <c r="C3700" t="s">
        <v>7746</v>
      </c>
      <c r="D3700" t="s">
        <v>985</v>
      </c>
      <c r="F3700">
        <v>1157323676</v>
      </c>
      <c r="G3700">
        <v>1078917719</v>
      </c>
      <c r="H3700">
        <v>519303717</v>
      </c>
      <c r="I3700">
        <v>421821901</v>
      </c>
      <c r="J3700">
        <v>318585867</v>
      </c>
      <c r="P3700">
        <v>85</v>
      </c>
      <c r="Q3700" t="s">
        <v>7747</v>
      </c>
    </row>
    <row r="3701" spans="1:17" x14ac:dyDescent="0.3">
      <c r="A3701" t="s">
        <v>4729</v>
      </c>
      <c r="B3701" t="str">
        <f>"002998"</f>
        <v>002998</v>
      </c>
      <c r="C3701" t="s">
        <v>7748</v>
      </c>
      <c r="D3701" t="s">
        <v>2731</v>
      </c>
      <c r="F3701">
        <v>1472190836</v>
      </c>
      <c r="G3701">
        <v>1403086505</v>
      </c>
      <c r="H3701">
        <v>836375007</v>
      </c>
      <c r="I3701">
        <v>748916773</v>
      </c>
      <c r="J3701">
        <v>632355492</v>
      </c>
      <c r="K3701">
        <v>551373463</v>
      </c>
      <c r="P3701">
        <v>36</v>
      </c>
      <c r="Q3701" t="s">
        <v>7749</v>
      </c>
    </row>
    <row r="3702" spans="1:17" x14ac:dyDescent="0.3">
      <c r="A3702" t="s">
        <v>4729</v>
      </c>
      <c r="B3702" t="str">
        <f>"002999"</f>
        <v>002999</v>
      </c>
      <c r="C3702" t="s">
        <v>7750</v>
      </c>
      <c r="D3702" t="s">
        <v>5562</v>
      </c>
      <c r="F3702">
        <v>1090944549</v>
      </c>
      <c r="G3702">
        <v>1029687724</v>
      </c>
      <c r="H3702">
        <v>656719067</v>
      </c>
      <c r="I3702">
        <v>633177648</v>
      </c>
      <c r="J3702">
        <v>596319487</v>
      </c>
      <c r="P3702">
        <v>45</v>
      </c>
      <c r="Q3702" t="s">
        <v>7751</v>
      </c>
    </row>
    <row r="3703" spans="1:17" x14ac:dyDescent="0.3">
      <c r="A3703" t="s">
        <v>4729</v>
      </c>
      <c r="B3703" t="str">
        <f>"003000"</f>
        <v>003000</v>
      </c>
      <c r="C3703" t="s">
        <v>7752</v>
      </c>
      <c r="D3703" t="s">
        <v>3194</v>
      </c>
      <c r="F3703">
        <v>883136874</v>
      </c>
      <c r="G3703">
        <v>868114789</v>
      </c>
      <c r="H3703">
        <v>644557572</v>
      </c>
      <c r="I3703">
        <v>580188916</v>
      </c>
      <c r="J3703">
        <v>507516975</v>
      </c>
      <c r="P3703">
        <v>84</v>
      </c>
      <c r="Q3703" t="s">
        <v>7753</v>
      </c>
    </row>
    <row r="3704" spans="1:17" x14ac:dyDescent="0.3">
      <c r="A3704" t="s">
        <v>4729</v>
      </c>
      <c r="B3704" t="str">
        <f>"003001"</f>
        <v>003001</v>
      </c>
      <c r="C3704" t="s">
        <v>7754</v>
      </c>
      <c r="D3704" t="s">
        <v>1992</v>
      </c>
      <c r="F3704">
        <v>1359166257</v>
      </c>
      <c r="G3704">
        <v>1275209959</v>
      </c>
      <c r="H3704">
        <v>509012642</v>
      </c>
      <c r="I3704">
        <v>389164571</v>
      </c>
      <c r="J3704">
        <v>251618872</v>
      </c>
      <c r="K3704">
        <v>122872634</v>
      </c>
      <c r="P3704">
        <v>95</v>
      </c>
      <c r="Q3704" t="s">
        <v>7755</v>
      </c>
    </row>
    <row r="3705" spans="1:17" x14ac:dyDescent="0.3">
      <c r="A3705" t="s">
        <v>4729</v>
      </c>
      <c r="B3705" t="str">
        <f>"003002"</f>
        <v>003002</v>
      </c>
      <c r="C3705" t="s">
        <v>7756</v>
      </c>
      <c r="D3705" t="s">
        <v>2736</v>
      </c>
      <c r="F3705">
        <v>1035371592</v>
      </c>
      <c r="G3705">
        <v>1042203637</v>
      </c>
      <c r="H3705">
        <v>613087692</v>
      </c>
      <c r="I3705">
        <v>545387095</v>
      </c>
      <c r="J3705">
        <v>486842351</v>
      </c>
      <c r="K3705">
        <v>437370706</v>
      </c>
      <c r="P3705">
        <v>39</v>
      </c>
      <c r="Q3705" t="s">
        <v>7757</v>
      </c>
    </row>
    <row r="3706" spans="1:17" x14ac:dyDescent="0.3">
      <c r="A3706" t="s">
        <v>4729</v>
      </c>
      <c r="B3706" t="str">
        <f>"003003"</f>
        <v>003003</v>
      </c>
      <c r="C3706" t="s">
        <v>7758</v>
      </c>
      <c r="D3706" t="s">
        <v>2448</v>
      </c>
      <c r="F3706">
        <v>1220411147</v>
      </c>
      <c r="G3706">
        <v>1222224560</v>
      </c>
      <c r="H3706">
        <v>744976276</v>
      </c>
      <c r="I3706">
        <v>661085911</v>
      </c>
      <c r="J3706">
        <v>485679733</v>
      </c>
      <c r="K3706">
        <v>425809189</v>
      </c>
      <c r="P3706">
        <v>39</v>
      </c>
      <c r="Q3706" t="s">
        <v>7759</v>
      </c>
    </row>
    <row r="3707" spans="1:17" x14ac:dyDescent="0.3">
      <c r="A3707" t="s">
        <v>4729</v>
      </c>
      <c r="B3707" t="str">
        <f>"003004"</f>
        <v>003004</v>
      </c>
      <c r="C3707" t="s">
        <v>7760</v>
      </c>
      <c r="D3707" t="s">
        <v>2980</v>
      </c>
      <c r="F3707">
        <v>710822249</v>
      </c>
      <c r="G3707">
        <v>699979936</v>
      </c>
      <c r="H3707">
        <v>273951884</v>
      </c>
      <c r="I3707">
        <v>219654199</v>
      </c>
      <c r="J3707">
        <v>165547284</v>
      </c>
      <c r="K3707">
        <v>103975098</v>
      </c>
      <c r="P3707">
        <v>37</v>
      </c>
      <c r="Q3707" t="s">
        <v>7761</v>
      </c>
    </row>
    <row r="3708" spans="1:17" x14ac:dyDescent="0.3">
      <c r="A3708" t="s">
        <v>4729</v>
      </c>
      <c r="B3708" t="str">
        <f>"003005"</f>
        <v>003005</v>
      </c>
      <c r="C3708" t="s">
        <v>7762</v>
      </c>
      <c r="D3708" t="s">
        <v>316</v>
      </c>
      <c r="F3708">
        <v>1461207505</v>
      </c>
      <c r="G3708">
        <v>1373948088</v>
      </c>
      <c r="H3708">
        <v>458097749</v>
      </c>
      <c r="I3708">
        <v>308937485</v>
      </c>
      <c r="J3708">
        <v>219653322</v>
      </c>
      <c r="K3708">
        <v>126199654</v>
      </c>
      <c r="P3708">
        <v>68</v>
      </c>
      <c r="Q3708" t="s">
        <v>7763</v>
      </c>
    </row>
    <row r="3709" spans="1:17" x14ac:dyDescent="0.3">
      <c r="A3709" t="s">
        <v>4729</v>
      </c>
      <c r="B3709" t="str">
        <f>"003006"</f>
        <v>003006</v>
      </c>
      <c r="C3709" t="s">
        <v>7764</v>
      </c>
      <c r="D3709" t="s">
        <v>2751</v>
      </c>
      <c r="F3709">
        <v>1213297782</v>
      </c>
      <c r="G3709">
        <v>1124506050</v>
      </c>
      <c r="H3709">
        <v>700594209</v>
      </c>
      <c r="I3709">
        <v>616715566</v>
      </c>
      <c r="J3709">
        <v>596664579</v>
      </c>
      <c r="K3709">
        <v>531083700</v>
      </c>
      <c r="P3709">
        <v>172</v>
      </c>
      <c r="Q3709" t="s">
        <v>7765</v>
      </c>
    </row>
    <row r="3710" spans="1:17" x14ac:dyDescent="0.3">
      <c r="A3710" t="s">
        <v>4729</v>
      </c>
      <c r="B3710" t="str">
        <f>"003007"</f>
        <v>003007</v>
      </c>
      <c r="C3710" t="s">
        <v>7766</v>
      </c>
      <c r="D3710" t="s">
        <v>945</v>
      </c>
      <c r="F3710">
        <v>811688283</v>
      </c>
      <c r="G3710">
        <v>916237816</v>
      </c>
      <c r="H3710">
        <v>442117926</v>
      </c>
      <c r="I3710">
        <v>386908744</v>
      </c>
      <c r="J3710">
        <v>346834954</v>
      </c>
      <c r="K3710">
        <v>297946947</v>
      </c>
      <c r="P3710">
        <v>38</v>
      </c>
      <c r="Q3710" t="s">
        <v>7767</v>
      </c>
    </row>
    <row r="3711" spans="1:17" x14ac:dyDescent="0.3">
      <c r="A3711" t="s">
        <v>4729</v>
      </c>
      <c r="B3711" t="str">
        <f>"003008"</f>
        <v>003008</v>
      </c>
      <c r="C3711" t="s">
        <v>7768</v>
      </c>
      <c r="D3711" t="s">
        <v>2510</v>
      </c>
      <c r="F3711">
        <v>1020258721</v>
      </c>
      <c r="G3711">
        <v>1004006919</v>
      </c>
      <c r="H3711">
        <v>374074888</v>
      </c>
      <c r="I3711">
        <v>295486808</v>
      </c>
      <c r="J3711">
        <v>214642118</v>
      </c>
      <c r="K3711">
        <v>142308595</v>
      </c>
      <c r="P3711">
        <v>68</v>
      </c>
      <c r="Q3711" t="s">
        <v>7769</v>
      </c>
    </row>
    <row r="3712" spans="1:17" x14ac:dyDescent="0.3">
      <c r="A3712" t="s">
        <v>4729</v>
      </c>
      <c r="B3712" t="str">
        <f>"003009"</f>
        <v>003009</v>
      </c>
      <c r="C3712" t="s">
        <v>7770</v>
      </c>
      <c r="D3712" t="s">
        <v>284</v>
      </c>
      <c r="F3712">
        <v>1347885887</v>
      </c>
      <c r="G3712">
        <v>1233737878</v>
      </c>
      <c r="H3712">
        <v>698568332</v>
      </c>
      <c r="I3712">
        <v>604493386</v>
      </c>
      <c r="J3712">
        <v>530829645</v>
      </c>
      <c r="K3712">
        <v>421864324</v>
      </c>
      <c r="P3712">
        <v>105</v>
      </c>
      <c r="Q3712" t="s">
        <v>7771</v>
      </c>
    </row>
    <row r="3713" spans="1:17" x14ac:dyDescent="0.3">
      <c r="A3713" t="s">
        <v>4729</v>
      </c>
      <c r="B3713" t="str">
        <f>"003010"</f>
        <v>003010</v>
      </c>
      <c r="C3713" t="s">
        <v>7772</v>
      </c>
      <c r="D3713" t="s">
        <v>3617</v>
      </c>
      <c r="F3713">
        <v>1067827640</v>
      </c>
      <c r="G3713">
        <v>1049703262</v>
      </c>
      <c r="H3713">
        <v>543737528</v>
      </c>
      <c r="I3713">
        <v>457356687</v>
      </c>
      <c r="J3713">
        <v>290056246</v>
      </c>
      <c r="K3713">
        <v>158528400</v>
      </c>
      <c r="P3713">
        <v>58</v>
      </c>
      <c r="Q3713" t="s">
        <v>7773</v>
      </c>
    </row>
    <row r="3714" spans="1:17" x14ac:dyDescent="0.3">
      <c r="A3714" t="s">
        <v>4729</v>
      </c>
      <c r="B3714" t="str">
        <f>"003011"</f>
        <v>003011</v>
      </c>
      <c r="C3714" t="s">
        <v>7774</v>
      </c>
      <c r="D3714" t="s">
        <v>178</v>
      </c>
      <c r="F3714">
        <v>1272779541</v>
      </c>
      <c r="G3714">
        <v>1210486241</v>
      </c>
      <c r="H3714">
        <v>417959501</v>
      </c>
      <c r="I3714">
        <v>290096050</v>
      </c>
      <c r="J3714">
        <v>94921621</v>
      </c>
      <c r="K3714">
        <v>40965753</v>
      </c>
      <c r="P3714">
        <v>89</v>
      </c>
      <c r="Q3714" t="s">
        <v>7775</v>
      </c>
    </row>
    <row r="3715" spans="1:17" x14ac:dyDescent="0.3">
      <c r="A3715" t="s">
        <v>4729</v>
      </c>
      <c r="B3715" t="str">
        <f>"003012"</f>
        <v>003012</v>
      </c>
      <c r="C3715" t="s">
        <v>7776</v>
      </c>
      <c r="D3715" t="s">
        <v>178</v>
      </c>
      <c r="F3715">
        <v>7313098599</v>
      </c>
      <c r="G3715">
        <v>7502680279</v>
      </c>
      <c r="H3715">
        <v>5170047526</v>
      </c>
      <c r="I3715">
        <v>4375694999</v>
      </c>
      <c r="J3715">
        <v>3771126733</v>
      </c>
      <c r="K3715">
        <v>2553820401</v>
      </c>
      <c r="P3715">
        <v>120</v>
      </c>
      <c r="Q3715" t="s">
        <v>7777</v>
      </c>
    </row>
    <row r="3716" spans="1:17" x14ac:dyDescent="0.3">
      <c r="A3716" t="s">
        <v>4729</v>
      </c>
      <c r="B3716" t="str">
        <f>"003013"</f>
        <v>003013</v>
      </c>
      <c r="C3716" t="s">
        <v>7778</v>
      </c>
      <c r="D3716" t="s">
        <v>1272</v>
      </c>
      <c r="F3716">
        <v>1920738964</v>
      </c>
      <c r="G3716">
        <v>1827901951</v>
      </c>
      <c r="H3716">
        <v>1089841847</v>
      </c>
      <c r="I3716">
        <v>941850316</v>
      </c>
      <c r="J3716">
        <v>547693477</v>
      </c>
      <c r="K3716">
        <v>567927027</v>
      </c>
      <c r="P3716">
        <v>101</v>
      </c>
      <c r="Q3716" t="s">
        <v>7779</v>
      </c>
    </row>
    <row r="3717" spans="1:17" x14ac:dyDescent="0.3">
      <c r="A3717" t="s">
        <v>4729</v>
      </c>
      <c r="B3717" t="str">
        <f>"003015"</f>
        <v>003015</v>
      </c>
      <c r="C3717" t="s">
        <v>7780</v>
      </c>
      <c r="D3717" t="s">
        <v>164</v>
      </c>
      <c r="F3717">
        <v>1118648837</v>
      </c>
      <c r="G3717">
        <v>1127388339</v>
      </c>
      <c r="H3717">
        <v>614563373</v>
      </c>
      <c r="I3717">
        <v>529664160</v>
      </c>
      <c r="J3717">
        <v>373130678</v>
      </c>
      <c r="K3717">
        <v>292514332</v>
      </c>
      <c r="P3717">
        <v>46</v>
      </c>
      <c r="Q3717" t="s">
        <v>7781</v>
      </c>
    </row>
    <row r="3718" spans="1:17" x14ac:dyDescent="0.3">
      <c r="A3718" t="s">
        <v>4729</v>
      </c>
      <c r="B3718" t="str">
        <f>"003016"</f>
        <v>003016</v>
      </c>
      <c r="C3718" t="s">
        <v>7782</v>
      </c>
      <c r="D3718" t="s">
        <v>255</v>
      </c>
      <c r="F3718">
        <v>3044487596</v>
      </c>
      <c r="G3718">
        <v>2919811499</v>
      </c>
      <c r="H3718">
        <v>1971000894</v>
      </c>
      <c r="I3718">
        <v>1821992073</v>
      </c>
      <c r="J3718">
        <v>1771980885</v>
      </c>
      <c r="K3718">
        <v>1745017199</v>
      </c>
      <c r="P3718">
        <v>58</v>
      </c>
      <c r="Q3718" t="s">
        <v>7783</v>
      </c>
    </row>
    <row r="3719" spans="1:17" x14ac:dyDescent="0.3">
      <c r="A3719" t="s">
        <v>4729</v>
      </c>
      <c r="B3719" t="str">
        <f>"003017"</f>
        <v>003017</v>
      </c>
      <c r="C3719" t="s">
        <v>7784</v>
      </c>
      <c r="D3719" t="s">
        <v>736</v>
      </c>
      <c r="F3719">
        <v>990709384</v>
      </c>
      <c r="G3719">
        <v>958130258</v>
      </c>
      <c r="H3719">
        <v>498086400</v>
      </c>
      <c r="I3719">
        <v>440616585</v>
      </c>
      <c r="J3719">
        <v>337713830</v>
      </c>
      <c r="K3719">
        <v>229238177</v>
      </c>
      <c r="P3719">
        <v>39</v>
      </c>
      <c r="Q3719" t="s">
        <v>7785</v>
      </c>
    </row>
    <row r="3720" spans="1:17" x14ac:dyDescent="0.3">
      <c r="A3720" t="s">
        <v>4729</v>
      </c>
      <c r="B3720" t="str">
        <f>"003018"</f>
        <v>003018</v>
      </c>
      <c r="C3720" t="s">
        <v>7786</v>
      </c>
      <c r="D3720" t="s">
        <v>485</v>
      </c>
      <c r="F3720">
        <v>1311973236</v>
      </c>
      <c r="G3720">
        <v>1289446342</v>
      </c>
      <c r="H3720">
        <v>710920068</v>
      </c>
      <c r="I3720">
        <v>607152175</v>
      </c>
      <c r="J3720">
        <v>462293051</v>
      </c>
      <c r="K3720">
        <v>311888059</v>
      </c>
      <c r="P3720">
        <v>38</v>
      </c>
      <c r="Q3720" t="s">
        <v>7787</v>
      </c>
    </row>
    <row r="3721" spans="1:17" x14ac:dyDescent="0.3">
      <c r="A3721" t="s">
        <v>4729</v>
      </c>
      <c r="B3721" t="str">
        <f>"003019"</f>
        <v>003019</v>
      </c>
      <c r="C3721" t="s">
        <v>7788</v>
      </c>
      <c r="D3721" t="s">
        <v>1117</v>
      </c>
      <c r="F3721">
        <v>1309191941</v>
      </c>
      <c r="G3721">
        <v>1210115087</v>
      </c>
      <c r="H3721">
        <v>486193101</v>
      </c>
      <c r="I3721">
        <v>397170467</v>
      </c>
      <c r="J3721">
        <v>315996591</v>
      </c>
      <c r="K3721">
        <v>248987214</v>
      </c>
      <c r="P3721">
        <v>62</v>
      </c>
      <c r="Q3721" t="s">
        <v>7789</v>
      </c>
    </row>
    <row r="3722" spans="1:17" x14ac:dyDescent="0.3">
      <c r="A3722" t="s">
        <v>4729</v>
      </c>
      <c r="B3722" t="str">
        <f>"003020"</f>
        <v>003020</v>
      </c>
      <c r="C3722" t="s">
        <v>7790</v>
      </c>
      <c r="D3722" t="s">
        <v>143</v>
      </c>
      <c r="F3722">
        <v>1303910771</v>
      </c>
      <c r="G3722">
        <v>1173993131</v>
      </c>
      <c r="H3722">
        <v>589997700</v>
      </c>
      <c r="I3722">
        <v>505700594</v>
      </c>
      <c r="J3722">
        <v>361713452</v>
      </c>
      <c r="K3722">
        <v>298093989</v>
      </c>
      <c r="P3722">
        <v>78</v>
      </c>
      <c r="Q3722" t="s">
        <v>7791</v>
      </c>
    </row>
    <row r="3723" spans="1:17" x14ac:dyDescent="0.3">
      <c r="A3723" t="s">
        <v>4729</v>
      </c>
      <c r="B3723" t="str">
        <f>"003021"</f>
        <v>003021</v>
      </c>
      <c r="C3723" t="s">
        <v>7792</v>
      </c>
      <c r="D3723" t="s">
        <v>1171</v>
      </c>
      <c r="F3723">
        <v>2827007183</v>
      </c>
      <c r="G3723">
        <v>2772512454</v>
      </c>
      <c r="H3723">
        <v>679531071</v>
      </c>
      <c r="I3723">
        <v>317045028</v>
      </c>
      <c r="J3723">
        <v>213748043</v>
      </c>
      <c r="K3723">
        <v>174519828</v>
      </c>
      <c r="P3723">
        <v>80</v>
      </c>
      <c r="Q3723" t="s">
        <v>7793</v>
      </c>
    </row>
    <row r="3724" spans="1:17" x14ac:dyDescent="0.3">
      <c r="A3724" t="s">
        <v>4729</v>
      </c>
      <c r="B3724" t="str">
        <f>"003022"</f>
        <v>003022</v>
      </c>
      <c r="C3724" t="s">
        <v>7794</v>
      </c>
      <c r="D3724" t="s">
        <v>478</v>
      </c>
      <c r="F3724">
        <v>6336306987</v>
      </c>
      <c r="G3724">
        <v>5447076606</v>
      </c>
      <c r="H3724">
        <v>3189579238</v>
      </c>
      <c r="I3724">
        <v>2628626644</v>
      </c>
      <c r="J3724">
        <v>2401733806</v>
      </c>
      <c r="K3724">
        <v>1912474462</v>
      </c>
      <c r="P3724">
        <v>205</v>
      </c>
      <c r="Q3724" t="s">
        <v>7795</v>
      </c>
    </row>
    <row r="3725" spans="1:17" x14ac:dyDescent="0.3">
      <c r="A3725" t="s">
        <v>4729</v>
      </c>
      <c r="B3725" t="str">
        <f>"003023"</f>
        <v>003023</v>
      </c>
      <c r="C3725" t="s">
        <v>7796</v>
      </c>
      <c r="D3725" t="s">
        <v>5799</v>
      </c>
      <c r="F3725">
        <v>1347049256</v>
      </c>
      <c r="G3725">
        <v>1257565211</v>
      </c>
      <c r="H3725">
        <v>752843988</v>
      </c>
      <c r="I3725">
        <v>698446932</v>
      </c>
      <c r="J3725">
        <v>586507601</v>
      </c>
      <c r="K3725">
        <v>535191249</v>
      </c>
      <c r="P3725">
        <v>49</v>
      </c>
      <c r="Q3725" t="s">
        <v>7797</v>
      </c>
    </row>
    <row r="3726" spans="1:17" x14ac:dyDescent="0.3">
      <c r="A3726" t="s">
        <v>4729</v>
      </c>
      <c r="B3726" t="str">
        <f>"003025"</f>
        <v>003025</v>
      </c>
      <c r="C3726" t="s">
        <v>7798</v>
      </c>
      <c r="D3726" t="s">
        <v>2321</v>
      </c>
      <c r="F3726">
        <v>915182510</v>
      </c>
      <c r="G3726">
        <v>835132755</v>
      </c>
      <c r="H3726">
        <v>391212600</v>
      </c>
      <c r="I3726">
        <v>340829996</v>
      </c>
      <c r="J3726">
        <v>306515288</v>
      </c>
      <c r="K3726">
        <v>237822232</v>
      </c>
      <c r="P3726">
        <v>118</v>
      </c>
      <c r="Q3726" t="s">
        <v>7799</v>
      </c>
    </row>
    <row r="3727" spans="1:17" x14ac:dyDescent="0.3">
      <c r="A3727" t="s">
        <v>4729</v>
      </c>
      <c r="B3727" t="str">
        <f>"003026"</f>
        <v>003026</v>
      </c>
      <c r="C3727" t="s">
        <v>7800</v>
      </c>
      <c r="D3727" t="s">
        <v>475</v>
      </c>
      <c r="F3727">
        <v>779072101</v>
      </c>
      <c r="G3727">
        <v>747351230</v>
      </c>
      <c r="H3727">
        <v>355645764</v>
      </c>
      <c r="I3727">
        <v>288748893</v>
      </c>
      <c r="J3727">
        <v>222267432</v>
      </c>
      <c r="K3727">
        <v>188431725</v>
      </c>
      <c r="P3727">
        <v>106</v>
      </c>
      <c r="Q3727" t="s">
        <v>7801</v>
      </c>
    </row>
    <row r="3728" spans="1:17" x14ac:dyDescent="0.3">
      <c r="A3728" t="s">
        <v>4729</v>
      </c>
      <c r="B3728" t="str">
        <f>"003027"</f>
        <v>003027</v>
      </c>
      <c r="C3728" t="s">
        <v>7802</v>
      </c>
      <c r="D3728" t="s">
        <v>663</v>
      </c>
      <c r="F3728">
        <v>1604399316</v>
      </c>
      <c r="G3728">
        <v>1486235271</v>
      </c>
      <c r="H3728">
        <v>574347484</v>
      </c>
      <c r="I3728">
        <v>404054688</v>
      </c>
      <c r="J3728">
        <v>284507344</v>
      </c>
      <c r="K3728">
        <v>154626723</v>
      </c>
      <c r="P3728">
        <v>58</v>
      </c>
      <c r="Q3728" t="s">
        <v>7803</v>
      </c>
    </row>
    <row r="3729" spans="1:17" x14ac:dyDescent="0.3">
      <c r="A3729" t="s">
        <v>4729</v>
      </c>
      <c r="B3729" t="str">
        <f>"003028"</f>
        <v>003028</v>
      </c>
      <c r="C3729" t="s">
        <v>7804</v>
      </c>
      <c r="D3729" t="s">
        <v>313</v>
      </c>
      <c r="F3729">
        <v>1229666484</v>
      </c>
      <c r="G3729">
        <v>1035207821</v>
      </c>
      <c r="H3729">
        <v>395735475</v>
      </c>
      <c r="I3729">
        <v>341883500</v>
      </c>
      <c r="J3729">
        <v>279968787</v>
      </c>
      <c r="P3729">
        <v>83</v>
      </c>
      <c r="Q3729" t="s">
        <v>7805</v>
      </c>
    </row>
    <row r="3730" spans="1:17" x14ac:dyDescent="0.3">
      <c r="A3730" t="s">
        <v>4729</v>
      </c>
      <c r="B3730" t="str">
        <f>"003029"</f>
        <v>003029</v>
      </c>
      <c r="C3730" t="s">
        <v>7806</v>
      </c>
      <c r="D3730" t="s">
        <v>945</v>
      </c>
      <c r="F3730">
        <v>1386428789</v>
      </c>
      <c r="G3730">
        <v>1252024640</v>
      </c>
      <c r="H3730">
        <v>686704963</v>
      </c>
      <c r="I3730">
        <v>650371762</v>
      </c>
      <c r="J3730">
        <v>562963781</v>
      </c>
      <c r="K3730">
        <v>510186575</v>
      </c>
      <c r="P3730">
        <v>75</v>
      </c>
      <c r="Q3730" t="s">
        <v>7807</v>
      </c>
    </row>
    <row r="3731" spans="1:17" x14ac:dyDescent="0.3">
      <c r="A3731" t="s">
        <v>4729</v>
      </c>
      <c r="B3731" t="str">
        <f>"003030"</f>
        <v>003030</v>
      </c>
      <c r="C3731" t="s">
        <v>7808</v>
      </c>
      <c r="D3731" t="s">
        <v>445</v>
      </c>
      <c r="F3731">
        <v>1016200186</v>
      </c>
      <c r="G3731">
        <v>991675224</v>
      </c>
      <c r="H3731">
        <v>504302007</v>
      </c>
      <c r="I3731">
        <v>423494908</v>
      </c>
      <c r="J3731">
        <v>373590060</v>
      </c>
      <c r="P3731">
        <v>60</v>
      </c>
      <c r="Q3731" t="s">
        <v>7809</v>
      </c>
    </row>
    <row r="3732" spans="1:17" x14ac:dyDescent="0.3">
      <c r="A3732" t="s">
        <v>4729</v>
      </c>
      <c r="B3732" t="str">
        <f>"003031"</f>
        <v>003031</v>
      </c>
      <c r="C3732" t="s">
        <v>7810</v>
      </c>
      <c r="D3732" t="s">
        <v>786</v>
      </c>
      <c r="F3732">
        <v>1129401304</v>
      </c>
      <c r="G3732">
        <v>1035478869</v>
      </c>
      <c r="H3732">
        <v>564306650</v>
      </c>
      <c r="I3732">
        <v>487890703</v>
      </c>
      <c r="J3732">
        <v>179203762</v>
      </c>
      <c r="K3732">
        <v>132613441</v>
      </c>
      <c r="P3732">
        <v>87</v>
      </c>
      <c r="Q3732" t="s">
        <v>7811</v>
      </c>
    </row>
    <row r="3733" spans="1:17" x14ac:dyDescent="0.3">
      <c r="A3733" t="s">
        <v>4729</v>
      </c>
      <c r="B3733" t="str">
        <f>"003032"</f>
        <v>003032</v>
      </c>
      <c r="C3733" t="s">
        <v>7812</v>
      </c>
      <c r="D3733" t="s">
        <v>1336</v>
      </c>
      <c r="F3733">
        <v>1212988390</v>
      </c>
      <c r="G3733">
        <v>850341606</v>
      </c>
      <c r="H3733">
        <v>778918134</v>
      </c>
      <c r="I3733">
        <v>594485539</v>
      </c>
      <c r="J3733">
        <v>465836754</v>
      </c>
      <c r="P3733">
        <v>59</v>
      </c>
      <c r="Q3733" t="s">
        <v>7813</v>
      </c>
    </row>
    <row r="3734" spans="1:17" x14ac:dyDescent="0.3">
      <c r="A3734" t="s">
        <v>4729</v>
      </c>
      <c r="B3734" t="str">
        <f>"003033"</f>
        <v>003033</v>
      </c>
      <c r="C3734" t="s">
        <v>7814</v>
      </c>
      <c r="D3734" t="s">
        <v>1656</v>
      </c>
      <c r="F3734">
        <v>945217065</v>
      </c>
      <c r="G3734">
        <v>488966036</v>
      </c>
      <c r="H3734">
        <v>380396194</v>
      </c>
      <c r="I3734">
        <v>308411785</v>
      </c>
      <c r="J3734">
        <v>260265359</v>
      </c>
      <c r="P3734">
        <v>67</v>
      </c>
      <c r="Q3734" t="s">
        <v>7815</v>
      </c>
    </row>
    <row r="3735" spans="1:17" x14ac:dyDescent="0.3">
      <c r="A3735" t="s">
        <v>4729</v>
      </c>
      <c r="B3735" t="str">
        <f>"003035"</f>
        <v>003035</v>
      </c>
      <c r="C3735" t="s">
        <v>7816</v>
      </c>
      <c r="D3735" t="s">
        <v>239</v>
      </c>
      <c r="F3735">
        <v>5951508602</v>
      </c>
      <c r="G3735">
        <v>4466580127</v>
      </c>
      <c r="H3735">
        <v>4070376380</v>
      </c>
      <c r="I3735">
        <v>1324158242</v>
      </c>
      <c r="J3735">
        <v>1178373212</v>
      </c>
      <c r="P3735">
        <v>278</v>
      </c>
      <c r="Q3735" t="s">
        <v>7817</v>
      </c>
    </row>
    <row r="3736" spans="1:17" x14ac:dyDescent="0.3">
      <c r="A3736" t="s">
        <v>4729</v>
      </c>
      <c r="B3736" t="str">
        <f>"003036"</f>
        <v>003036</v>
      </c>
      <c r="C3736" t="s">
        <v>7818</v>
      </c>
      <c r="D3736" t="s">
        <v>534</v>
      </c>
      <c r="F3736">
        <v>1141984471</v>
      </c>
      <c r="G3736">
        <v>825928881</v>
      </c>
      <c r="H3736">
        <v>763732368</v>
      </c>
      <c r="I3736">
        <v>614380592</v>
      </c>
      <c r="J3736">
        <v>546838662</v>
      </c>
      <c r="P3736">
        <v>37</v>
      </c>
      <c r="Q3736" t="s">
        <v>7819</v>
      </c>
    </row>
    <row r="3737" spans="1:17" x14ac:dyDescent="0.3">
      <c r="A3737" t="s">
        <v>4729</v>
      </c>
      <c r="B3737" t="str">
        <f>"003037"</f>
        <v>003037</v>
      </c>
      <c r="C3737" t="s">
        <v>7820</v>
      </c>
      <c r="D3737" t="s">
        <v>3347</v>
      </c>
      <c r="F3737">
        <v>1696246083</v>
      </c>
      <c r="G3737">
        <v>1313621637</v>
      </c>
      <c r="H3737">
        <v>982323061</v>
      </c>
      <c r="I3737">
        <v>1036134478</v>
      </c>
      <c r="J3737">
        <v>683959589</v>
      </c>
      <c r="K3737">
        <v>614401191</v>
      </c>
      <c r="P3737">
        <v>40</v>
      </c>
      <c r="Q3737" t="s">
        <v>7821</v>
      </c>
    </row>
    <row r="3738" spans="1:17" x14ac:dyDescent="0.3">
      <c r="A3738" t="s">
        <v>4729</v>
      </c>
      <c r="B3738" t="str">
        <f>"003038"</f>
        <v>003038</v>
      </c>
      <c r="C3738" t="s">
        <v>7822</v>
      </c>
      <c r="D3738" t="s">
        <v>504</v>
      </c>
      <c r="F3738">
        <v>955904190</v>
      </c>
      <c r="G3738">
        <v>411060270</v>
      </c>
      <c r="H3738">
        <v>320083107</v>
      </c>
      <c r="I3738">
        <v>206798938</v>
      </c>
      <c r="J3738">
        <v>96284767</v>
      </c>
      <c r="P3738">
        <v>74</v>
      </c>
      <c r="Q3738" t="s">
        <v>7823</v>
      </c>
    </row>
    <row r="3739" spans="1:17" x14ac:dyDescent="0.3">
      <c r="A3739" t="s">
        <v>4729</v>
      </c>
      <c r="B3739" t="str">
        <f>"003039"</f>
        <v>003039</v>
      </c>
      <c r="C3739" t="s">
        <v>7824</v>
      </c>
      <c r="D3739" t="s">
        <v>33</v>
      </c>
      <c r="F3739">
        <v>2239270669</v>
      </c>
      <c r="G3739">
        <v>1730446185</v>
      </c>
      <c r="H3739">
        <v>1525406308</v>
      </c>
      <c r="I3739">
        <v>1287872798</v>
      </c>
      <c r="J3739">
        <v>1020300119</v>
      </c>
      <c r="P3739">
        <v>64</v>
      </c>
      <c r="Q3739" t="s">
        <v>7825</v>
      </c>
    </row>
    <row r="3740" spans="1:17" x14ac:dyDescent="0.3">
      <c r="A3740" t="s">
        <v>4729</v>
      </c>
      <c r="B3740" t="str">
        <f>"003040"</f>
        <v>003040</v>
      </c>
      <c r="C3740" t="s">
        <v>7826</v>
      </c>
      <c r="D3740" t="s">
        <v>786</v>
      </c>
      <c r="F3740">
        <v>1381681712</v>
      </c>
      <c r="G3740">
        <v>1051632313</v>
      </c>
      <c r="H3740">
        <v>989555976</v>
      </c>
      <c r="I3740">
        <v>913262018</v>
      </c>
      <c r="J3740">
        <v>795003550</v>
      </c>
      <c r="P3740">
        <v>61</v>
      </c>
      <c r="Q3740" t="s">
        <v>7827</v>
      </c>
    </row>
    <row r="3741" spans="1:17" x14ac:dyDescent="0.3">
      <c r="A3741" t="s">
        <v>4729</v>
      </c>
      <c r="B3741" t="str">
        <f>"003041"</f>
        <v>003041</v>
      </c>
      <c r="C3741" t="s">
        <v>7828</v>
      </c>
      <c r="D3741" t="s">
        <v>2889</v>
      </c>
      <c r="F3741">
        <v>1132151297</v>
      </c>
      <c r="G3741">
        <v>649604238</v>
      </c>
      <c r="H3741">
        <v>527906698</v>
      </c>
      <c r="I3741">
        <v>426249996</v>
      </c>
      <c r="J3741">
        <v>363322686</v>
      </c>
      <c r="P3741">
        <v>30</v>
      </c>
      <c r="Q3741" t="s">
        <v>7829</v>
      </c>
    </row>
    <row r="3742" spans="1:17" x14ac:dyDescent="0.3">
      <c r="A3742" t="s">
        <v>4729</v>
      </c>
      <c r="B3742" t="str">
        <f>"003042"</f>
        <v>003042</v>
      </c>
      <c r="C3742" t="s">
        <v>7830</v>
      </c>
      <c r="D3742" t="s">
        <v>853</v>
      </c>
      <c r="F3742">
        <v>1626867835</v>
      </c>
      <c r="G3742">
        <v>996183369</v>
      </c>
      <c r="H3742">
        <v>914086387</v>
      </c>
      <c r="I3742">
        <v>800071585</v>
      </c>
      <c r="J3742">
        <v>428420304</v>
      </c>
      <c r="P3742">
        <v>29</v>
      </c>
      <c r="Q3742" t="s">
        <v>7831</v>
      </c>
    </row>
    <row r="3743" spans="1:17" x14ac:dyDescent="0.3">
      <c r="A3743" t="s">
        <v>4729</v>
      </c>
      <c r="B3743" t="str">
        <f>"003043"</f>
        <v>003043</v>
      </c>
      <c r="C3743" t="s">
        <v>7832</v>
      </c>
      <c r="D3743" t="s">
        <v>3187</v>
      </c>
      <c r="F3743">
        <v>859431953</v>
      </c>
      <c r="G3743">
        <v>398929776</v>
      </c>
      <c r="H3743">
        <v>345111597</v>
      </c>
      <c r="I3743">
        <v>307700990</v>
      </c>
      <c r="J3743">
        <v>268196513</v>
      </c>
      <c r="K3743">
        <v>211608222</v>
      </c>
      <c r="L3743">
        <v>193313963</v>
      </c>
      <c r="P3743">
        <v>46</v>
      </c>
      <c r="Q3743" t="s">
        <v>7833</v>
      </c>
    </row>
    <row r="3744" spans="1:17" x14ac:dyDescent="0.3">
      <c r="A3744" t="s">
        <v>4729</v>
      </c>
      <c r="B3744" t="str">
        <f>"003816"</f>
        <v>003816</v>
      </c>
      <c r="C3744" t="s">
        <v>7834</v>
      </c>
      <c r="D3744" t="s">
        <v>2381</v>
      </c>
      <c r="F3744">
        <v>100910553004</v>
      </c>
      <c r="G3744">
        <v>95273274107</v>
      </c>
      <c r="H3744">
        <v>89801976064</v>
      </c>
      <c r="I3744">
        <v>71114915513</v>
      </c>
      <c r="J3744">
        <v>64848470382</v>
      </c>
      <c r="K3744">
        <v>55454459497</v>
      </c>
      <c r="P3744">
        <v>523</v>
      </c>
      <c r="Q3744" t="s">
        <v>7835</v>
      </c>
    </row>
    <row r="3745" spans="1:17" x14ac:dyDescent="0.3">
      <c r="A3745" t="s">
        <v>4729</v>
      </c>
      <c r="B3745" t="str">
        <f>"200002"</f>
        <v>200002</v>
      </c>
      <c r="C3745" t="s">
        <v>7836</v>
      </c>
      <c r="K3745">
        <v>126627048615.821</v>
      </c>
      <c r="L3745">
        <v>119589065224.515</v>
      </c>
      <c r="M3745">
        <v>110240978214.651</v>
      </c>
      <c r="N3745">
        <v>98557581846.4935</v>
      </c>
      <c r="O3745">
        <v>79437284415.428406</v>
      </c>
      <c r="P3745">
        <v>22</v>
      </c>
      <c r="Q3745" t="s">
        <v>7837</v>
      </c>
    </row>
    <row r="3746" spans="1:17" x14ac:dyDescent="0.3">
      <c r="A3746" t="s">
        <v>4729</v>
      </c>
      <c r="B3746" t="str">
        <f>"200003"</f>
        <v>200003</v>
      </c>
      <c r="C3746" t="s">
        <v>7838</v>
      </c>
      <c r="K3746">
        <v>82282346.428200006</v>
      </c>
      <c r="L3746">
        <v>-2127410173.9521999</v>
      </c>
      <c r="M3746">
        <v>-4126153625.4147</v>
      </c>
      <c r="N3746">
        <v>-4212830892.5047002</v>
      </c>
      <c r="O3746">
        <v>-4097554480.2350998</v>
      </c>
      <c r="P3746">
        <v>1</v>
      </c>
      <c r="Q3746" t="s">
        <v>7839</v>
      </c>
    </row>
    <row r="3747" spans="1:17" x14ac:dyDescent="0.3">
      <c r="A3747" t="s">
        <v>4729</v>
      </c>
      <c r="B3747" t="str">
        <f>"200011"</f>
        <v>200011</v>
      </c>
      <c r="C3747" t="s">
        <v>7840</v>
      </c>
      <c r="F3747">
        <v>5485616274.0120001</v>
      </c>
      <c r="G3747">
        <v>4421682875.5839996</v>
      </c>
      <c r="H3747">
        <v>3520980966.5665002</v>
      </c>
      <c r="I3747">
        <v>3800255306.5124998</v>
      </c>
      <c r="J3747">
        <v>3506616891.5588002</v>
      </c>
      <c r="K3747">
        <v>2690527252.3232002</v>
      </c>
      <c r="L3747">
        <v>2506658707.7679</v>
      </c>
      <c r="M3747">
        <v>2593633024.5647998</v>
      </c>
      <c r="N3747">
        <v>2310624783.2381001</v>
      </c>
      <c r="O3747">
        <v>1870828633.4177999</v>
      </c>
      <c r="P3747">
        <v>176</v>
      </c>
      <c r="Q3747" t="s">
        <v>7841</v>
      </c>
    </row>
    <row r="3748" spans="1:17" x14ac:dyDescent="0.3">
      <c r="A3748" t="s">
        <v>4729</v>
      </c>
      <c r="B3748" t="str">
        <f>"200012"</f>
        <v>200012</v>
      </c>
      <c r="C3748" t="s">
        <v>7842</v>
      </c>
      <c r="F3748">
        <v>13976189527.0488</v>
      </c>
      <c r="G3748">
        <v>12113627257.526699</v>
      </c>
      <c r="H3748">
        <v>10620816160.042999</v>
      </c>
      <c r="I3748">
        <v>10363941479.0835</v>
      </c>
      <c r="J3748">
        <v>10151997165.174601</v>
      </c>
      <c r="K3748">
        <v>8716310927.4647999</v>
      </c>
      <c r="L3748">
        <v>9122722133.1189003</v>
      </c>
      <c r="M3748">
        <v>10264210702.955999</v>
      </c>
      <c r="N3748">
        <v>10245645947.956301</v>
      </c>
      <c r="O3748">
        <v>8483455903.1837997</v>
      </c>
      <c r="P3748">
        <v>85</v>
      </c>
      <c r="Q3748" t="s">
        <v>7843</v>
      </c>
    </row>
    <row r="3749" spans="1:17" x14ac:dyDescent="0.3">
      <c r="A3749" t="s">
        <v>4729</v>
      </c>
      <c r="B3749" t="str">
        <f>"200015"</f>
        <v>200015</v>
      </c>
      <c r="C3749" t="s">
        <v>7844</v>
      </c>
      <c r="K3749">
        <v>2471163794.8428001</v>
      </c>
      <c r="L3749">
        <v>2588227672.0910001</v>
      </c>
      <c r="M3749">
        <v>-2394595513.6987</v>
      </c>
      <c r="N3749">
        <v>-2392800427.1329002</v>
      </c>
      <c r="O3749">
        <v>-2254410695.9117999</v>
      </c>
      <c r="P3749">
        <v>0</v>
      </c>
      <c r="Q3749" t="s">
        <v>7845</v>
      </c>
    </row>
    <row r="3750" spans="1:17" x14ac:dyDescent="0.3">
      <c r="A3750" t="s">
        <v>4729</v>
      </c>
      <c r="B3750" t="str">
        <f>"200016"</f>
        <v>200016</v>
      </c>
      <c r="C3750" t="s">
        <v>7846</v>
      </c>
      <c r="F3750">
        <v>11121706471.5408</v>
      </c>
      <c r="G3750">
        <v>9997210113.9396992</v>
      </c>
      <c r="H3750">
        <v>9024623511.3630009</v>
      </c>
      <c r="I3750">
        <v>9227242836.5534992</v>
      </c>
      <c r="J3750">
        <v>9594573401.4953995</v>
      </c>
      <c r="K3750">
        <v>3238633769.7333999</v>
      </c>
      <c r="L3750">
        <v>3359528833.1127</v>
      </c>
      <c r="M3750">
        <v>5130990105.3383999</v>
      </c>
      <c r="N3750">
        <v>5229923213.4183998</v>
      </c>
      <c r="O3750">
        <v>5032654029.4393997</v>
      </c>
      <c r="P3750">
        <v>36</v>
      </c>
      <c r="Q3750" t="s">
        <v>7847</v>
      </c>
    </row>
    <row r="3751" spans="1:17" x14ac:dyDescent="0.3">
      <c r="A3751" t="s">
        <v>4729</v>
      </c>
      <c r="B3751" t="str">
        <f>"200017"</f>
        <v>200017</v>
      </c>
      <c r="C3751" t="s">
        <v>7848</v>
      </c>
      <c r="F3751">
        <v>10905588.2664</v>
      </c>
      <c r="G3751">
        <v>12934694.4891</v>
      </c>
      <c r="H3751">
        <v>7963044.426</v>
      </c>
      <c r="I3751">
        <v>16287724.827</v>
      </c>
      <c r="J3751">
        <v>19081104.854200002</v>
      </c>
      <c r="K3751">
        <v>16038325.080800001</v>
      </c>
      <c r="L3751">
        <v>14043935.4102</v>
      </c>
      <c r="M3751">
        <v>14883946.339199999</v>
      </c>
      <c r="N3751">
        <v>8976174.4694999997</v>
      </c>
      <c r="O3751">
        <v>-2127583033.2176001</v>
      </c>
      <c r="P3751">
        <v>3</v>
      </c>
      <c r="Q3751" t="s">
        <v>7849</v>
      </c>
    </row>
    <row r="3752" spans="1:17" x14ac:dyDescent="0.3">
      <c r="A3752" t="s">
        <v>4729</v>
      </c>
      <c r="B3752" t="str">
        <f>"200018"</f>
        <v>200018</v>
      </c>
      <c r="C3752" t="s">
        <v>7850</v>
      </c>
      <c r="H3752">
        <v>-6648098714.1700001</v>
      </c>
      <c r="I3752">
        <v>267778016.64899999</v>
      </c>
      <c r="J3752">
        <v>2582209258.0935998</v>
      </c>
      <c r="K3752">
        <v>1984545688.1954</v>
      </c>
      <c r="L3752">
        <v>1530629869.0339</v>
      </c>
      <c r="M3752">
        <v>164135846.6688</v>
      </c>
      <c r="N3752">
        <v>161904436.28240001</v>
      </c>
      <c r="O3752">
        <v>147923685.83860001</v>
      </c>
      <c r="P3752">
        <v>13</v>
      </c>
      <c r="Q3752" t="s">
        <v>7851</v>
      </c>
    </row>
    <row r="3753" spans="1:17" x14ac:dyDescent="0.3">
      <c r="A3753" t="s">
        <v>4729</v>
      </c>
      <c r="B3753" t="str">
        <f>"200019"</f>
        <v>200019</v>
      </c>
      <c r="C3753" t="s">
        <v>7852</v>
      </c>
      <c r="F3753">
        <v>5661921182.3255997</v>
      </c>
      <c r="G3753">
        <v>5450523285.1999998</v>
      </c>
      <c r="H3753">
        <v>4944610203.7779999</v>
      </c>
      <c r="I3753">
        <v>4750394136.0974998</v>
      </c>
      <c r="J3753">
        <v>1136494076.5153999</v>
      </c>
      <c r="K3753">
        <v>1151659875.8018</v>
      </c>
      <c r="L3753">
        <v>1116852316.8297</v>
      </c>
      <c r="M3753">
        <v>1213986125.0376</v>
      </c>
      <c r="N3753">
        <v>1231094728.619</v>
      </c>
      <c r="O3753">
        <v>1200064072.4604001</v>
      </c>
      <c r="P3753">
        <v>23</v>
      </c>
      <c r="Q3753" t="s">
        <v>7853</v>
      </c>
    </row>
    <row r="3754" spans="1:17" x14ac:dyDescent="0.3">
      <c r="A3754" t="s">
        <v>4729</v>
      </c>
      <c r="B3754" t="str">
        <f>"200020"</f>
        <v>200020</v>
      </c>
      <c r="C3754" t="s">
        <v>7854</v>
      </c>
      <c r="F3754">
        <v>419971441.36919999</v>
      </c>
      <c r="G3754">
        <v>398824626.95569998</v>
      </c>
      <c r="H3754">
        <v>368465273.92500001</v>
      </c>
      <c r="I3754">
        <v>368837569.13849998</v>
      </c>
      <c r="J3754">
        <v>384871708.19559997</v>
      </c>
      <c r="K3754">
        <v>356847542.71780002</v>
      </c>
      <c r="L3754">
        <v>374746871.45099998</v>
      </c>
      <c r="M3754">
        <v>351801628.00800002</v>
      </c>
      <c r="N3754">
        <v>350754698.92330003</v>
      </c>
      <c r="O3754">
        <v>348713336.07459998</v>
      </c>
      <c r="P3754">
        <v>6</v>
      </c>
      <c r="Q3754" t="s">
        <v>7855</v>
      </c>
    </row>
    <row r="3755" spans="1:17" x14ac:dyDescent="0.3">
      <c r="A3755" t="s">
        <v>4729</v>
      </c>
      <c r="B3755" t="str">
        <f>"200022"</f>
        <v>200022</v>
      </c>
      <c r="C3755" t="s">
        <v>7856</v>
      </c>
      <c r="J3755">
        <v>5908547881.0811996</v>
      </c>
      <c r="K3755">
        <v>5257096120.2586002</v>
      </c>
      <c r="L3755">
        <v>5299551161.0766001</v>
      </c>
      <c r="M3755">
        <v>5145769659.0200996</v>
      </c>
      <c r="N3755">
        <v>5059954721.6133003</v>
      </c>
      <c r="O3755">
        <v>4577678730.5017996</v>
      </c>
      <c r="P3755">
        <v>41</v>
      </c>
      <c r="Q3755" t="s">
        <v>7857</v>
      </c>
    </row>
    <row r="3756" spans="1:17" x14ac:dyDescent="0.3">
      <c r="A3756" t="s">
        <v>4729</v>
      </c>
      <c r="B3756" t="str">
        <f>"200024"</f>
        <v>200024</v>
      </c>
      <c r="C3756" t="s">
        <v>7858</v>
      </c>
      <c r="M3756">
        <v>38880457904.969299</v>
      </c>
      <c r="N3756">
        <v>34254075871.411499</v>
      </c>
      <c r="O3756">
        <v>29115569433.778198</v>
      </c>
      <c r="P3756">
        <v>0</v>
      </c>
      <c r="Q3756" t="s">
        <v>7859</v>
      </c>
    </row>
    <row r="3757" spans="1:17" x14ac:dyDescent="0.3">
      <c r="A3757" t="s">
        <v>4729</v>
      </c>
      <c r="B3757" t="str">
        <f>"200025"</f>
        <v>200025</v>
      </c>
      <c r="C3757" t="s">
        <v>7860</v>
      </c>
      <c r="F3757">
        <v>1752179801.0244</v>
      </c>
      <c r="G3757">
        <v>1554413317.0174999</v>
      </c>
      <c r="H3757">
        <v>1421574683.576</v>
      </c>
      <c r="I3757">
        <v>1195663557.8745</v>
      </c>
      <c r="J3757">
        <v>1156103520.2114</v>
      </c>
      <c r="K3757">
        <v>999403750.86300004</v>
      </c>
      <c r="L3757">
        <v>1036333397.3724</v>
      </c>
      <c r="M3757">
        <v>239927080.85519999</v>
      </c>
      <c r="N3757">
        <v>245255803.28690001</v>
      </c>
      <c r="O3757">
        <v>229847005.3292</v>
      </c>
      <c r="P3757">
        <v>7</v>
      </c>
      <c r="Q3757" t="s">
        <v>7861</v>
      </c>
    </row>
    <row r="3758" spans="1:17" x14ac:dyDescent="0.3">
      <c r="A3758" t="s">
        <v>4729</v>
      </c>
      <c r="B3758" t="str">
        <f>"200026"</f>
        <v>200026</v>
      </c>
      <c r="C3758" t="s">
        <v>7862</v>
      </c>
      <c r="F3758">
        <v>3684580875.8604002</v>
      </c>
      <c r="G3758">
        <v>3321018783.0068002</v>
      </c>
      <c r="H3758">
        <v>2969096018.3895001</v>
      </c>
      <c r="I3758">
        <v>2926098450.4454999</v>
      </c>
      <c r="J3758">
        <v>2962054426.6722002</v>
      </c>
      <c r="K3758">
        <v>2646923791.1669998</v>
      </c>
      <c r="L3758">
        <v>2744573721.4050002</v>
      </c>
      <c r="M3758">
        <v>2042405774.5223999</v>
      </c>
      <c r="N3758">
        <v>1969248335.7644999</v>
      </c>
      <c r="O3758">
        <v>1800534972.075</v>
      </c>
      <c r="P3758">
        <v>52</v>
      </c>
      <c r="Q3758" t="s">
        <v>7863</v>
      </c>
    </row>
    <row r="3759" spans="1:17" x14ac:dyDescent="0.3">
      <c r="A3759" t="s">
        <v>4729</v>
      </c>
      <c r="B3759" t="str">
        <f>"200028"</f>
        <v>200028</v>
      </c>
      <c r="C3759" t="s">
        <v>7864</v>
      </c>
      <c r="F3759">
        <v>18250214251.208401</v>
      </c>
      <c r="G3759">
        <v>16544105497.537201</v>
      </c>
      <c r="H3759">
        <v>14323970553.621</v>
      </c>
      <c r="I3759">
        <v>13227585518.515499</v>
      </c>
      <c r="J3759">
        <v>11277766129.669201</v>
      </c>
      <c r="K3759">
        <v>9358952560.6284008</v>
      </c>
      <c r="L3759">
        <v>6509716053.7215004</v>
      </c>
      <c r="M3759">
        <v>5957665620.6288004</v>
      </c>
      <c r="N3759">
        <v>2877105890.2586002</v>
      </c>
      <c r="O3759">
        <v>2210338693.8934002</v>
      </c>
      <c r="P3759">
        <v>209</v>
      </c>
      <c r="Q3759" t="s">
        <v>7865</v>
      </c>
    </row>
    <row r="3760" spans="1:17" x14ac:dyDescent="0.3">
      <c r="A3760" t="s">
        <v>4729</v>
      </c>
      <c r="B3760" t="str">
        <f>"200029"</f>
        <v>200029</v>
      </c>
      <c r="C3760" t="s">
        <v>7866</v>
      </c>
      <c r="F3760">
        <v>4815704685.0576</v>
      </c>
      <c r="G3760">
        <v>4504229562.0167999</v>
      </c>
      <c r="H3760">
        <v>4101399206.5450001</v>
      </c>
      <c r="I3760">
        <v>3793777601.2785001</v>
      </c>
      <c r="J3760">
        <v>3394456193.6241999</v>
      </c>
      <c r="K3760">
        <v>2951077026.4766002</v>
      </c>
      <c r="L3760">
        <v>2783355203.2691998</v>
      </c>
      <c r="M3760">
        <v>2702786367.4608002</v>
      </c>
      <c r="N3760">
        <v>2388252022.9295001</v>
      </c>
      <c r="O3760">
        <v>2035389092.8153999</v>
      </c>
      <c r="P3760">
        <v>18</v>
      </c>
      <c r="Q3760" t="s">
        <v>7867</v>
      </c>
    </row>
    <row r="3761" spans="1:17" x14ac:dyDescent="0.3">
      <c r="A3761" t="s">
        <v>4729</v>
      </c>
      <c r="B3761" t="str">
        <f>"200030"</f>
        <v>200030</v>
      </c>
      <c r="C3761" t="s">
        <v>7868</v>
      </c>
      <c r="G3761">
        <v>8614172215.5946007</v>
      </c>
      <c r="H3761">
        <v>7449549672.7910004</v>
      </c>
      <c r="I3761">
        <v>7263780784.0784998</v>
      </c>
      <c r="J3761">
        <v>6902047561.1686001</v>
      </c>
      <c r="K3761">
        <v>5775294002.8587999</v>
      </c>
      <c r="L3761">
        <v>5591802734.9568005</v>
      </c>
      <c r="M3761">
        <v>5382047983.1591997</v>
      </c>
      <c r="N3761">
        <v>4864131266.5994997</v>
      </c>
      <c r="O3761">
        <v>-2050395.1118000001</v>
      </c>
      <c r="P3761">
        <v>132</v>
      </c>
      <c r="Q3761" t="s">
        <v>7869</v>
      </c>
    </row>
    <row r="3762" spans="1:17" x14ac:dyDescent="0.3">
      <c r="A3762" t="s">
        <v>4729</v>
      </c>
      <c r="B3762" t="str">
        <f>"200037"</f>
        <v>200037</v>
      </c>
      <c r="C3762" t="s">
        <v>7870</v>
      </c>
      <c r="F3762">
        <v>1975180446.7007999</v>
      </c>
      <c r="G3762">
        <v>2437129305.9127998</v>
      </c>
      <c r="H3762">
        <v>2240101385.7480001</v>
      </c>
      <c r="I3762">
        <v>2251807103.5019999</v>
      </c>
      <c r="J3762">
        <v>2350733425.6170001</v>
      </c>
      <c r="K3762">
        <v>2168457258.5286002</v>
      </c>
      <c r="L3762">
        <v>759201197.78999996</v>
      </c>
      <c r="M3762">
        <v>1588686035.652</v>
      </c>
      <c r="N3762">
        <v>2052072885.618</v>
      </c>
      <c r="O3762">
        <v>1927785120.0888</v>
      </c>
      <c r="P3762">
        <v>9</v>
      </c>
      <c r="Q3762" t="s">
        <v>7871</v>
      </c>
    </row>
    <row r="3763" spans="1:17" x14ac:dyDescent="0.3">
      <c r="A3763" t="s">
        <v>4729</v>
      </c>
      <c r="B3763" t="str">
        <f>"200039"</f>
        <v>200039</v>
      </c>
      <c r="C3763" t="s">
        <v>7872</v>
      </c>
      <c r="K3763">
        <v>32688999714</v>
      </c>
      <c r="L3763">
        <v>34069772490.299999</v>
      </c>
      <c r="M3763">
        <v>27871808625.599998</v>
      </c>
      <c r="N3763">
        <v>26497913222.900002</v>
      </c>
      <c r="O3763">
        <v>24286098849.599998</v>
      </c>
      <c r="P3763">
        <v>0</v>
      </c>
      <c r="Q3763" t="s">
        <v>7873</v>
      </c>
    </row>
    <row r="3764" spans="1:17" x14ac:dyDescent="0.3">
      <c r="A3764" t="s">
        <v>4729</v>
      </c>
      <c r="B3764" t="str">
        <f>"200045"</f>
        <v>200045</v>
      </c>
      <c r="C3764" t="s">
        <v>7874</v>
      </c>
      <c r="F3764">
        <v>3444378014.2919998</v>
      </c>
      <c r="G3764">
        <v>3281030353.7814002</v>
      </c>
      <c r="H3764">
        <v>3051004195.0640001</v>
      </c>
      <c r="I3764">
        <v>2702036195.8920002</v>
      </c>
      <c r="J3764">
        <v>2877449019.7207999</v>
      </c>
      <c r="K3764">
        <v>2611410371.2512002</v>
      </c>
      <c r="L3764">
        <v>2595783667.0602002</v>
      </c>
      <c r="M3764">
        <v>2746190059.6992002</v>
      </c>
      <c r="N3764">
        <v>2945149957.7409</v>
      </c>
      <c r="O3764">
        <v>1621728677.9484</v>
      </c>
      <c r="P3764">
        <v>6</v>
      </c>
      <c r="Q3764" t="s">
        <v>7875</v>
      </c>
    </row>
    <row r="3765" spans="1:17" x14ac:dyDescent="0.3">
      <c r="A3765" t="s">
        <v>4729</v>
      </c>
      <c r="B3765" t="str">
        <f>"200053"</f>
        <v>200053</v>
      </c>
      <c r="C3765" t="s">
        <v>7876</v>
      </c>
      <c r="J3765">
        <v>2042318842.9521999</v>
      </c>
      <c r="K3765">
        <v>1960980544.1159999</v>
      </c>
      <c r="L3765">
        <v>2093851475.6057999</v>
      </c>
      <c r="M3765">
        <v>2113783734.8754001</v>
      </c>
      <c r="N3765">
        <v>1887926858.9305</v>
      </c>
      <c r="O3765">
        <v>1602496557.8570001</v>
      </c>
      <c r="P3765">
        <v>15</v>
      </c>
      <c r="Q3765" t="s">
        <v>7877</v>
      </c>
    </row>
    <row r="3766" spans="1:17" x14ac:dyDescent="0.3">
      <c r="A3766" t="s">
        <v>4729</v>
      </c>
      <c r="B3766" t="str">
        <f>"200054"</f>
        <v>200054</v>
      </c>
      <c r="C3766" t="s">
        <v>7878</v>
      </c>
      <c r="F3766">
        <v>182568433.52039999</v>
      </c>
      <c r="G3766">
        <v>205893525.04530001</v>
      </c>
      <c r="H3766">
        <v>192575199.62349999</v>
      </c>
      <c r="I3766">
        <v>333923701.96350002</v>
      </c>
      <c r="J3766">
        <v>339366395.24059999</v>
      </c>
      <c r="K3766">
        <v>299569207.29040003</v>
      </c>
      <c r="L3766">
        <v>305725771.85820001</v>
      </c>
      <c r="M3766">
        <v>21658424.728799999</v>
      </c>
      <c r="N3766">
        <v>193427943.90990001</v>
      </c>
      <c r="O3766">
        <v>177283625.59459999</v>
      </c>
      <c r="P3766">
        <v>7</v>
      </c>
      <c r="Q3766" t="s">
        <v>7879</v>
      </c>
    </row>
    <row r="3767" spans="1:17" x14ac:dyDescent="0.3">
      <c r="A3767" t="s">
        <v>4729</v>
      </c>
      <c r="B3767" t="str">
        <f>"200055"</f>
        <v>200055</v>
      </c>
      <c r="C3767" t="s">
        <v>7880</v>
      </c>
      <c r="F3767">
        <v>6754795973.8235998</v>
      </c>
      <c r="G3767">
        <v>6382234671.5454998</v>
      </c>
      <c r="H3767">
        <v>5796956296.9799995</v>
      </c>
      <c r="I3767">
        <v>5914721107.6470003</v>
      </c>
      <c r="J3767">
        <v>3887374830.2403998</v>
      </c>
      <c r="K3767">
        <v>2638989869.4720001</v>
      </c>
      <c r="L3767">
        <v>1575082775.0895</v>
      </c>
      <c r="M3767">
        <v>1544157551.0952001</v>
      </c>
      <c r="N3767">
        <v>1487591943.2227001</v>
      </c>
      <c r="O3767">
        <v>1367332739.1415999</v>
      </c>
      <c r="P3767">
        <v>71</v>
      </c>
      <c r="Q3767" t="s">
        <v>7881</v>
      </c>
    </row>
    <row r="3768" spans="1:17" x14ac:dyDescent="0.3">
      <c r="A3768" t="s">
        <v>4729</v>
      </c>
      <c r="B3768" t="str">
        <f>"200056"</f>
        <v>200056</v>
      </c>
      <c r="C3768" t="s">
        <v>7882</v>
      </c>
      <c r="G3768">
        <v>5640045022.1290998</v>
      </c>
      <c r="H3768">
        <v>6094769150.5404997</v>
      </c>
      <c r="I3768">
        <v>6103130017.6440001</v>
      </c>
      <c r="J3768">
        <v>6361904710.3615999</v>
      </c>
      <c r="K3768">
        <v>5720872748.7614002</v>
      </c>
      <c r="L3768">
        <v>5968151979.1524</v>
      </c>
      <c r="M3768">
        <v>2377946098.0776</v>
      </c>
      <c r="N3768">
        <v>2866917908.1718001</v>
      </c>
      <c r="O3768">
        <v>-104407124.2816</v>
      </c>
      <c r="P3768">
        <v>13</v>
      </c>
      <c r="Q3768" t="s">
        <v>7883</v>
      </c>
    </row>
    <row r="3769" spans="1:17" x14ac:dyDescent="0.3">
      <c r="A3769" t="s">
        <v>4729</v>
      </c>
      <c r="B3769" t="str">
        <f>"200058"</f>
        <v>200058</v>
      </c>
      <c r="C3769" t="s">
        <v>7884</v>
      </c>
      <c r="F3769">
        <v>2426964722.4252</v>
      </c>
      <c r="G3769">
        <v>2260377040.9288998</v>
      </c>
      <c r="H3769">
        <v>2124461204.2114999</v>
      </c>
      <c r="I3769">
        <v>2126582764.4159999</v>
      </c>
      <c r="J3769">
        <v>2301057489.6739998</v>
      </c>
      <c r="K3769">
        <v>1728101563.2976</v>
      </c>
      <c r="L3769">
        <v>1760858179.5573001</v>
      </c>
      <c r="M3769">
        <v>1624232988.2880001</v>
      </c>
      <c r="N3769">
        <v>1602412581.4375</v>
      </c>
      <c r="O3769">
        <v>1488134548.5915999</v>
      </c>
      <c r="P3769">
        <v>7</v>
      </c>
      <c r="Q3769" t="s">
        <v>7885</v>
      </c>
    </row>
    <row r="3770" spans="1:17" x14ac:dyDescent="0.3">
      <c r="A3770" t="s">
        <v>4729</v>
      </c>
      <c r="B3770" t="str">
        <f>"200152"</f>
        <v>200152</v>
      </c>
      <c r="C3770" t="s">
        <v>7886</v>
      </c>
      <c r="F3770">
        <v>-1122120321.7920001</v>
      </c>
      <c r="G3770">
        <v>3048586481.9563999</v>
      </c>
      <c r="H3770">
        <v>5786581008.2110004</v>
      </c>
      <c r="I3770">
        <v>5090604625.9530001</v>
      </c>
      <c r="J3770">
        <v>5104619845.0028</v>
      </c>
      <c r="K3770">
        <v>4281936110.6135998</v>
      </c>
      <c r="L3770">
        <v>4016816262.8084998</v>
      </c>
      <c r="M3770">
        <v>3598801723.152</v>
      </c>
      <c r="N3770">
        <v>3471020043.9488001</v>
      </c>
      <c r="O3770">
        <v>3085432913.3992</v>
      </c>
      <c r="P3770">
        <v>112</v>
      </c>
      <c r="Q3770" t="s">
        <v>7887</v>
      </c>
    </row>
    <row r="3771" spans="1:17" x14ac:dyDescent="0.3">
      <c r="A3771" t="s">
        <v>4729</v>
      </c>
      <c r="B3771" t="str">
        <f>"200160"</f>
        <v>200160</v>
      </c>
      <c r="C3771" t="s">
        <v>7888</v>
      </c>
      <c r="H3771">
        <v>301530618.93300003</v>
      </c>
      <c r="I3771">
        <v>400289767.86150002</v>
      </c>
      <c r="J3771">
        <v>436787318.15539998</v>
      </c>
      <c r="K3771">
        <v>401638284.60619998</v>
      </c>
      <c r="L3771">
        <v>420488134.6936</v>
      </c>
      <c r="M3771">
        <v>362593513.35659999</v>
      </c>
      <c r="N3771">
        <v>268774390.46630001</v>
      </c>
      <c r="O3771">
        <v>142997908.28580001</v>
      </c>
      <c r="P3771">
        <v>3</v>
      </c>
      <c r="Q3771" t="s">
        <v>7889</v>
      </c>
    </row>
    <row r="3772" spans="1:17" x14ac:dyDescent="0.3">
      <c r="A3772" t="s">
        <v>4729</v>
      </c>
      <c r="B3772" t="str">
        <f>"200168"</f>
        <v>200168</v>
      </c>
      <c r="C3772" t="s">
        <v>7890</v>
      </c>
      <c r="G3772">
        <v>348811972.0266</v>
      </c>
      <c r="H3772">
        <v>385992479.86799997</v>
      </c>
      <c r="I3772">
        <v>386064282.08700001</v>
      </c>
      <c r="J3772">
        <v>423060487.93159997</v>
      </c>
      <c r="K3772">
        <v>409277449.13480002</v>
      </c>
      <c r="L3772">
        <v>435028064.91600001</v>
      </c>
      <c r="M3772">
        <v>466008798.86159998</v>
      </c>
      <c r="N3772">
        <v>464616475.57920003</v>
      </c>
      <c r="O3772">
        <v>442596567.07840002</v>
      </c>
      <c r="P3772">
        <v>3</v>
      </c>
      <c r="Q3772" t="s">
        <v>7891</v>
      </c>
    </row>
    <row r="3773" spans="1:17" x14ac:dyDescent="0.3">
      <c r="A3773" t="s">
        <v>4729</v>
      </c>
      <c r="B3773" t="str">
        <f>"200413"</f>
        <v>200413</v>
      </c>
      <c r="C3773" t="s">
        <v>7892</v>
      </c>
      <c r="G3773">
        <v>32876810340.121399</v>
      </c>
      <c r="H3773">
        <v>34254891597.073002</v>
      </c>
      <c r="I3773">
        <v>37025307558.112503</v>
      </c>
      <c r="J3773">
        <v>37113540305.291</v>
      </c>
      <c r="K3773">
        <v>24797834468.529202</v>
      </c>
      <c r="L3773">
        <v>17093165592.971701</v>
      </c>
      <c r="M3773">
        <v>8048490325.5024004</v>
      </c>
      <c r="N3773">
        <v>7451385600.5155001</v>
      </c>
      <c r="O3773">
        <v>487794557.0988</v>
      </c>
      <c r="P3773">
        <v>44</v>
      </c>
      <c r="Q3773" t="s">
        <v>7893</v>
      </c>
    </row>
    <row r="3774" spans="1:17" x14ac:dyDescent="0.3">
      <c r="A3774" t="s">
        <v>4729</v>
      </c>
      <c r="B3774" t="str">
        <f>"200418"</f>
        <v>200418</v>
      </c>
      <c r="C3774" t="s">
        <v>7894</v>
      </c>
      <c r="I3774">
        <v>9463283165.3579998</v>
      </c>
      <c r="J3774">
        <v>8457918379.3601999</v>
      </c>
      <c r="K3774">
        <v>6679170984.6806002</v>
      </c>
      <c r="L3774">
        <v>6117552750.8772001</v>
      </c>
      <c r="M3774">
        <v>5536748833.2573996</v>
      </c>
      <c r="N3774">
        <v>5010034124.0803003</v>
      </c>
      <c r="O3774">
        <v>4587857583.1597996</v>
      </c>
      <c r="P3774">
        <v>89</v>
      </c>
      <c r="Q3774" t="s">
        <v>7895</v>
      </c>
    </row>
    <row r="3775" spans="1:17" x14ac:dyDescent="0.3">
      <c r="A3775" t="s">
        <v>4729</v>
      </c>
      <c r="B3775" t="str">
        <f>"200429"</f>
        <v>200429</v>
      </c>
      <c r="C3775" t="s">
        <v>7896</v>
      </c>
      <c r="F3775">
        <v>10983725168.058001</v>
      </c>
      <c r="G3775">
        <v>9409493201.4638996</v>
      </c>
      <c r="H3775">
        <v>10987502931.725</v>
      </c>
      <c r="I3775">
        <v>10914460117.704</v>
      </c>
      <c r="J3775">
        <v>10829489955.823601</v>
      </c>
      <c r="K3775">
        <v>9252204459.9762001</v>
      </c>
      <c r="L3775">
        <v>6218329261.7151003</v>
      </c>
      <c r="M3775">
        <v>6272227065.5903997</v>
      </c>
      <c r="N3775">
        <v>5431843410.5824003</v>
      </c>
      <c r="O3775">
        <v>5313023111.1943998</v>
      </c>
      <c r="P3775">
        <v>453</v>
      </c>
      <c r="Q3775" t="s">
        <v>7897</v>
      </c>
    </row>
    <row r="3776" spans="1:17" x14ac:dyDescent="0.3">
      <c r="A3776" t="s">
        <v>4729</v>
      </c>
      <c r="B3776" t="str">
        <f>"200468"</f>
        <v>200468</v>
      </c>
      <c r="C3776" t="s">
        <v>7898</v>
      </c>
      <c r="F3776">
        <v>79711168.616400003</v>
      </c>
      <c r="G3776">
        <v>224913217.36210001</v>
      </c>
      <c r="H3776">
        <v>189633964.06099999</v>
      </c>
      <c r="I3776">
        <v>404497355.32800001</v>
      </c>
      <c r="J3776">
        <v>422744732.11440003</v>
      </c>
      <c r="K3776">
        <v>379327638.82300001</v>
      </c>
      <c r="L3776">
        <v>413837161.1178</v>
      </c>
      <c r="M3776">
        <v>455370563.21520001</v>
      </c>
      <c r="N3776">
        <v>491160923.48400003</v>
      </c>
      <c r="O3776">
        <v>470216666.80379999</v>
      </c>
      <c r="P3776">
        <v>4</v>
      </c>
      <c r="Q3776" t="s">
        <v>7899</v>
      </c>
    </row>
    <row r="3777" spans="1:17" x14ac:dyDescent="0.3">
      <c r="A3777" t="s">
        <v>4729</v>
      </c>
      <c r="B3777" t="str">
        <f>"200488"</f>
        <v>200488</v>
      </c>
      <c r="C3777" t="s">
        <v>7900</v>
      </c>
      <c r="F3777">
        <v>22125072017.198399</v>
      </c>
      <c r="G3777">
        <v>22302794330.6329</v>
      </c>
      <c r="H3777">
        <v>19802196761.883999</v>
      </c>
      <c r="I3777">
        <v>20018509011.517502</v>
      </c>
      <c r="J3777">
        <v>21279820935.814999</v>
      </c>
      <c r="K3777">
        <v>16919927039.245399</v>
      </c>
      <c r="L3777">
        <v>17056414726.1145</v>
      </c>
      <c r="M3777">
        <v>17402246063.5704</v>
      </c>
      <c r="N3777">
        <v>17994924739.264198</v>
      </c>
      <c r="O3777">
        <v>17125068945.628</v>
      </c>
      <c r="P3777">
        <v>268</v>
      </c>
      <c r="Q3777" t="s">
        <v>7901</v>
      </c>
    </row>
    <row r="3778" spans="1:17" x14ac:dyDescent="0.3">
      <c r="A3778" t="s">
        <v>4729</v>
      </c>
      <c r="B3778" t="str">
        <f>"200505"</f>
        <v>200505</v>
      </c>
      <c r="C3778" t="s">
        <v>7902</v>
      </c>
      <c r="F3778">
        <v>3565443041.4348001</v>
      </c>
      <c r="G3778">
        <v>3215008908.3383999</v>
      </c>
      <c r="H3778">
        <v>2691154939.1539998</v>
      </c>
      <c r="I3778">
        <v>2587207009.6125002</v>
      </c>
      <c r="J3778">
        <v>2522031488.1366</v>
      </c>
      <c r="K3778">
        <v>72651563.808599994</v>
      </c>
      <c r="L3778">
        <v>-259196280.5253</v>
      </c>
      <c r="M3778">
        <v>19461813.287999999</v>
      </c>
      <c r="N3778">
        <v>149592610.64719999</v>
      </c>
      <c r="O3778">
        <v>295748864.07639998</v>
      </c>
      <c r="P3778">
        <v>16</v>
      </c>
      <c r="Q3778" t="s">
        <v>7903</v>
      </c>
    </row>
    <row r="3779" spans="1:17" x14ac:dyDescent="0.3">
      <c r="A3779" t="s">
        <v>4729</v>
      </c>
      <c r="B3779" t="str">
        <f>"200512"</f>
        <v>200512</v>
      </c>
      <c r="C3779" t="s">
        <v>7904</v>
      </c>
      <c r="F3779">
        <v>1169396330.3352001</v>
      </c>
      <c r="G3779">
        <v>1024826133.6346999</v>
      </c>
      <c r="H3779">
        <v>837464337.7335</v>
      </c>
      <c r="I3779">
        <v>738660717.23399997</v>
      </c>
      <c r="J3779">
        <v>733099356.46560001</v>
      </c>
      <c r="K3779">
        <v>681837769.69019997</v>
      </c>
      <c r="L3779">
        <v>668148201.71280003</v>
      </c>
      <c r="M3779">
        <v>683436642.26400006</v>
      </c>
      <c r="N3779">
        <v>667372488.53869998</v>
      </c>
      <c r="O3779">
        <v>607426137.62179995</v>
      </c>
      <c r="P3779">
        <v>34</v>
      </c>
      <c r="Q3779" t="s">
        <v>7905</v>
      </c>
    </row>
    <row r="3780" spans="1:17" x14ac:dyDescent="0.3">
      <c r="A3780" t="s">
        <v>4729</v>
      </c>
      <c r="B3780" t="str">
        <f>"200513"</f>
        <v>200513</v>
      </c>
      <c r="C3780" t="s">
        <v>7906</v>
      </c>
      <c r="K3780">
        <v>7261983140.8247995</v>
      </c>
      <c r="L3780">
        <v>5188124988.9251003</v>
      </c>
      <c r="M3780">
        <v>4622124316.0395002</v>
      </c>
      <c r="N3780">
        <v>4286836080.4871998</v>
      </c>
      <c r="O3780">
        <v>3743776475.4208999</v>
      </c>
      <c r="P3780">
        <v>1</v>
      </c>
      <c r="Q3780" t="s">
        <v>7907</v>
      </c>
    </row>
    <row r="3781" spans="1:17" x14ac:dyDescent="0.3">
      <c r="A3781" t="s">
        <v>4729</v>
      </c>
      <c r="B3781" t="str">
        <f>"200521"</f>
        <v>200521</v>
      </c>
      <c r="C3781" t="s">
        <v>7908</v>
      </c>
      <c r="F3781">
        <v>5915092504.3199997</v>
      </c>
      <c r="G3781">
        <v>5757535404.2201996</v>
      </c>
      <c r="H3781">
        <v>5598033972.2504997</v>
      </c>
      <c r="I3781">
        <v>5710409159.4495001</v>
      </c>
      <c r="J3781">
        <v>6062289527.2189999</v>
      </c>
      <c r="K3781">
        <v>5687217917.9303999</v>
      </c>
      <c r="L3781">
        <v>4040167169.1441002</v>
      </c>
      <c r="M3781">
        <v>4279802429.9159999</v>
      </c>
      <c r="N3781">
        <v>4085201523.6388998</v>
      </c>
      <c r="O3781">
        <v>3678773311.6792002</v>
      </c>
      <c r="P3781">
        <v>23</v>
      </c>
      <c r="Q3781" t="s">
        <v>7909</v>
      </c>
    </row>
    <row r="3782" spans="1:17" x14ac:dyDescent="0.3">
      <c r="A3782" t="s">
        <v>4729</v>
      </c>
      <c r="B3782" t="str">
        <f>"200530"</f>
        <v>200530</v>
      </c>
      <c r="C3782" t="s">
        <v>7910</v>
      </c>
      <c r="F3782">
        <v>3671876221.0836</v>
      </c>
      <c r="G3782">
        <v>4003810769.5468001</v>
      </c>
      <c r="H3782">
        <v>3780043486.0549998</v>
      </c>
      <c r="I3782">
        <v>3845435872.9545002</v>
      </c>
      <c r="J3782">
        <v>4100520584.2129998</v>
      </c>
      <c r="K3782">
        <v>3625191869.7578001</v>
      </c>
      <c r="L3782">
        <v>3160450971.9267001</v>
      </c>
      <c r="M3782">
        <v>2459570880.9024</v>
      </c>
      <c r="N3782">
        <v>2444225214.1230001</v>
      </c>
      <c r="O3782">
        <v>2251233398.5148001</v>
      </c>
      <c r="P3782">
        <v>25</v>
      </c>
      <c r="Q3782" t="s">
        <v>7911</v>
      </c>
    </row>
    <row r="3783" spans="1:17" x14ac:dyDescent="0.3">
      <c r="A3783" t="s">
        <v>4729</v>
      </c>
      <c r="B3783" t="str">
        <f>"200539"</f>
        <v>200539</v>
      </c>
      <c r="C3783" t="s">
        <v>7912</v>
      </c>
      <c r="F3783">
        <v>28350715585.554001</v>
      </c>
      <c r="G3783">
        <v>32463551570.034199</v>
      </c>
      <c r="H3783">
        <v>29280362644.6245</v>
      </c>
      <c r="I3783">
        <v>27582783654.888</v>
      </c>
      <c r="J3783">
        <v>28438967821.730598</v>
      </c>
      <c r="K3783">
        <v>26095469272.544998</v>
      </c>
      <c r="L3783">
        <v>28355862416.2197</v>
      </c>
      <c r="M3783">
        <v>26646092268.088799</v>
      </c>
      <c r="N3783">
        <v>24422683337.884998</v>
      </c>
      <c r="O3783">
        <v>20231374169.428799</v>
      </c>
      <c r="P3783">
        <v>185</v>
      </c>
      <c r="Q3783" t="s">
        <v>7913</v>
      </c>
    </row>
    <row r="3784" spans="1:17" x14ac:dyDescent="0.3">
      <c r="A3784" t="s">
        <v>4729</v>
      </c>
      <c r="B3784" t="str">
        <f>"200541"</f>
        <v>200541</v>
      </c>
      <c r="C3784" t="s">
        <v>7914</v>
      </c>
      <c r="F3784">
        <v>7092923041.4063997</v>
      </c>
      <c r="G3784">
        <v>7429637059.8605003</v>
      </c>
      <c r="H3784">
        <v>5459104110.8000002</v>
      </c>
      <c r="I3784">
        <v>4917476847.3929996</v>
      </c>
      <c r="J3784">
        <v>5735894373.8917999</v>
      </c>
      <c r="K3784">
        <v>5570358793.2474003</v>
      </c>
      <c r="L3784">
        <v>5996607920.2055998</v>
      </c>
      <c r="M3784">
        <v>3806949985.5384002</v>
      </c>
      <c r="N3784">
        <v>3704858849.4274001</v>
      </c>
      <c r="O3784">
        <v>3671703142.3295999</v>
      </c>
      <c r="P3784">
        <v>119</v>
      </c>
      <c r="Q3784" t="s">
        <v>7915</v>
      </c>
    </row>
    <row r="3785" spans="1:17" x14ac:dyDescent="0.3">
      <c r="A3785" t="s">
        <v>4729</v>
      </c>
      <c r="B3785" t="str">
        <f>"200550"</f>
        <v>200550</v>
      </c>
      <c r="C3785" t="s">
        <v>7916</v>
      </c>
      <c r="F3785">
        <v>10461597643.429199</v>
      </c>
      <c r="G3785">
        <v>13031056822.0749</v>
      </c>
      <c r="H3785">
        <v>11740406589.0485</v>
      </c>
      <c r="I3785">
        <v>11822750418.550501</v>
      </c>
      <c r="J3785">
        <v>15089396862.396999</v>
      </c>
      <c r="K3785">
        <v>13851189531.2712</v>
      </c>
      <c r="L3785">
        <v>14301889290.1527</v>
      </c>
      <c r="M3785">
        <v>13252275379.0224</v>
      </c>
      <c r="N3785">
        <v>11761974465.199699</v>
      </c>
      <c r="O3785">
        <v>10059942477.509399</v>
      </c>
      <c r="P3785">
        <v>154</v>
      </c>
      <c r="Q3785" t="s">
        <v>7917</v>
      </c>
    </row>
    <row r="3786" spans="1:17" x14ac:dyDescent="0.3">
      <c r="A3786" t="s">
        <v>4729</v>
      </c>
      <c r="B3786" t="str">
        <f>"200553"</f>
        <v>200553</v>
      </c>
      <c r="C3786" t="s">
        <v>7918</v>
      </c>
      <c r="F3786">
        <v>25770611492.400002</v>
      </c>
      <c r="G3786">
        <v>25327685247.200001</v>
      </c>
      <c r="H3786">
        <v>25022707302.5</v>
      </c>
      <c r="I3786">
        <v>25365923451</v>
      </c>
      <c r="J3786">
        <v>22537371202.599998</v>
      </c>
      <c r="K3786">
        <v>2238045747.4134002</v>
      </c>
      <c r="L3786">
        <v>2503645454.4390001</v>
      </c>
      <c r="M3786">
        <v>2510341991.2104001</v>
      </c>
      <c r="N3786">
        <v>1981751174.4324</v>
      </c>
      <c r="O3786">
        <v>1562641053.9851999</v>
      </c>
      <c r="P3786">
        <v>58</v>
      </c>
      <c r="Q3786" t="s">
        <v>7919</v>
      </c>
    </row>
    <row r="3787" spans="1:17" x14ac:dyDescent="0.3">
      <c r="A3787" t="s">
        <v>4729</v>
      </c>
      <c r="B3787" t="str">
        <f>"200570"</f>
        <v>200570</v>
      </c>
      <c r="C3787" t="s">
        <v>7920</v>
      </c>
      <c r="F3787">
        <v>3763228162.0103998</v>
      </c>
      <c r="G3787">
        <v>2696419660.4766998</v>
      </c>
      <c r="H3787">
        <v>2361033561.0079999</v>
      </c>
      <c r="I3787">
        <v>2328151957.9559999</v>
      </c>
      <c r="J3787">
        <v>2698205544.3864002</v>
      </c>
      <c r="K3787">
        <v>2593728331.1666002</v>
      </c>
      <c r="L3787">
        <v>2390874038.2406998</v>
      </c>
      <c r="M3787">
        <v>2421945818.4840002</v>
      </c>
      <c r="N3787">
        <v>2319334920.3653998</v>
      </c>
      <c r="O3787">
        <v>2296527457.9646001</v>
      </c>
      <c r="P3787">
        <v>10</v>
      </c>
      <c r="Q3787" t="s">
        <v>7921</v>
      </c>
    </row>
    <row r="3788" spans="1:17" x14ac:dyDescent="0.3">
      <c r="A3788" t="s">
        <v>4729</v>
      </c>
      <c r="B3788" t="str">
        <f>"200581"</f>
        <v>200581</v>
      </c>
      <c r="C3788" t="s">
        <v>7922</v>
      </c>
      <c r="F3788">
        <v>23720617483.332001</v>
      </c>
      <c r="G3788">
        <v>21684301539.125099</v>
      </c>
      <c r="H3788">
        <v>19003768145.734501</v>
      </c>
      <c r="I3788">
        <v>18117894064.891499</v>
      </c>
      <c r="J3788">
        <v>17805775538.734001</v>
      </c>
      <c r="K3788">
        <v>14429501698.7304</v>
      </c>
      <c r="L3788">
        <v>14065639589.480101</v>
      </c>
      <c r="M3788">
        <v>13578136975.125601</v>
      </c>
      <c r="N3788">
        <v>12305300787.6008</v>
      </c>
      <c r="O3788">
        <v>10773233647.673</v>
      </c>
      <c r="P3788">
        <v>448</v>
      </c>
      <c r="Q3788" t="s">
        <v>7923</v>
      </c>
    </row>
    <row r="3789" spans="1:17" x14ac:dyDescent="0.3">
      <c r="A3789" t="s">
        <v>4729</v>
      </c>
      <c r="B3789" t="str">
        <f>"200596"</f>
        <v>200596</v>
      </c>
      <c r="C3789" t="s">
        <v>7924</v>
      </c>
      <c r="F3789">
        <v>20221919812.123199</v>
      </c>
      <c r="G3789">
        <v>11912343913.405399</v>
      </c>
      <c r="H3789">
        <v>10003989008.034</v>
      </c>
      <c r="I3789">
        <v>8654858812.4624996</v>
      </c>
      <c r="J3789">
        <v>7752185869.2756004</v>
      </c>
      <c r="K3789">
        <v>6245274488.8207998</v>
      </c>
      <c r="L3789">
        <v>5770013509.7309999</v>
      </c>
      <c r="M3789">
        <v>5227986142.8912001</v>
      </c>
      <c r="N3789">
        <v>4797090694.5969</v>
      </c>
      <c r="O3789">
        <v>4201132500.4614</v>
      </c>
      <c r="P3789">
        <v>745</v>
      </c>
      <c r="Q3789" t="s">
        <v>7925</v>
      </c>
    </row>
    <row r="3790" spans="1:17" x14ac:dyDescent="0.3">
      <c r="A3790" t="s">
        <v>4729</v>
      </c>
      <c r="B3790" t="str">
        <f>"200613"</f>
        <v>200613</v>
      </c>
      <c r="C3790" t="s">
        <v>7926</v>
      </c>
      <c r="F3790">
        <v>85133550.490799993</v>
      </c>
      <c r="G3790">
        <v>79372287.861499995</v>
      </c>
      <c r="H3790">
        <v>87787266.574000001</v>
      </c>
      <c r="I3790">
        <v>88562430.395999998</v>
      </c>
      <c r="J3790">
        <v>92577923.882799998</v>
      </c>
      <c r="K3790">
        <v>82907334.422999993</v>
      </c>
      <c r="L3790">
        <v>91840255.551599994</v>
      </c>
      <c r="M3790">
        <v>105552933.6336</v>
      </c>
      <c r="N3790">
        <v>104986415.5816</v>
      </c>
      <c r="O3790">
        <v>104684759.6928</v>
      </c>
      <c r="P3790">
        <v>4</v>
      </c>
      <c r="Q3790" t="s">
        <v>7927</v>
      </c>
    </row>
    <row r="3791" spans="1:17" x14ac:dyDescent="0.3">
      <c r="A3791" t="s">
        <v>4729</v>
      </c>
      <c r="B3791" t="str">
        <f>"200625"</f>
        <v>200625</v>
      </c>
      <c r="C3791" t="s">
        <v>7928</v>
      </c>
      <c r="F3791">
        <v>68150229376.771202</v>
      </c>
      <c r="G3791">
        <v>63349830197.219597</v>
      </c>
      <c r="H3791">
        <v>49245667804.164001</v>
      </c>
      <c r="I3791">
        <v>52649885453.764503</v>
      </c>
      <c r="J3791">
        <v>57127948868.588402</v>
      </c>
      <c r="K3791">
        <v>48637089405.344803</v>
      </c>
      <c r="L3791">
        <v>41045600192.859001</v>
      </c>
      <c r="M3791">
        <v>32056878106.919998</v>
      </c>
      <c r="N3791">
        <v>24068216870.367599</v>
      </c>
      <c r="O3791">
        <v>19307399334.1208</v>
      </c>
      <c r="P3791">
        <v>710</v>
      </c>
      <c r="Q3791" t="s">
        <v>7929</v>
      </c>
    </row>
    <row r="3792" spans="1:17" x14ac:dyDescent="0.3">
      <c r="A3792" t="s">
        <v>4729</v>
      </c>
      <c r="B3792" t="str">
        <f>"200706"</f>
        <v>200706</v>
      </c>
      <c r="C3792" t="s">
        <v>7930</v>
      </c>
      <c r="F3792">
        <v>743789232.4296</v>
      </c>
      <c r="G3792">
        <v>965491292.54480004</v>
      </c>
      <c r="H3792">
        <v>1371774703.6630001</v>
      </c>
      <c r="I3792">
        <v>1571156236.7325001</v>
      </c>
      <c r="J3792">
        <v>1662870948.9749999</v>
      </c>
      <c r="K3792">
        <v>1539616993.0012</v>
      </c>
      <c r="L3792">
        <v>1609662640.6575</v>
      </c>
      <c r="M3792">
        <v>1727858974.2456</v>
      </c>
      <c r="N3792">
        <v>1928915481.0211999</v>
      </c>
      <c r="O3792">
        <v>1886731640.6008</v>
      </c>
      <c r="P3792">
        <v>7</v>
      </c>
      <c r="Q3792" t="s">
        <v>7931</v>
      </c>
    </row>
    <row r="3793" spans="1:17" x14ac:dyDescent="0.3">
      <c r="A3793" t="s">
        <v>4729</v>
      </c>
      <c r="B3793" t="str">
        <f>"200725"</f>
        <v>200725</v>
      </c>
      <c r="C3793" t="s">
        <v>7932</v>
      </c>
      <c r="F3793">
        <v>157470411517.16101</v>
      </c>
      <c r="G3793">
        <v>105716819494.828</v>
      </c>
      <c r="H3793">
        <v>97359801407.936996</v>
      </c>
      <c r="I3793">
        <v>97747908398.365494</v>
      </c>
      <c r="J3793">
        <v>101788741615.675</v>
      </c>
      <c r="K3793">
        <v>87844927155.886597</v>
      </c>
      <c r="L3793">
        <v>92494173440.746796</v>
      </c>
      <c r="M3793">
        <v>95224301502.381607</v>
      </c>
      <c r="N3793">
        <v>36210351748.193703</v>
      </c>
      <c r="O3793">
        <v>32218909980.389999</v>
      </c>
      <c r="P3793">
        <v>85</v>
      </c>
      <c r="Q3793" t="s">
        <v>7933</v>
      </c>
    </row>
    <row r="3794" spans="1:17" x14ac:dyDescent="0.3">
      <c r="A3794" t="s">
        <v>4729</v>
      </c>
      <c r="B3794" t="str">
        <f>"200726"</f>
        <v>200726</v>
      </c>
      <c r="C3794" t="s">
        <v>7934</v>
      </c>
      <c r="F3794">
        <v>9674699130.1403999</v>
      </c>
      <c r="G3794">
        <v>9033564309.9678993</v>
      </c>
      <c r="H3794">
        <v>8609245861.0125008</v>
      </c>
      <c r="I3794">
        <v>8136345430.8179998</v>
      </c>
      <c r="J3794">
        <v>8678577512.5540009</v>
      </c>
      <c r="K3794">
        <v>7744179670.7097998</v>
      </c>
      <c r="L3794">
        <v>8161461878.8212004</v>
      </c>
      <c r="M3794">
        <v>8238600816.3984003</v>
      </c>
      <c r="N3794">
        <v>7674888983.5478001</v>
      </c>
      <c r="O3794">
        <v>6557425585.7068005</v>
      </c>
      <c r="P3794">
        <v>329</v>
      </c>
      <c r="Q3794" t="s">
        <v>7935</v>
      </c>
    </row>
    <row r="3795" spans="1:17" x14ac:dyDescent="0.3">
      <c r="A3795" t="s">
        <v>4729</v>
      </c>
      <c r="B3795" t="str">
        <f>"200761"</f>
        <v>200761</v>
      </c>
      <c r="C3795" t="s">
        <v>7936</v>
      </c>
      <c r="F3795">
        <v>26355113988.779999</v>
      </c>
      <c r="G3795">
        <v>23570185992.794701</v>
      </c>
      <c r="H3795">
        <v>21796953594.428501</v>
      </c>
      <c r="I3795">
        <v>21775244866.204498</v>
      </c>
      <c r="J3795">
        <v>17181569592.545799</v>
      </c>
      <c r="K3795">
        <v>14192878749.8262</v>
      </c>
      <c r="L3795">
        <v>14245735614.0564</v>
      </c>
      <c r="M3795">
        <v>19236856728.679199</v>
      </c>
      <c r="N3795">
        <v>19620696427.5266</v>
      </c>
      <c r="O3795">
        <v>19018490543.969002</v>
      </c>
      <c r="P3795">
        <v>41</v>
      </c>
      <c r="Q3795" t="s">
        <v>7937</v>
      </c>
    </row>
    <row r="3796" spans="1:17" x14ac:dyDescent="0.3">
      <c r="A3796" t="s">
        <v>4729</v>
      </c>
      <c r="B3796" t="str">
        <f>"200770"</f>
        <v>200770</v>
      </c>
      <c r="C3796" t="s">
        <v>7938</v>
      </c>
      <c r="K3796">
        <v>-1572949342.1219001</v>
      </c>
      <c r="L3796">
        <v>-1689912105.4976001</v>
      </c>
      <c r="M3796">
        <v>-1825404819.1055</v>
      </c>
      <c r="N3796">
        <v>-1747586212.358</v>
      </c>
      <c r="O3796">
        <v>-1547311036.9575</v>
      </c>
      <c r="P3796">
        <v>0</v>
      </c>
      <c r="Q3796" t="s">
        <v>7939</v>
      </c>
    </row>
    <row r="3797" spans="1:17" x14ac:dyDescent="0.3">
      <c r="A3797" t="s">
        <v>4729</v>
      </c>
      <c r="B3797" t="str">
        <f>"200771"</f>
        <v>200771</v>
      </c>
      <c r="C3797" t="s">
        <v>7940</v>
      </c>
      <c r="F3797">
        <v>9693729604.4472008</v>
      </c>
      <c r="G3797">
        <v>9613090162.9200993</v>
      </c>
      <c r="H3797">
        <v>7390484442.6564999</v>
      </c>
      <c r="I3797">
        <v>6839585347.6665001</v>
      </c>
      <c r="J3797">
        <v>7062957135.3620005</v>
      </c>
      <c r="K3797">
        <v>7127323476.4365997</v>
      </c>
      <c r="L3797">
        <v>5036622950.5281</v>
      </c>
      <c r="M3797">
        <v>5565028044.2975998</v>
      </c>
      <c r="N3797">
        <v>5422798503.6687002</v>
      </c>
      <c r="O3797">
        <v>4819286506.3657999</v>
      </c>
      <c r="P3797">
        <v>65</v>
      </c>
      <c r="Q3797" t="s">
        <v>7941</v>
      </c>
    </row>
    <row r="3798" spans="1:17" x14ac:dyDescent="0.3">
      <c r="A3798" t="s">
        <v>4729</v>
      </c>
      <c r="B3798" t="str">
        <f>"200869"</f>
        <v>200869</v>
      </c>
      <c r="C3798" t="s">
        <v>7942</v>
      </c>
      <c r="F3798">
        <v>12775672778.972401</v>
      </c>
      <c r="G3798">
        <v>12178676299.048401</v>
      </c>
      <c r="H3798">
        <v>11530516056.462999</v>
      </c>
      <c r="I3798">
        <v>10936544127.0525</v>
      </c>
      <c r="J3798">
        <v>10689392027.2598</v>
      </c>
      <c r="K3798">
        <v>9162898065.9218006</v>
      </c>
      <c r="L3798">
        <v>9029264979.8810997</v>
      </c>
      <c r="M3798">
        <v>8553301362.1079998</v>
      </c>
      <c r="N3798">
        <v>7957152097.8985004</v>
      </c>
      <c r="O3798">
        <v>7359449459.9387999</v>
      </c>
      <c r="P3798">
        <v>348</v>
      </c>
      <c r="Q3798" t="s">
        <v>7943</v>
      </c>
    </row>
    <row r="3799" spans="1:17" x14ac:dyDescent="0.3">
      <c r="A3799" t="s">
        <v>4729</v>
      </c>
      <c r="B3799" t="str">
        <f>"200986"</f>
        <v>200986</v>
      </c>
      <c r="C3799" t="s">
        <v>7944</v>
      </c>
      <c r="G3799">
        <v>2536472406.6339998</v>
      </c>
      <c r="H3799">
        <v>2244439693.802</v>
      </c>
      <c r="I3799">
        <v>2243922954.5700002</v>
      </c>
      <c r="J3799">
        <v>2379827895.0872002</v>
      </c>
      <c r="K3799">
        <v>2210517088.7540002</v>
      </c>
      <c r="L3799">
        <v>2313721531.8383999</v>
      </c>
      <c r="M3799">
        <v>2266679993.0640001</v>
      </c>
      <c r="N3799">
        <v>2217260225.9843001</v>
      </c>
      <c r="O3799">
        <v>2123362028.3246</v>
      </c>
      <c r="P3799">
        <v>8</v>
      </c>
      <c r="Q3799" t="s">
        <v>7945</v>
      </c>
    </row>
    <row r="3800" spans="1:17" x14ac:dyDescent="0.3">
      <c r="A3800" t="s">
        <v>4729</v>
      </c>
      <c r="B3800" t="str">
        <f>"200992"</f>
        <v>200992</v>
      </c>
      <c r="C3800" t="s">
        <v>7946</v>
      </c>
      <c r="F3800">
        <v>1141527667.95</v>
      </c>
      <c r="G3800">
        <v>1071343369.6553</v>
      </c>
      <c r="H3800">
        <v>992335403.44500005</v>
      </c>
      <c r="I3800">
        <v>914793220.44000006</v>
      </c>
      <c r="J3800">
        <v>844664506.75880003</v>
      </c>
      <c r="K3800">
        <v>689434619.07679999</v>
      </c>
      <c r="L3800">
        <v>675285905.79509997</v>
      </c>
      <c r="M3800">
        <v>693847937.81280005</v>
      </c>
      <c r="N3800">
        <v>693208390.89460003</v>
      </c>
      <c r="O3800">
        <v>620552805.62800002</v>
      </c>
      <c r="P3800">
        <v>22</v>
      </c>
      <c r="Q3800" t="s">
        <v>7947</v>
      </c>
    </row>
    <row r="3801" spans="1:17" x14ac:dyDescent="0.3">
      <c r="A3801" t="s">
        <v>4729</v>
      </c>
      <c r="B3801" t="str">
        <f>"201872"</f>
        <v>201872</v>
      </c>
      <c r="C3801" t="s">
        <v>7948</v>
      </c>
      <c r="F3801">
        <v>48668893495.8936</v>
      </c>
      <c r="G3801">
        <v>44025429758.277199</v>
      </c>
      <c r="H3801">
        <v>40235581742.651497</v>
      </c>
      <c r="I3801">
        <v>35020801257.7005</v>
      </c>
      <c r="J3801">
        <v>5908547881.0811996</v>
      </c>
      <c r="K3801">
        <v>5257096120.2586002</v>
      </c>
      <c r="L3801">
        <v>5299551161.0169001</v>
      </c>
      <c r="M3801">
        <v>5145769659.5327997</v>
      </c>
      <c r="N3801">
        <v>5059954721.9081001</v>
      </c>
      <c r="O3801">
        <v>4577678730.5017996</v>
      </c>
      <c r="P3801">
        <v>90</v>
      </c>
      <c r="Q3801" t="s">
        <v>7949</v>
      </c>
    </row>
    <row r="3802" spans="1:17" x14ac:dyDescent="0.3">
      <c r="A3802" t="s">
        <v>4729</v>
      </c>
      <c r="B3802" t="str">
        <f>"300001"</f>
        <v>300001</v>
      </c>
      <c r="C3802" t="s">
        <v>7950</v>
      </c>
      <c r="D3802" t="s">
        <v>210</v>
      </c>
      <c r="F3802">
        <v>6016184141</v>
      </c>
      <c r="G3802">
        <v>4555366686</v>
      </c>
      <c r="H3802">
        <v>3355095897</v>
      </c>
      <c r="I3802">
        <v>3121506176</v>
      </c>
      <c r="J3802">
        <v>2971263670</v>
      </c>
      <c r="K3802">
        <v>2711244567</v>
      </c>
      <c r="L3802">
        <v>2461295937</v>
      </c>
      <c r="M3802">
        <v>1413739608</v>
      </c>
      <c r="N3802">
        <v>1284324343</v>
      </c>
      <c r="O3802">
        <v>1184775044</v>
      </c>
      <c r="P3802">
        <v>530</v>
      </c>
      <c r="Q3802" t="s">
        <v>7951</v>
      </c>
    </row>
    <row r="3803" spans="1:17" x14ac:dyDescent="0.3">
      <c r="A3803" t="s">
        <v>4729</v>
      </c>
      <c r="B3803" t="str">
        <f>"300002"</f>
        <v>300002</v>
      </c>
      <c r="C3803" t="s">
        <v>7952</v>
      </c>
      <c r="D3803" t="s">
        <v>517</v>
      </c>
      <c r="F3803">
        <v>4326427076</v>
      </c>
      <c r="G3803">
        <v>3926453877</v>
      </c>
      <c r="H3803">
        <v>3723074698</v>
      </c>
      <c r="I3803">
        <v>5239233812</v>
      </c>
      <c r="J3803">
        <v>5146199240</v>
      </c>
      <c r="K3803">
        <v>5033349237</v>
      </c>
      <c r="L3803">
        <v>4946010041</v>
      </c>
      <c r="M3803">
        <v>4843517779</v>
      </c>
      <c r="N3803">
        <v>3585446348</v>
      </c>
      <c r="O3803">
        <v>3192373659</v>
      </c>
      <c r="P3803">
        <v>282</v>
      </c>
      <c r="Q3803" t="s">
        <v>7953</v>
      </c>
    </row>
    <row r="3804" spans="1:17" x14ac:dyDescent="0.3">
      <c r="A3804" t="s">
        <v>4729</v>
      </c>
      <c r="B3804" t="str">
        <f>"300003"</f>
        <v>300003</v>
      </c>
      <c r="C3804" t="s">
        <v>7954</v>
      </c>
      <c r="D3804" t="s">
        <v>1077</v>
      </c>
      <c r="F3804">
        <v>11259094686</v>
      </c>
      <c r="G3804">
        <v>9872791252</v>
      </c>
      <c r="H3804">
        <v>7482776573</v>
      </c>
      <c r="I3804">
        <v>6361629613</v>
      </c>
      <c r="J3804">
        <v>6429666909</v>
      </c>
      <c r="K3804">
        <v>5534399175</v>
      </c>
      <c r="L3804">
        <v>4806898711</v>
      </c>
      <c r="M3804">
        <v>3142564315</v>
      </c>
      <c r="N3804">
        <v>2827573908</v>
      </c>
      <c r="O3804">
        <v>2612152184</v>
      </c>
      <c r="P3804">
        <v>3268</v>
      </c>
      <c r="Q3804" t="s">
        <v>7955</v>
      </c>
    </row>
    <row r="3805" spans="1:17" x14ac:dyDescent="0.3">
      <c r="A3805" t="s">
        <v>4729</v>
      </c>
      <c r="B3805" t="str">
        <f>"300004"</f>
        <v>300004</v>
      </c>
      <c r="C3805" t="s">
        <v>7956</v>
      </c>
      <c r="D3805" t="s">
        <v>741</v>
      </c>
      <c r="F3805">
        <v>1642444938</v>
      </c>
      <c r="G3805">
        <v>2241807370</v>
      </c>
      <c r="H3805">
        <v>1981254568</v>
      </c>
      <c r="I3805">
        <v>2049103489</v>
      </c>
      <c r="J3805">
        <v>3125503447</v>
      </c>
      <c r="K3805">
        <v>3105587117</v>
      </c>
      <c r="L3805">
        <v>3028154506</v>
      </c>
      <c r="M3805">
        <v>2996440794</v>
      </c>
      <c r="N3805">
        <v>873563338</v>
      </c>
      <c r="O3805">
        <v>846007023</v>
      </c>
      <c r="P3805">
        <v>84</v>
      </c>
      <c r="Q3805" t="s">
        <v>7957</v>
      </c>
    </row>
    <row r="3806" spans="1:17" x14ac:dyDescent="0.3">
      <c r="A3806" t="s">
        <v>4729</v>
      </c>
      <c r="B3806" t="str">
        <f>"300005"</f>
        <v>300005</v>
      </c>
      <c r="C3806" t="s">
        <v>7958</v>
      </c>
      <c r="D3806" t="s">
        <v>3017</v>
      </c>
      <c r="F3806">
        <v>2162419800</v>
      </c>
      <c r="G3806">
        <v>2110234234</v>
      </c>
      <c r="H3806">
        <v>2432929245</v>
      </c>
      <c r="I3806">
        <v>2335644435</v>
      </c>
      <c r="J3806">
        <v>2549535824</v>
      </c>
      <c r="K3806">
        <v>2770362903</v>
      </c>
      <c r="L3806">
        <v>1419557180</v>
      </c>
      <c r="M3806">
        <v>1247909945</v>
      </c>
      <c r="N3806">
        <v>1033857576</v>
      </c>
      <c r="O3806">
        <v>801017695</v>
      </c>
      <c r="P3806">
        <v>181</v>
      </c>
      <c r="Q3806" t="s">
        <v>7959</v>
      </c>
    </row>
    <row r="3807" spans="1:17" x14ac:dyDescent="0.3">
      <c r="A3807" t="s">
        <v>4729</v>
      </c>
      <c r="B3807" t="str">
        <f>"300006"</f>
        <v>300006</v>
      </c>
      <c r="C3807" t="s">
        <v>7960</v>
      </c>
      <c r="D3807" t="s">
        <v>143</v>
      </c>
      <c r="F3807">
        <v>2156345436</v>
      </c>
      <c r="G3807">
        <v>1171321391</v>
      </c>
      <c r="H3807">
        <v>1555993911</v>
      </c>
      <c r="I3807">
        <v>1699542795</v>
      </c>
      <c r="J3807">
        <v>1691509701</v>
      </c>
      <c r="K3807">
        <v>1626443491</v>
      </c>
      <c r="L3807">
        <v>1640385608</v>
      </c>
      <c r="M3807">
        <v>994078310</v>
      </c>
      <c r="N3807">
        <v>1098165309</v>
      </c>
      <c r="O3807">
        <v>659800213</v>
      </c>
      <c r="P3807">
        <v>136</v>
      </c>
      <c r="Q3807" t="s">
        <v>7961</v>
      </c>
    </row>
    <row r="3808" spans="1:17" x14ac:dyDescent="0.3">
      <c r="A3808" t="s">
        <v>4729</v>
      </c>
      <c r="B3808" t="str">
        <f>"300007"</f>
        <v>300007</v>
      </c>
      <c r="C3808" t="s">
        <v>7962</v>
      </c>
      <c r="D3808" t="s">
        <v>2566</v>
      </c>
      <c r="F3808">
        <v>2424504407</v>
      </c>
      <c r="G3808">
        <v>1559009396</v>
      </c>
      <c r="H3808">
        <v>1346041738</v>
      </c>
      <c r="I3808">
        <v>1455606210</v>
      </c>
      <c r="J3808">
        <v>1395977968</v>
      </c>
      <c r="K3808">
        <v>1294945691</v>
      </c>
      <c r="L3808">
        <v>1219496631</v>
      </c>
      <c r="M3808">
        <v>1151237722</v>
      </c>
      <c r="N3808">
        <v>643063609</v>
      </c>
      <c r="O3808">
        <v>608707590</v>
      </c>
      <c r="P3808">
        <v>314</v>
      </c>
      <c r="Q3808" t="s">
        <v>7963</v>
      </c>
    </row>
    <row r="3809" spans="1:17" x14ac:dyDescent="0.3">
      <c r="A3809" t="s">
        <v>4729</v>
      </c>
      <c r="B3809" t="str">
        <f>"300008"</f>
        <v>300008</v>
      </c>
      <c r="C3809" t="s">
        <v>7964</v>
      </c>
      <c r="D3809" t="s">
        <v>167</v>
      </c>
      <c r="F3809">
        <v>1677352677</v>
      </c>
      <c r="G3809">
        <v>1648832566</v>
      </c>
      <c r="H3809">
        <v>404298197</v>
      </c>
      <c r="I3809">
        <v>752405067</v>
      </c>
      <c r="J3809">
        <v>2646929010</v>
      </c>
      <c r="K3809">
        <v>2903345186</v>
      </c>
      <c r="L3809">
        <v>938612724</v>
      </c>
      <c r="M3809">
        <v>832335087</v>
      </c>
      <c r="N3809">
        <v>522067486</v>
      </c>
      <c r="O3809">
        <v>527558926</v>
      </c>
      <c r="P3809">
        <v>107</v>
      </c>
      <c r="Q3809" t="s">
        <v>7965</v>
      </c>
    </row>
    <row r="3810" spans="1:17" x14ac:dyDescent="0.3">
      <c r="A3810" t="s">
        <v>4729</v>
      </c>
      <c r="B3810" t="str">
        <f>"300009"</f>
        <v>300009</v>
      </c>
      <c r="C3810" t="s">
        <v>7966</v>
      </c>
      <c r="D3810" t="s">
        <v>1379</v>
      </c>
      <c r="F3810">
        <v>2786596726</v>
      </c>
      <c r="G3810">
        <v>2835740319</v>
      </c>
      <c r="H3810">
        <v>2626678148</v>
      </c>
      <c r="I3810">
        <v>1920325639</v>
      </c>
      <c r="J3810">
        <v>1677857506</v>
      </c>
      <c r="K3810">
        <v>1358985714</v>
      </c>
      <c r="L3810">
        <v>1216939751</v>
      </c>
      <c r="M3810">
        <v>738897307</v>
      </c>
      <c r="N3810">
        <v>660599435</v>
      </c>
      <c r="O3810">
        <v>580028774</v>
      </c>
      <c r="P3810">
        <v>840</v>
      </c>
      <c r="Q3810" t="s">
        <v>7967</v>
      </c>
    </row>
    <row r="3811" spans="1:17" x14ac:dyDescent="0.3">
      <c r="A3811" t="s">
        <v>4729</v>
      </c>
      <c r="B3811" t="str">
        <f>"300010"</f>
        <v>300010</v>
      </c>
      <c r="C3811" t="s">
        <v>7968</v>
      </c>
      <c r="D3811" t="s">
        <v>1336</v>
      </c>
      <c r="F3811">
        <v>97544862</v>
      </c>
      <c r="G3811">
        <v>761803530</v>
      </c>
      <c r="H3811">
        <v>3349223132</v>
      </c>
      <c r="I3811">
        <v>3298544208</v>
      </c>
      <c r="J3811">
        <v>5482737986</v>
      </c>
      <c r="K3811">
        <v>5375152530</v>
      </c>
      <c r="L3811">
        <v>1740964544</v>
      </c>
      <c r="M3811">
        <v>1317416545</v>
      </c>
      <c r="N3811">
        <v>829306851</v>
      </c>
      <c r="O3811">
        <v>791265395</v>
      </c>
      <c r="P3811">
        <v>262</v>
      </c>
      <c r="Q3811" t="s">
        <v>7969</v>
      </c>
    </row>
    <row r="3812" spans="1:17" x14ac:dyDescent="0.3">
      <c r="A3812" t="s">
        <v>4729</v>
      </c>
      <c r="B3812" t="str">
        <f>"300011"</f>
        <v>300011</v>
      </c>
      <c r="C3812" t="s">
        <v>7970</v>
      </c>
      <c r="D3812" t="s">
        <v>1012</v>
      </c>
      <c r="F3812">
        <v>1486735934</v>
      </c>
      <c r="G3812">
        <v>1475076887</v>
      </c>
      <c r="H3812">
        <v>1957810385</v>
      </c>
      <c r="I3812">
        <v>1896624954</v>
      </c>
      <c r="J3812">
        <v>2484421742</v>
      </c>
      <c r="K3812">
        <v>2164520030</v>
      </c>
      <c r="L3812">
        <v>2071029248</v>
      </c>
      <c r="M3812">
        <v>1820056788</v>
      </c>
      <c r="N3812">
        <v>778753941</v>
      </c>
      <c r="O3812">
        <v>722377304</v>
      </c>
      <c r="P3812">
        <v>109</v>
      </c>
      <c r="Q3812" t="s">
        <v>7971</v>
      </c>
    </row>
    <row r="3813" spans="1:17" x14ac:dyDescent="0.3">
      <c r="A3813" t="s">
        <v>4729</v>
      </c>
      <c r="B3813" t="str">
        <f>"300012"</f>
        <v>300012</v>
      </c>
      <c r="C3813" t="s">
        <v>7972</v>
      </c>
      <c r="D3813" t="s">
        <v>2510</v>
      </c>
      <c r="F3813">
        <v>4457308872</v>
      </c>
      <c r="G3813">
        <v>3744282087</v>
      </c>
      <c r="H3813">
        <v>3147139005</v>
      </c>
      <c r="I3813">
        <v>2717450242</v>
      </c>
      <c r="J3813">
        <v>2489535755</v>
      </c>
      <c r="K3813">
        <v>2401130926</v>
      </c>
      <c r="L3813">
        <v>1428540065</v>
      </c>
      <c r="M3813">
        <v>1271460631</v>
      </c>
      <c r="N3813">
        <v>972061117</v>
      </c>
      <c r="O3813">
        <v>846640520</v>
      </c>
      <c r="P3813">
        <v>1300</v>
      </c>
      <c r="Q3813" t="s">
        <v>7973</v>
      </c>
    </row>
    <row r="3814" spans="1:17" x14ac:dyDescent="0.3">
      <c r="A3814" t="s">
        <v>4729</v>
      </c>
      <c r="B3814" t="str">
        <f>"300013"</f>
        <v>300013</v>
      </c>
      <c r="C3814" t="s">
        <v>7974</v>
      </c>
      <c r="D3814" t="s">
        <v>3125</v>
      </c>
      <c r="F3814">
        <v>21680569</v>
      </c>
      <c r="G3814">
        <v>213875376</v>
      </c>
      <c r="H3814">
        <v>807978079</v>
      </c>
      <c r="I3814">
        <v>1420107394</v>
      </c>
      <c r="J3814">
        <v>1372895954</v>
      </c>
      <c r="K3814">
        <v>1322553889</v>
      </c>
      <c r="L3814">
        <v>1169353061</v>
      </c>
      <c r="M3814">
        <v>340618300</v>
      </c>
      <c r="N3814">
        <v>335936595</v>
      </c>
      <c r="O3814">
        <v>332691970</v>
      </c>
      <c r="P3814">
        <v>70</v>
      </c>
      <c r="Q3814" t="s">
        <v>7975</v>
      </c>
    </row>
    <row r="3815" spans="1:17" x14ac:dyDescent="0.3">
      <c r="A3815" t="s">
        <v>4729</v>
      </c>
      <c r="B3815" t="str">
        <f>"300014"</f>
        <v>300014</v>
      </c>
      <c r="C3815" t="s">
        <v>7976</v>
      </c>
      <c r="D3815" t="s">
        <v>359</v>
      </c>
      <c r="F3815">
        <v>17934166250</v>
      </c>
      <c r="G3815">
        <v>14376022480</v>
      </c>
      <c r="H3815">
        <v>7553096790</v>
      </c>
      <c r="I3815">
        <v>3561962362</v>
      </c>
      <c r="J3815">
        <v>3081955906</v>
      </c>
      <c r="K3815">
        <v>1944278455</v>
      </c>
      <c r="L3815">
        <v>1708793072</v>
      </c>
      <c r="M3815">
        <v>974118280.94000006</v>
      </c>
      <c r="N3815">
        <v>888145248.85000002</v>
      </c>
      <c r="O3815">
        <v>733031872.64999998</v>
      </c>
      <c r="P3815">
        <v>2493</v>
      </c>
      <c r="Q3815" t="s">
        <v>7977</v>
      </c>
    </row>
    <row r="3816" spans="1:17" x14ac:dyDescent="0.3">
      <c r="A3816" t="s">
        <v>4729</v>
      </c>
      <c r="B3816" t="str">
        <f>"300015"</f>
        <v>300015</v>
      </c>
      <c r="C3816" t="s">
        <v>7978</v>
      </c>
      <c r="D3816" t="s">
        <v>1147</v>
      </c>
      <c r="F3816">
        <v>11309739830</v>
      </c>
      <c r="G3816">
        <v>9853879872</v>
      </c>
      <c r="H3816">
        <v>6594041531</v>
      </c>
      <c r="I3816">
        <v>5692813760</v>
      </c>
      <c r="J3816">
        <v>5216091489</v>
      </c>
      <c r="K3816">
        <v>2781145391</v>
      </c>
      <c r="L3816">
        <v>2395407232</v>
      </c>
      <c r="M3816">
        <v>2024500241</v>
      </c>
      <c r="N3816">
        <v>1666025491</v>
      </c>
      <c r="O3816">
        <v>1500087615</v>
      </c>
      <c r="P3816">
        <v>11096</v>
      </c>
      <c r="Q3816" t="s">
        <v>7979</v>
      </c>
    </row>
    <row r="3817" spans="1:17" x14ac:dyDescent="0.3">
      <c r="A3817" t="s">
        <v>4729</v>
      </c>
      <c r="B3817" t="str">
        <f>"300016"</f>
        <v>300016</v>
      </c>
      <c r="C3817" t="s">
        <v>7980</v>
      </c>
      <c r="D3817" t="s">
        <v>143</v>
      </c>
      <c r="F3817">
        <v>1724012912</v>
      </c>
      <c r="G3817">
        <v>1609252285</v>
      </c>
      <c r="H3817">
        <v>1450507101</v>
      </c>
      <c r="I3817">
        <v>1205791287</v>
      </c>
      <c r="J3817">
        <v>1069235136</v>
      </c>
      <c r="K3817">
        <v>901694646</v>
      </c>
      <c r="L3817">
        <v>891162882</v>
      </c>
      <c r="M3817">
        <v>623200612</v>
      </c>
      <c r="N3817">
        <v>559380989</v>
      </c>
      <c r="O3817">
        <v>523959089</v>
      </c>
      <c r="P3817">
        <v>305</v>
      </c>
      <c r="Q3817" t="s">
        <v>7981</v>
      </c>
    </row>
    <row r="3818" spans="1:17" x14ac:dyDescent="0.3">
      <c r="A3818" t="s">
        <v>4729</v>
      </c>
      <c r="B3818" t="str">
        <f>"300017"</f>
        <v>300017</v>
      </c>
      <c r="C3818" t="s">
        <v>7982</v>
      </c>
      <c r="D3818" t="s">
        <v>316</v>
      </c>
      <c r="F3818">
        <v>8838944340</v>
      </c>
      <c r="G3818">
        <v>8694553135</v>
      </c>
      <c r="H3818">
        <v>8631219544</v>
      </c>
      <c r="I3818">
        <v>8671613254</v>
      </c>
      <c r="J3818">
        <v>7951250934</v>
      </c>
      <c r="K3818">
        <v>7319988179</v>
      </c>
      <c r="L3818">
        <v>2503090604</v>
      </c>
      <c r="M3818">
        <v>1635967688</v>
      </c>
      <c r="N3818">
        <v>1138233291</v>
      </c>
      <c r="O3818">
        <v>870451006</v>
      </c>
      <c r="P3818">
        <v>759</v>
      </c>
      <c r="Q3818" t="s">
        <v>7983</v>
      </c>
    </row>
    <row r="3819" spans="1:17" x14ac:dyDescent="0.3">
      <c r="A3819" t="s">
        <v>4729</v>
      </c>
      <c r="B3819" t="str">
        <f>"300018"</f>
        <v>300018</v>
      </c>
      <c r="C3819" t="s">
        <v>7984</v>
      </c>
      <c r="D3819" t="s">
        <v>610</v>
      </c>
      <c r="F3819">
        <v>1180087821</v>
      </c>
      <c r="G3819">
        <v>1090478148</v>
      </c>
      <c r="H3819">
        <v>1047198235</v>
      </c>
      <c r="I3819">
        <v>1002431130</v>
      </c>
      <c r="J3819">
        <v>1501263526</v>
      </c>
      <c r="K3819">
        <v>1422456900</v>
      </c>
      <c r="L3819">
        <v>1339718286</v>
      </c>
      <c r="M3819">
        <v>747563012</v>
      </c>
      <c r="N3819">
        <v>717203660</v>
      </c>
      <c r="O3819">
        <v>698067466</v>
      </c>
      <c r="P3819">
        <v>127</v>
      </c>
      <c r="Q3819" t="s">
        <v>7985</v>
      </c>
    </row>
    <row r="3820" spans="1:17" x14ac:dyDescent="0.3">
      <c r="A3820" t="s">
        <v>4729</v>
      </c>
      <c r="B3820" t="str">
        <f>"300019"</f>
        <v>300019</v>
      </c>
      <c r="C3820" t="s">
        <v>7986</v>
      </c>
      <c r="D3820" t="s">
        <v>1205</v>
      </c>
      <c r="F3820">
        <v>2081646648</v>
      </c>
      <c r="G3820">
        <v>1048884911</v>
      </c>
      <c r="H3820">
        <v>891522092</v>
      </c>
      <c r="I3820">
        <v>758396411</v>
      </c>
      <c r="J3820">
        <v>747345362</v>
      </c>
      <c r="K3820">
        <v>728262913</v>
      </c>
      <c r="L3820">
        <v>644890898</v>
      </c>
      <c r="M3820">
        <v>588524940</v>
      </c>
      <c r="N3820">
        <v>540681029</v>
      </c>
      <c r="O3820">
        <v>495935125</v>
      </c>
      <c r="P3820">
        <v>295</v>
      </c>
      <c r="Q3820" t="s">
        <v>7987</v>
      </c>
    </row>
    <row r="3821" spans="1:17" x14ac:dyDescent="0.3">
      <c r="A3821" t="s">
        <v>4729</v>
      </c>
      <c r="B3821" t="str">
        <f>"300020"</f>
        <v>300020</v>
      </c>
      <c r="C3821" t="s">
        <v>7988</v>
      </c>
      <c r="D3821" t="s">
        <v>316</v>
      </c>
      <c r="F3821">
        <v>3450812699</v>
      </c>
      <c r="G3821">
        <v>3472927541</v>
      </c>
      <c r="H3821">
        <v>3293905835</v>
      </c>
      <c r="I3821">
        <v>3232269576</v>
      </c>
      <c r="J3821">
        <v>3071153978</v>
      </c>
      <c r="K3821">
        <v>2984487077</v>
      </c>
      <c r="L3821">
        <v>2666413724</v>
      </c>
      <c r="M3821">
        <v>1846771330</v>
      </c>
      <c r="N3821">
        <v>963069199</v>
      </c>
      <c r="O3821">
        <v>785267961</v>
      </c>
      <c r="P3821">
        <v>237</v>
      </c>
      <c r="Q3821" t="s">
        <v>7989</v>
      </c>
    </row>
    <row r="3822" spans="1:17" x14ac:dyDescent="0.3">
      <c r="A3822" t="s">
        <v>4729</v>
      </c>
      <c r="B3822" t="str">
        <f>"300021"</f>
        <v>300021</v>
      </c>
      <c r="C3822" t="s">
        <v>7990</v>
      </c>
      <c r="D3822" t="s">
        <v>6903</v>
      </c>
      <c r="F3822">
        <v>1562981673</v>
      </c>
      <c r="G3822">
        <v>1499791287</v>
      </c>
      <c r="H3822">
        <v>1473996383</v>
      </c>
      <c r="I3822">
        <v>1442599377</v>
      </c>
      <c r="J3822">
        <v>1390218308</v>
      </c>
      <c r="K3822">
        <v>1333575935</v>
      </c>
      <c r="L3822">
        <v>539893448</v>
      </c>
      <c r="M3822">
        <v>478505583</v>
      </c>
      <c r="N3822">
        <v>474839215</v>
      </c>
      <c r="O3822">
        <v>457735049</v>
      </c>
      <c r="P3822">
        <v>174</v>
      </c>
      <c r="Q3822" t="s">
        <v>7991</v>
      </c>
    </row>
    <row r="3823" spans="1:17" x14ac:dyDescent="0.3">
      <c r="A3823" t="s">
        <v>4729</v>
      </c>
      <c r="B3823" t="str">
        <f>"300022"</f>
        <v>300022</v>
      </c>
      <c r="C3823" t="s">
        <v>7992</v>
      </c>
      <c r="D3823" t="s">
        <v>295</v>
      </c>
      <c r="F3823">
        <v>80749050</v>
      </c>
      <c r="G3823">
        <v>65397306</v>
      </c>
      <c r="H3823">
        <v>82831440</v>
      </c>
      <c r="I3823">
        <v>216463318</v>
      </c>
      <c r="J3823">
        <v>203486675</v>
      </c>
      <c r="K3823">
        <v>251971192</v>
      </c>
      <c r="L3823">
        <v>237284124</v>
      </c>
      <c r="M3823">
        <v>76481223</v>
      </c>
      <c r="N3823">
        <v>467845206</v>
      </c>
      <c r="O3823">
        <v>616178831</v>
      </c>
      <c r="P3823">
        <v>63</v>
      </c>
      <c r="Q3823" t="s">
        <v>7993</v>
      </c>
    </row>
    <row r="3824" spans="1:17" x14ac:dyDescent="0.3">
      <c r="A3824" t="s">
        <v>4729</v>
      </c>
      <c r="B3824" t="str">
        <f>"300023"</f>
        <v>300023</v>
      </c>
      <c r="C3824" t="s">
        <v>7994</v>
      </c>
      <c r="D3824" t="s">
        <v>140</v>
      </c>
      <c r="F3824">
        <v>577346550</v>
      </c>
      <c r="G3824">
        <v>485777724</v>
      </c>
      <c r="H3824">
        <v>487257704</v>
      </c>
      <c r="I3824">
        <v>497012917</v>
      </c>
      <c r="J3824">
        <v>1073017369</v>
      </c>
      <c r="K3824">
        <v>1043326927</v>
      </c>
      <c r="L3824">
        <v>986574823</v>
      </c>
      <c r="M3824">
        <v>339963333</v>
      </c>
      <c r="N3824">
        <v>324329393</v>
      </c>
      <c r="O3824">
        <v>335286591</v>
      </c>
      <c r="P3824">
        <v>61</v>
      </c>
      <c r="Q3824" t="s">
        <v>7995</v>
      </c>
    </row>
    <row r="3825" spans="1:17" x14ac:dyDescent="0.3">
      <c r="A3825" t="s">
        <v>4729</v>
      </c>
      <c r="B3825" t="str">
        <f>"300024"</f>
        <v>300024</v>
      </c>
      <c r="C3825" t="s">
        <v>2938</v>
      </c>
      <c r="D3825" t="s">
        <v>2938</v>
      </c>
      <c r="F3825">
        <v>4154626352</v>
      </c>
      <c r="G3825">
        <v>4772437418</v>
      </c>
      <c r="H3825">
        <v>6482779237</v>
      </c>
      <c r="I3825">
        <v>6219318704</v>
      </c>
      <c r="J3825">
        <v>5931530244</v>
      </c>
      <c r="K3825">
        <v>5566424360</v>
      </c>
      <c r="L3825">
        <v>5219202615</v>
      </c>
      <c r="M3825">
        <v>1934157251</v>
      </c>
      <c r="N3825">
        <v>1615217757</v>
      </c>
      <c r="O3825">
        <v>1395122402</v>
      </c>
      <c r="P3825">
        <v>547</v>
      </c>
      <c r="Q3825" t="s">
        <v>7996</v>
      </c>
    </row>
    <row r="3826" spans="1:17" x14ac:dyDescent="0.3">
      <c r="A3826" t="s">
        <v>4729</v>
      </c>
      <c r="B3826" t="str">
        <f>"300025"</f>
        <v>300025</v>
      </c>
      <c r="C3826" t="s">
        <v>7997</v>
      </c>
      <c r="D3826" t="s">
        <v>654</v>
      </c>
      <c r="F3826">
        <v>298654117</v>
      </c>
      <c r="G3826">
        <v>323203037</v>
      </c>
      <c r="H3826">
        <v>476821981</v>
      </c>
      <c r="I3826">
        <v>758041218</v>
      </c>
      <c r="J3826">
        <v>741394974</v>
      </c>
      <c r="K3826">
        <v>895127760</v>
      </c>
      <c r="L3826">
        <v>834169614</v>
      </c>
      <c r="M3826">
        <v>739889659</v>
      </c>
      <c r="N3826">
        <v>657334348</v>
      </c>
      <c r="O3826">
        <v>343525388</v>
      </c>
      <c r="P3826">
        <v>223</v>
      </c>
      <c r="Q3826" t="s">
        <v>7998</v>
      </c>
    </row>
    <row r="3827" spans="1:17" x14ac:dyDescent="0.3">
      <c r="A3827" t="s">
        <v>4729</v>
      </c>
      <c r="B3827" t="str">
        <f>"300026"</f>
        <v>300026</v>
      </c>
      <c r="C3827" t="s">
        <v>7999</v>
      </c>
      <c r="D3827" t="s">
        <v>188</v>
      </c>
      <c r="F3827">
        <v>7772888665</v>
      </c>
      <c r="G3827">
        <v>7194120602</v>
      </c>
      <c r="H3827">
        <v>6786376504</v>
      </c>
      <c r="I3827">
        <v>6405108240</v>
      </c>
      <c r="J3827">
        <v>6351512761</v>
      </c>
      <c r="K3827">
        <v>5929499381</v>
      </c>
      <c r="L3827">
        <v>5269277915</v>
      </c>
      <c r="M3827">
        <v>2345813677</v>
      </c>
      <c r="N3827">
        <v>1690615674</v>
      </c>
      <c r="O3827">
        <v>1376010669</v>
      </c>
      <c r="P3827">
        <v>417</v>
      </c>
      <c r="Q3827" t="s">
        <v>8000</v>
      </c>
    </row>
    <row r="3828" spans="1:17" x14ac:dyDescent="0.3">
      <c r="A3828" t="s">
        <v>4729</v>
      </c>
      <c r="B3828" t="str">
        <f>"300027"</f>
        <v>300027</v>
      </c>
      <c r="C3828" t="s">
        <v>8001</v>
      </c>
      <c r="D3828" t="s">
        <v>113</v>
      </c>
      <c r="F3828">
        <v>2331064415</v>
      </c>
      <c r="G3828">
        <v>3072275676</v>
      </c>
      <c r="H3828">
        <v>4354567087</v>
      </c>
      <c r="I3828">
        <v>8473733661</v>
      </c>
      <c r="J3828">
        <v>9661200837</v>
      </c>
      <c r="K3828">
        <v>9035953456</v>
      </c>
      <c r="L3828">
        <v>9934748298</v>
      </c>
      <c r="M3828">
        <v>5037415761</v>
      </c>
      <c r="N3828">
        <v>3942472551</v>
      </c>
      <c r="O3828">
        <v>2119726031</v>
      </c>
      <c r="P3828">
        <v>475</v>
      </c>
      <c r="Q3828" t="s">
        <v>8002</v>
      </c>
    </row>
    <row r="3829" spans="1:17" x14ac:dyDescent="0.3">
      <c r="A3829" t="s">
        <v>4729</v>
      </c>
      <c r="B3829" t="str">
        <f>"300028"</f>
        <v>300028</v>
      </c>
      <c r="C3829" t="s">
        <v>8003</v>
      </c>
      <c r="H3829">
        <v>111132791</v>
      </c>
      <c r="I3829">
        <v>150355712</v>
      </c>
      <c r="J3829">
        <v>173562488</v>
      </c>
      <c r="K3829">
        <v>360501949</v>
      </c>
      <c r="L3829">
        <v>363909571</v>
      </c>
      <c r="M3829">
        <v>627614147</v>
      </c>
      <c r="N3829">
        <v>607683606</v>
      </c>
      <c r="O3829">
        <v>749336505</v>
      </c>
      <c r="P3829">
        <v>31</v>
      </c>
      <c r="Q3829" t="s">
        <v>8004</v>
      </c>
    </row>
    <row r="3830" spans="1:17" x14ac:dyDescent="0.3">
      <c r="A3830" t="s">
        <v>4729</v>
      </c>
      <c r="B3830" t="str">
        <f>"300029"</f>
        <v>300029</v>
      </c>
      <c r="C3830" t="s">
        <v>8005</v>
      </c>
      <c r="D3830" t="s">
        <v>2671</v>
      </c>
      <c r="F3830">
        <v>14295316</v>
      </c>
      <c r="G3830">
        <v>12581003</v>
      </c>
      <c r="H3830">
        <v>43622575</v>
      </c>
      <c r="I3830">
        <v>119121911</v>
      </c>
      <c r="J3830">
        <v>255002965</v>
      </c>
      <c r="K3830">
        <v>187981037</v>
      </c>
      <c r="L3830">
        <v>242753039</v>
      </c>
      <c r="M3830">
        <v>596174433</v>
      </c>
      <c r="N3830">
        <v>587084063</v>
      </c>
      <c r="O3830">
        <v>696760275</v>
      </c>
      <c r="P3830">
        <v>66</v>
      </c>
      <c r="Q3830" t="s">
        <v>8006</v>
      </c>
    </row>
    <row r="3831" spans="1:17" x14ac:dyDescent="0.3">
      <c r="A3831" t="s">
        <v>4729</v>
      </c>
      <c r="B3831" t="str">
        <f>"300030"</f>
        <v>300030</v>
      </c>
      <c r="C3831" t="s">
        <v>8007</v>
      </c>
      <c r="D3831" t="s">
        <v>122</v>
      </c>
      <c r="F3831">
        <v>1000189049</v>
      </c>
      <c r="G3831">
        <v>999726561</v>
      </c>
      <c r="H3831">
        <v>835977935</v>
      </c>
      <c r="I3831">
        <v>810836080</v>
      </c>
      <c r="J3831">
        <v>954890101</v>
      </c>
      <c r="K3831">
        <v>944379295</v>
      </c>
      <c r="L3831">
        <v>920683254</v>
      </c>
      <c r="M3831">
        <v>729972101</v>
      </c>
      <c r="N3831">
        <v>684345415</v>
      </c>
      <c r="O3831">
        <v>646031110</v>
      </c>
      <c r="P3831">
        <v>182</v>
      </c>
      <c r="Q3831" t="s">
        <v>8008</v>
      </c>
    </row>
    <row r="3832" spans="1:17" x14ac:dyDescent="0.3">
      <c r="A3832" t="s">
        <v>4729</v>
      </c>
      <c r="B3832" t="str">
        <f>"300031"</f>
        <v>300031</v>
      </c>
      <c r="C3832" t="s">
        <v>8009</v>
      </c>
      <c r="D3832" t="s">
        <v>517</v>
      </c>
      <c r="F3832">
        <v>3820741702</v>
      </c>
      <c r="G3832">
        <v>2938181025</v>
      </c>
      <c r="H3832">
        <v>2636272813</v>
      </c>
      <c r="I3832">
        <v>2265293512</v>
      </c>
      <c r="J3832">
        <v>2286926173</v>
      </c>
      <c r="K3832">
        <v>2554324493</v>
      </c>
      <c r="L3832">
        <v>891828017</v>
      </c>
      <c r="M3832">
        <v>823542975</v>
      </c>
      <c r="N3832">
        <v>794928497</v>
      </c>
      <c r="O3832">
        <v>737782307</v>
      </c>
      <c r="P3832">
        <v>259</v>
      </c>
      <c r="Q3832" t="s">
        <v>8010</v>
      </c>
    </row>
    <row r="3833" spans="1:17" x14ac:dyDescent="0.3">
      <c r="A3833" t="s">
        <v>4729</v>
      </c>
      <c r="B3833" t="str">
        <f>"300032"</f>
        <v>300032</v>
      </c>
      <c r="C3833" t="s">
        <v>8011</v>
      </c>
      <c r="D3833" t="s">
        <v>313</v>
      </c>
      <c r="F3833">
        <v>1141683772</v>
      </c>
      <c r="G3833">
        <v>1244149623</v>
      </c>
      <c r="H3833">
        <v>1479413046</v>
      </c>
      <c r="I3833">
        <v>1419312860</v>
      </c>
      <c r="J3833">
        <v>4042198587</v>
      </c>
      <c r="K3833">
        <v>4694620714</v>
      </c>
      <c r="L3833">
        <v>2143004389</v>
      </c>
      <c r="M3833">
        <v>1849712611</v>
      </c>
      <c r="N3833">
        <v>831936719</v>
      </c>
      <c r="O3833">
        <v>824996869</v>
      </c>
      <c r="P3833">
        <v>152</v>
      </c>
      <c r="Q3833" t="s">
        <v>8012</v>
      </c>
    </row>
    <row r="3834" spans="1:17" x14ac:dyDescent="0.3">
      <c r="A3834" t="s">
        <v>4729</v>
      </c>
      <c r="B3834" t="str">
        <f>"300033"</f>
        <v>300033</v>
      </c>
      <c r="C3834" t="s">
        <v>8013</v>
      </c>
      <c r="D3834" t="s">
        <v>945</v>
      </c>
      <c r="F3834">
        <v>6476714843</v>
      </c>
      <c r="G3834">
        <v>5224211026</v>
      </c>
      <c r="H3834">
        <v>3990051777</v>
      </c>
      <c r="I3834">
        <v>3339890154</v>
      </c>
      <c r="J3834">
        <v>3169150927</v>
      </c>
      <c r="K3834">
        <v>2953180439</v>
      </c>
      <c r="L3834">
        <v>2127165497</v>
      </c>
      <c r="M3834">
        <v>1191485142</v>
      </c>
      <c r="N3834">
        <v>1139097984</v>
      </c>
      <c r="O3834">
        <v>1125172988</v>
      </c>
      <c r="P3834">
        <v>2726</v>
      </c>
      <c r="Q3834" t="s">
        <v>8014</v>
      </c>
    </row>
    <row r="3835" spans="1:17" x14ac:dyDescent="0.3">
      <c r="A3835" t="s">
        <v>4729</v>
      </c>
      <c r="B3835" t="str">
        <f>"300034"</f>
        <v>300034</v>
      </c>
      <c r="C3835" t="s">
        <v>8015</v>
      </c>
      <c r="D3835" t="s">
        <v>98</v>
      </c>
      <c r="F3835">
        <v>2846390164</v>
      </c>
      <c r="G3835">
        <v>2249963174</v>
      </c>
      <c r="H3835">
        <v>2056492786</v>
      </c>
      <c r="I3835">
        <v>1795480333</v>
      </c>
      <c r="J3835">
        <v>1353300842</v>
      </c>
      <c r="K3835">
        <v>1299715898</v>
      </c>
      <c r="L3835">
        <v>1200412775</v>
      </c>
      <c r="M3835">
        <v>1097943675</v>
      </c>
      <c r="N3835">
        <v>1014453043</v>
      </c>
      <c r="O3835">
        <v>954434464</v>
      </c>
      <c r="P3835">
        <v>282</v>
      </c>
      <c r="Q3835" t="s">
        <v>8016</v>
      </c>
    </row>
    <row r="3836" spans="1:17" x14ac:dyDescent="0.3">
      <c r="A3836" t="s">
        <v>4729</v>
      </c>
      <c r="B3836" t="str">
        <f>"300035"</f>
        <v>300035</v>
      </c>
      <c r="C3836" t="s">
        <v>8017</v>
      </c>
      <c r="D3836" t="s">
        <v>1790</v>
      </c>
      <c r="F3836">
        <v>2441463111</v>
      </c>
      <c r="G3836">
        <v>2092720445</v>
      </c>
      <c r="H3836">
        <v>1929551156</v>
      </c>
      <c r="I3836">
        <v>1246091804</v>
      </c>
      <c r="J3836">
        <v>1124945433</v>
      </c>
      <c r="K3836">
        <v>818566330</v>
      </c>
      <c r="L3836">
        <v>842620200</v>
      </c>
      <c r="M3836">
        <v>850713672</v>
      </c>
      <c r="N3836">
        <v>833403348</v>
      </c>
      <c r="O3836">
        <v>761985718</v>
      </c>
      <c r="P3836">
        <v>272</v>
      </c>
      <c r="Q3836" t="s">
        <v>8018</v>
      </c>
    </row>
    <row r="3837" spans="1:17" x14ac:dyDescent="0.3">
      <c r="A3837" t="s">
        <v>4729</v>
      </c>
      <c r="B3837" t="str">
        <f>"300036"</f>
        <v>300036</v>
      </c>
      <c r="C3837" t="s">
        <v>8019</v>
      </c>
      <c r="D3837" t="s">
        <v>1189</v>
      </c>
      <c r="F3837">
        <v>3176467614</v>
      </c>
      <c r="G3837">
        <v>2149331044</v>
      </c>
      <c r="H3837">
        <v>2127971620</v>
      </c>
      <c r="I3837">
        <v>1935136167</v>
      </c>
      <c r="J3837">
        <v>1805894167</v>
      </c>
      <c r="K3837">
        <v>1615854933</v>
      </c>
      <c r="L3837">
        <v>691442063</v>
      </c>
      <c r="M3837">
        <v>646431275</v>
      </c>
      <c r="N3837">
        <v>625827598</v>
      </c>
      <c r="O3837">
        <v>562170380</v>
      </c>
      <c r="P3837">
        <v>545</v>
      </c>
      <c r="Q3837" t="s">
        <v>8020</v>
      </c>
    </row>
    <row r="3838" spans="1:17" x14ac:dyDescent="0.3">
      <c r="A3838" t="s">
        <v>4729</v>
      </c>
      <c r="B3838" t="str">
        <f>"300037"</f>
        <v>300037</v>
      </c>
      <c r="C3838" t="s">
        <v>8021</v>
      </c>
      <c r="D3838" t="s">
        <v>1790</v>
      </c>
      <c r="F3838">
        <v>6769536123</v>
      </c>
      <c r="G3838">
        <v>4978625076</v>
      </c>
      <c r="H3838">
        <v>3244385380</v>
      </c>
      <c r="I3838">
        <v>2770963989</v>
      </c>
      <c r="J3838">
        <v>2418748543</v>
      </c>
      <c r="K3838">
        <v>2178082551</v>
      </c>
      <c r="L3838">
        <v>1976262955</v>
      </c>
      <c r="M3838">
        <v>1342667842</v>
      </c>
      <c r="N3838">
        <v>1251846891</v>
      </c>
      <c r="O3838">
        <v>1169673630</v>
      </c>
      <c r="P3838">
        <v>830</v>
      </c>
      <c r="Q3838" t="s">
        <v>8022</v>
      </c>
    </row>
    <row r="3839" spans="1:17" x14ac:dyDescent="0.3">
      <c r="A3839" t="s">
        <v>4729</v>
      </c>
      <c r="B3839" t="str">
        <f>"300038"</f>
        <v>300038</v>
      </c>
      <c r="C3839" t="s">
        <v>8023</v>
      </c>
      <c r="D3839" t="s">
        <v>207</v>
      </c>
      <c r="F3839">
        <v>1377878766</v>
      </c>
      <c r="G3839">
        <v>2820260609</v>
      </c>
      <c r="H3839">
        <v>10968543402</v>
      </c>
      <c r="I3839">
        <v>10515299297</v>
      </c>
      <c r="J3839">
        <v>9886852369</v>
      </c>
      <c r="K3839">
        <v>1962609281</v>
      </c>
      <c r="L3839">
        <v>1881184479</v>
      </c>
      <c r="M3839">
        <v>1061275066</v>
      </c>
      <c r="N3839">
        <v>1007356632</v>
      </c>
      <c r="O3839">
        <v>779627649</v>
      </c>
      <c r="P3839">
        <v>263</v>
      </c>
      <c r="Q3839" t="s">
        <v>8024</v>
      </c>
    </row>
    <row r="3840" spans="1:17" x14ac:dyDescent="0.3">
      <c r="A3840" t="s">
        <v>4729</v>
      </c>
      <c r="B3840" t="str">
        <f>"300039"</f>
        <v>300039</v>
      </c>
      <c r="C3840" t="s">
        <v>8025</v>
      </c>
      <c r="D3840" t="s">
        <v>188</v>
      </c>
      <c r="F3840">
        <v>3044914137</v>
      </c>
      <c r="G3840">
        <v>2578324384</v>
      </c>
      <c r="H3840">
        <v>2569491638</v>
      </c>
      <c r="I3840">
        <v>2485128993</v>
      </c>
      <c r="J3840">
        <v>2365465936</v>
      </c>
      <c r="K3840">
        <v>2200310644</v>
      </c>
      <c r="L3840">
        <v>2005509346</v>
      </c>
      <c r="M3840">
        <v>1884645171</v>
      </c>
      <c r="N3840">
        <v>1606093465</v>
      </c>
      <c r="O3840">
        <v>1418798023</v>
      </c>
      <c r="P3840">
        <v>223</v>
      </c>
      <c r="Q3840" t="s">
        <v>8026</v>
      </c>
    </row>
    <row r="3841" spans="1:17" x14ac:dyDescent="0.3">
      <c r="A3841" t="s">
        <v>4729</v>
      </c>
      <c r="B3841" t="str">
        <f>"300040"</f>
        <v>300040</v>
      </c>
      <c r="C3841" t="s">
        <v>8027</v>
      </c>
      <c r="D3841" t="s">
        <v>610</v>
      </c>
      <c r="F3841">
        <v>2638669422</v>
      </c>
      <c r="G3841">
        <v>2196397849</v>
      </c>
      <c r="H3841">
        <v>1942592338</v>
      </c>
      <c r="I3841">
        <v>1908729977</v>
      </c>
      <c r="J3841">
        <v>1865251846</v>
      </c>
      <c r="K3841">
        <v>1784363558</v>
      </c>
      <c r="L3841">
        <v>1640005719</v>
      </c>
      <c r="M3841">
        <v>1183668190</v>
      </c>
      <c r="N3841">
        <v>1253281434</v>
      </c>
      <c r="O3841">
        <v>1271986272</v>
      </c>
      <c r="P3841">
        <v>214</v>
      </c>
      <c r="Q3841" t="s">
        <v>8028</v>
      </c>
    </row>
    <row r="3842" spans="1:17" x14ac:dyDescent="0.3">
      <c r="A3842" t="s">
        <v>4729</v>
      </c>
      <c r="B3842" t="str">
        <f>"300041"</f>
        <v>300041</v>
      </c>
      <c r="C3842" t="s">
        <v>8029</v>
      </c>
      <c r="D3842" t="s">
        <v>1205</v>
      </c>
      <c r="F3842">
        <v>2200885449</v>
      </c>
      <c r="G3842">
        <v>1942891325</v>
      </c>
      <c r="H3842">
        <v>1676568129</v>
      </c>
      <c r="I3842">
        <v>1762382701</v>
      </c>
      <c r="J3842">
        <v>1875869669</v>
      </c>
      <c r="K3842">
        <v>1576068985</v>
      </c>
      <c r="L3842">
        <v>1509088588</v>
      </c>
      <c r="M3842">
        <v>1060525912</v>
      </c>
      <c r="N3842">
        <v>978008883</v>
      </c>
      <c r="O3842">
        <v>915498918</v>
      </c>
      <c r="P3842">
        <v>253</v>
      </c>
      <c r="Q3842" t="s">
        <v>8030</v>
      </c>
    </row>
    <row r="3843" spans="1:17" x14ac:dyDescent="0.3">
      <c r="A3843" t="s">
        <v>4729</v>
      </c>
      <c r="B3843" t="str">
        <f>"300042"</f>
        <v>300042</v>
      </c>
      <c r="C3843" t="s">
        <v>8031</v>
      </c>
      <c r="D3843" t="s">
        <v>236</v>
      </c>
      <c r="F3843">
        <v>1118985767</v>
      </c>
      <c r="G3843">
        <v>1063519517</v>
      </c>
      <c r="H3843">
        <v>1004580355</v>
      </c>
      <c r="I3843">
        <v>954979971</v>
      </c>
      <c r="J3843">
        <v>908570839</v>
      </c>
      <c r="K3843">
        <v>878089192</v>
      </c>
      <c r="L3843">
        <v>843909290</v>
      </c>
      <c r="M3843">
        <v>831902033</v>
      </c>
      <c r="N3843">
        <v>811839276</v>
      </c>
      <c r="O3843">
        <v>819274797</v>
      </c>
      <c r="P3843">
        <v>116</v>
      </c>
      <c r="Q3843" t="s">
        <v>8032</v>
      </c>
    </row>
    <row r="3844" spans="1:17" x14ac:dyDescent="0.3">
      <c r="A3844" t="s">
        <v>4729</v>
      </c>
      <c r="B3844" t="str">
        <f>"300043"</f>
        <v>300043</v>
      </c>
      <c r="C3844" t="s">
        <v>8033</v>
      </c>
      <c r="D3844" t="s">
        <v>517</v>
      </c>
      <c r="F3844">
        <v>2128025739</v>
      </c>
      <c r="G3844">
        <v>2937668314</v>
      </c>
      <c r="H3844">
        <v>2946510369</v>
      </c>
      <c r="I3844">
        <v>2766323200</v>
      </c>
      <c r="J3844">
        <v>2543946710</v>
      </c>
      <c r="K3844">
        <v>2355889497</v>
      </c>
      <c r="L3844">
        <v>2094211005</v>
      </c>
      <c r="M3844">
        <v>1903870536</v>
      </c>
      <c r="N3844">
        <v>1018874010</v>
      </c>
      <c r="O3844">
        <v>859080677</v>
      </c>
      <c r="P3844">
        <v>183</v>
      </c>
      <c r="Q3844" t="s">
        <v>8034</v>
      </c>
    </row>
    <row r="3845" spans="1:17" x14ac:dyDescent="0.3">
      <c r="A3845" t="s">
        <v>4729</v>
      </c>
      <c r="B3845" t="str">
        <f>"300044"</f>
        <v>300044</v>
      </c>
      <c r="C3845" t="s">
        <v>8035</v>
      </c>
      <c r="D3845" t="s">
        <v>316</v>
      </c>
      <c r="F3845">
        <v>1034382777</v>
      </c>
      <c r="G3845">
        <v>1657944433</v>
      </c>
      <c r="H3845">
        <v>1717392776</v>
      </c>
      <c r="I3845">
        <v>2317769102</v>
      </c>
      <c r="J3845">
        <v>2257794171</v>
      </c>
      <c r="K3845">
        <v>839957380</v>
      </c>
      <c r="L3845">
        <v>734647011</v>
      </c>
      <c r="M3845">
        <v>649425257</v>
      </c>
      <c r="N3845">
        <v>618717268</v>
      </c>
      <c r="O3845">
        <v>578759633</v>
      </c>
      <c r="P3845">
        <v>289</v>
      </c>
      <c r="Q3845" t="s">
        <v>8036</v>
      </c>
    </row>
    <row r="3846" spans="1:17" x14ac:dyDescent="0.3">
      <c r="A3846" t="s">
        <v>4729</v>
      </c>
      <c r="B3846" t="str">
        <f>"300045"</f>
        <v>300045</v>
      </c>
      <c r="C3846" t="s">
        <v>8037</v>
      </c>
      <c r="D3846" t="s">
        <v>1136</v>
      </c>
      <c r="F3846">
        <v>1507150569</v>
      </c>
      <c r="G3846">
        <v>1741488372</v>
      </c>
      <c r="H3846">
        <v>1702928419</v>
      </c>
      <c r="I3846">
        <v>1878446277</v>
      </c>
      <c r="J3846">
        <v>1358697126</v>
      </c>
      <c r="K3846">
        <v>997382533</v>
      </c>
      <c r="L3846">
        <v>893492787</v>
      </c>
      <c r="M3846">
        <v>824046205</v>
      </c>
      <c r="N3846">
        <v>758788501</v>
      </c>
      <c r="O3846">
        <v>743773948</v>
      </c>
      <c r="P3846">
        <v>158</v>
      </c>
      <c r="Q3846" t="s">
        <v>8038</v>
      </c>
    </row>
    <row r="3847" spans="1:17" x14ac:dyDescent="0.3">
      <c r="A3847" t="s">
        <v>4729</v>
      </c>
      <c r="B3847" t="str">
        <f>"300046"</f>
        <v>300046</v>
      </c>
      <c r="C3847" t="s">
        <v>8039</v>
      </c>
      <c r="D3847" t="s">
        <v>795</v>
      </c>
      <c r="F3847">
        <v>1026771637</v>
      </c>
      <c r="G3847">
        <v>642478361</v>
      </c>
      <c r="H3847">
        <v>610160551</v>
      </c>
      <c r="I3847">
        <v>895704578</v>
      </c>
      <c r="J3847">
        <v>838348845</v>
      </c>
      <c r="K3847">
        <v>792065016</v>
      </c>
      <c r="L3847">
        <v>789041551</v>
      </c>
      <c r="M3847">
        <v>817137555</v>
      </c>
      <c r="N3847">
        <v>830066991</v>
      </c>
      <c r="O3847">
        <v>846726639</v>
      </c>
      <c r="P3847">
        <v>225</v>
      </c>
      <c r="Q3847" t="s">
        <v>8040</v>
      </c>
    </row>
    <row r="3848" spans="1:17" x14ac:dyDescent="0.3">
      <c r="A3848" t="s">
        <v>4729</v>
      </c>
      <c r="B3848" t="str">
        <f>"300047"</f>
        <v>300047</v>
      </c>
      <c r="C3848" t="s">
        <v>8041</v>
      </c>
      <c r="D3848" t="s">
        <v>945</v>
      </c>
      <c r="F3848">
        <v>3306668054</v>
      </c>
      <c r="G3848">
        <v>3273323873</v>
      </c>
      <c r="H3848">
        <v>3149958956</v>
      </c>
      <c r="I3848">
        <v>3023700594</v>
      </c>
      <c r="J3848">
        <v>2829131493</v>
      </c>
      <c r="K3848">
        <v>1976878017</v>
      </c>
      <c r="L3848">
        <v>1309268823</v>
      </c>
      <c r="M3848">
        <v>1225036775</v>
      </c>
      <c r="N3848">
        <v>1150043829</v>
      </c>
      <c r="O3848">
        <v>1041949730</v>
      </c>
      <c r="P3848">
        <v>338</v>
      </c>
      <c r="Q3848" t="s">
        <v>8042</v>
      </c>
    </row>
    <row r="3849" spans="1:17" x14ac:dyDescent="0.3">
      <c r="A3849" t="s">
        <v>4729</v>
      </c>
      <c r="B3849" t="str">
        <f>"300048"</f>
        <v>300048</v>
      </c>
      <c r="C3849" t="s">
        <v>8043</v>
      </c>
      <c r="D3849" t="s">
        <v>2432</v>
      </c>
      <c r="F3849">
        <v>1801628115</v>
      </c>
      <c r="G3849">
        <v>1738777607</v>
      </c>
      <c r="H3849">
        <v>2250800383</v>
      </c>
      <c r="I3849">
        <v>2230394792</v>
      </c>
      <c r="J3849">
        <v>2480828694</v>
      </c>
      <c r="K3849">
        <v>2474398386</v>
      </c>
      <c r="L3849">
        <v>2320766071</v>
      </c>
      <c r="M3849">
        <v>1521188688</v>
      </c>
      <c r="N3849">
        <v>1494386606</v>
      </c>
      <c r="O3849">
        <v>1500641500</v>
      </c>
      <c r="P3849">
        <v>119</v>
      </c>
      <c r="Q3849" t="s">
        <v>8044</v>
      </c>
    </row>
    <row r="3850" spans="1:17" x14ac:dyDescent="0.3">
      <c r="A3850" t="s">
        <v>4729</v>
      </c>
      <c r="B3850" t="str">
        <f>"300049"</f>
        <v>300049</v>
      </c>
      <c r="C3850" t="s">
        <v>8045</v>
      </c>
      <c r="D3850" t="s">
        <v>122</v>
      </c>
      <c r="F3850">
        <v>1519561333</v>
      </c>
      <c r="G3850">
        <v>1352027930</v>
      </c>
      <c r="H3850">
        <v>1318750607</v>
      </c>
      <c r="I3850">
        <v>1331989130</v>
      </c>
      <c r="J3850">
        <v>1502520319</v>
      </c>
      <c r="K3850">
        <v>1462369062</v>
      </c>
      <c r="L3850">
        <v>1341026749</v>
      </c>
      <c r="M3850">
        <v>835008574</v>
      </c>
      <c r="N3850">
        <v>713858517</v>
      </c>
      <c r="O3850">
        <v>707961339</v>
      </c>
      <c r="P3850">
        <v>144</v>
      </c>
      <c r="Q3850" t="s">
        <v>8046</v>
      </c>
    </row>
    <row r="3851" spans="1:17" x14ac:dyDescent="0.3">
      <c r="A3851" t="s">
        <v>4729</v>
      </c>
      <c r="B3851" t="str">
        <f>"300050"</f>
        <v>300050</v>
      </c>
      <c r="C3851" t="s">
        <v>8047</v>
      </c>
      <c r="D3851" t="s">
        <v>654</v>
      </c>
      <c r="F3851">
        <v>1011155741</v>
      </c>
      <c r="G3851">
        <v>2425418149</v>
      </c>
      <c r="H3851">
        <v>2389451114</v>
      </c>
      <c r="I3851">
        <v>2853861546</v>
      </c>
      <c r="J3851">
        <v>2792244889</v>
      </c>
      <c r="K3851">
        <v>2145077772</v>
      </c>
      <c r="L3851">
        <v>2061309311</v>
      </c>
      <c r="M3851">
        <v>1959171959</v>
      </c>
      <c r="N3851">
        <v>1411959271</v>
      </c>
      <c r="O3851">
        <v>1545825412</v>
      </c>
      <c r="P3851">
        <v>164</v>
      </c>
      <c r="Q3851" t="s">
        <v>8048</v>
      </c>
    </row>
    <row r="3852" spans="1:17" x14ac:dyDescent="0.3">
      <c r="A3852" t="s">
        <v>4729</v>
      </c>
      <c r="B3852" t="str">
        <f>"300051"</f>
        <v>300051</v>
      </c>
      <c r="C3852" t="s">
        <v>8049</v>
      </c>
      <c r="D3852" t="s">
        <v>517</v>
      </c>
      <c r="F3852">
        <v>225122084</v>
      </c>
      <c r="G3852">
        <v>244788215</v>
      </c>
      <c r="H3852">
        <v>313096457</v>
      </c>
      <c r="I3852">
        <v>516570021</v>
      </c>
      <c r="J3852">
        <v>978932008</v>
      </c>
      <c r="K3852">
        <v>918195599</v>
      </c>
      <c r="L3852">
        <v>865529935</v>
      </c>
      <c r="M3852">
        <v>497168756</v>
      </c>
      <c r="N3852">
        <v>505260792</v>
      </c>
      <c r="O3852">
        <v>488428608</v>
      </c>
      <c r="P3852">
        <v>104</v>
      </c>
      <c r="Q3852" t="s">
        <v>8050</v>
      </c>
    </row>
    <row r="3853" spans="1:17" x14ac:dyDescent="0.3">
      <c r="A3853" t="s">
        <v>4729</v>
      </c>
      <c r="B3853" t="str">
        <f>"300052"</f>
        <v>300052</v>
      </c>
      <c r="C3853" t="s">
        <v>8051</v>
      </c>
      <c r="D3853" t="s">
        <v>517</v>
      </c>
      <c r="F3853">
        <v>639157287</v>
      </c>
      <c r="G3853">
        <v>696528257</v>
      </c>
      <c r="H3853">
        <v>834144422</v>
      </c>
      <c r="I3853">
        <v>749629104</v>
      </c>
      <c r="J3853">
        <v>751785507</v>
      </c>
      <c r="K3853">
        <v>949795090</v>
      </c>
      <c r="L3853">
        <v>1001998427</v>
      </c>
      <c r="M3853">
        <v>922328642</v>
      </c>
      <c r="N3853">
        <v>945783323</v>
      </c>
      <c r="O3853">
        <v>893248437</v>
      </c>
      <c r="P3853">
        <v>219</v>
      </c>
      <c r="Q3853" t="s">
        <v>8052</v>
      </c>
    </row>
    <row r="3854" spans="1:17" x14ac:dyDescent="0.3">
      <c r="A3854" t="s">
        <v>4729</v>
      </c>
      <c r="B3854" t="str">
        <f>"300053"</f>
        <v>300053</v>
      </c>
      <c r="C3854" t="s">
        <v>8053</v>
      </c>
      <c r="D3854" t="s">
        <v>461</v>
      </c>
      <c r="F3854">
        <v>3071448978</v>
      </c>
      <c r="G3854">
        <v>3031228449</v>
      </c>
      <c r="H3854">
        <v>2924865815</v>
      </c>
      <c r="I3854">
        <v>3202860188</v>
      </c>
      <c r="J3854">
        <v>2064076395</v>
      </c>
      <c r="K3854">
        <v>1958501332</v>
      </c>
      <c r="L3854">
        <v>1246223550</v>
      </c>
      <c r="M3854">
        <v>656978893</v>
      </c>
      <c r="N3854">
        <v>636061948</v>
      </c>
      <c r="O3854">
        <v>611881875</v>
      </c>
      <c r="P3854">
        <v>264</v>
      </c>
      <c r="Q3854" t="s">
        <v>8054</v>
      </c>
    </row>
    <row r="3855" spans="1:17" x14ac:dyDescent="0.3">
      <c r="A3855" t="s">
        <v>4729</v>
      </c>
      <c r="B3855" t="str">
        <f>"300054"</f>
        <v>300054</v>
      </c>
      <c r="C3855" t="s">
        <v>8055</v>
      </c>
      <c r="D3855" t="s">
        <v>2408</v>
      </c>
      <c r="F3855">
        <v>4027815378</v>
      </c>
      <c r="G3855">
        <v>3548737486</v>
      </c>
      <c r="H3855">
        <v>3785426867</v>
      </c>
      <c r="I3855">
        <v>3688543006</v>
      </c>
      <c r="J3855">
        <v>3590139843</v>
      </c>
      <c r="K3855">
        <v>2300637884</v>
      </c>
      <c r="L3855">
        <v>1321105061</v>
      </c>
      <c r="M3855">
        <v>1173517997</v>
      </c>
      <c r="N3855">
        <v>1040273827</v>
      </c>
      <c r="O3855">
        <v>657178605</v>
      </c>
      <c r="P3855">
        <v>367</v>
      </c>
      <c r="Q3855" t="s">
        <v>8056</v>
      </c>
    </row>
    <row r="3856" spans="1:17" x14ac:dyDescent="0.3">
      <c r="A3856" t="s">
        <v>4729</v>
      </c>
      <c r="B3856" t="str">
        <f>"300055"</f>
        <v>300055</v>
      </c>
      <c r="C3856" t="s">
        <v>8057</v>
      </c>
      <c r="D3856" t="s">
        <v>33</v>
      </c>
      <c r="F3856">
        <v>5104436825</v>
      </c>
      <c r="G3856">
        <v>5344851814</v>
      </c>
      <c r="H3856">
        <v>5733578616</v>
      </c>
      <c r="I3856">
        <v>5636896553</v>
      </c>
      <c r="J3856">
        <v>5784645230</v>
      </c>
      <c r="K3856">
        <v>5485876349</v>
      </c>
      <c r="L3856">
        <v>2891326080</v>
      </c>
      <c r="M3856">
        <v>2608576185</v>
      </c>
      <c r="N3856">
        <v>1842921438</v>
      </c>
      <c r="O3856">
        <v>1736695438</v>
      </c>
      <c r="P3856">
        <v>163</v>
      </c>
      <c r="Q3856" t="s">
        <v>8058</v>
      </c>
    </row>
    <row r="3857" spans="1:17" x14ac:dyDescent="0.3">
      <c r="A3857" t="s">
        <v>4729</v>
      </c>
      <c r="B3857" t="str">
        <f>"300056"</f>
        <v>300056</v>
      </c>
      <c r="C3857" t="s">
        <v>8059</v>
      </c>
      <c r="D3857" t="s">
        <v>663</v>
      </c>
      <c r="F3857">
        <v>497639717</v>
      </c>
      <c r="G3857">
        <v>970836728</v>
      </c>
      <c r="H3857">
        <v>948330384</v>
      </c>
      <c r="I3857">
        <v>971294645</v>
      </c>
      <c r="J3857">
        <v>1400283209</v>
      </c>
      <c r="K3857">
        <v>1159652296</v>
      </c>
      <c r="L3857">
        <v>742333041</v>
      </c>
      <c r="M3857">
        <v>463523216</v>
      </c>
      <c r="N3857">
        <v>423590674</v>
      </c>
      <c r="O3857">
        <v>377797147</v>
      </c>
      <c r="P3857">
        <v>87</v>
      </c>
      <c r="Q3857" t="s">
        <v>8060</v>
      </c>
    </row>
    <row r="3858" spans="1:17" x14ac:dyDescent="0.3">
      <c r="A3858" t="s">
        <v>4729</v>
      </c>
      <c r="B3858" t="str">
        <f>"300057"</f>
        <v>300057</v>
      </c>
      <c r="C3858" t="s">
        <v>8061</v>
      </c>
      <c r="D3858" t="s">
        <v>504</v>
      </c>
      <c r="F3858">
        <v>3529304014</v>
      </c>
      <c r="G3858">
        <v>3639703697</v>
      </c>
      <c r="H3858">
        <v>3385436059</v>
      </c>
      <c r="I3858">
        <v>2686906029</v>
      </c>
      <c r="J3858">
        <v>2385611471</v>
      </c>
      <c r="K3858">
        <v>2323685161</v>
      </c>
      <c r="L3858">
        <v>2261055827</v>
      </c>
      <c r="M3858">
        <v>1766862841</v>
      </c>
      <c r="N3858">
        <v>1590163488</v>
      </c>
      <c r="O3858">
        <v>1453669519</v>
      </c>
      <c r="P3858">
        <v>438</v>
      </c>
      <c r="Q3858" t="s">
        <v>8062</v>
      </c>
    </row>
    <row r="3859" spans="1:17" x14ac:dyDescent="0.3">
      <c r="A3859" t="s">
        <v>4729</v>
      </c>
      <c r="B3859" t="str">
        <f>"300058"</f>
        <v>300058</v>
      </c>
      <c r="C3859" t="s">
        <v>8063</v>
      </c>
      <c r="D3859" t="s">
        <v>207</v>
      </c>
      <c r="F3859">
        <v>9402913498</v>
      </c>
      <c r="G3859">
        <v>8978414877</v>
      </c>
      <c r="H3859">
        <v>8694012053</v>
      </c>
      <c r="I3859">
        <v>6333760964</v>
      </c>
      <c r="J3859">
        <v>6170028007</v>
      </c>
      <c r="K3859">
        <v>5422183725</v>
      </c>
      <c r="L3859">
        <v>4215781834</v>
      </c>
      <c r="M3859">
        <v>4473605968</v>
      </c>
      <c r="N3859">
        <v>3767906610</v>
      </c>
      <c r="O3859">
        <v>1375073047</v>
      </c>
      <c r="P3859">
        <v>457</v>
      </c>
      <c r="Q3859" t="s">
        <v>8064</v>
      </c>
    </row>
    <row r="3860" spans="1:17" x14ac:dyDescent="0.3">
      <c r="A3860" t="s">
        <v>4729</v>
      </c>
      <c r="B3860" t="str">
        <f>"300059"</f>
        <v>300059</v>
      </c>
      <c r="C3860" t="s">
        <v>8065</v>
      </c>
      <c r="D3860" t="s">
        <v>80</v>
      </c>
      <c r="F3860">
        <v>42083804407</v>
      </c>
      <c r="G3860">
        <v>33156467221</v>
      </c>
      <c r="H3860">
        <v>21212489255</v>
      </c>
      <c r="I3860">
        <v>14476291075</v>
      </c>
      <c r="J3860">
        <v>13458501665</v>
      </c>
      <c r="K3860">
        <v>12825034735</v>
      </c>
      <c r="L3860">
        <v>8169289461</v>
      </c>
      <c r="M3860">
        <v>1879707468</v>
      </c>
      <c r="N3860">
        <v>1689108559</v>
      </c>
      <c r="O3860">
        <v>1719485115</v>
      </c>
      <c r="P3860">
        <v>5893</v>
      </c>
      <c r="Q3860" t="s">
        <v>8066</v>
      </c>
    </row>
    <row r="3861" spans="1:17" x14ac:dyDescent="0.3">
      <c r="A3861" t="s">
        <v>4729</v>
      </c>
      <c r="B3861" t="str">
        <f>"300061"</f>
        <v>300061</v>
      </c>
      <c r="C3861" t="s">
        <v>8067</v>
      </c>
      <c r="D3861" t="s">
        <v>207</v>
      </c>
      <c r="F3861">
        <v>1184030673</v>
      </c>
      <c r="G3861">
        <v>1299463217</v>
      </c>
      <c r="H3861">
        <v>2290112280</v>
      </c>
      <c r="I3861">
        <v>2336969648</v>
      </c>
      <c r="J3861">
        <v>3504227165</v>
      </c>
      <c r="K3861">
        <v>3231391913</v>
      </c>
      <c r="L3861">
        <v>429633132</v>
      </c>
      <c r="M3861">
        <v>401226136</v>
      </c>
      <c r="N3861">
        <v>396510439</v>
      </c>
      <c r="O3861">
        <v>377855952</v>
      </c>
      <c r="P3861">
        <v>120</v>
      </c>
      <c r="Q3861" t="s">
        <v>8068</v>
      </c>
    </row>
    <row r="3862" spans="1:17" x14ac:dyDescent="0.3">
      <c r="A3862" t="s">
        <v>4729</v>
      </c>
      <c r="B3862" t="str">
        <f>"300062"</f>
        <v>300062</v>
      </c>
      <c r="C3862" t="s">
        <v>8069</v>
      </c>
      <c r="D3862" t="s">
        <v>210</v>
      </c>
      <c r="F3862">
        <v>811534380</v>
      </c>
      <c r="G3862">
        <v>797054874</v>
      </c>
      <c r="H3862">
        <v>790974595</v>
      </c>
      <c r="I3862">
        <v>799052645</v>
      </c>
      <c r="J3862">
        <v>795307393</v>
      </c>
      <c r="K3862">
        <v>864250234</v>
      </c>
      <c r="L3862">
        <v>767733270</v>
      </c>
      <c r="M3862">
        <v>763538392</v>
      </c>
      <c r="N3862">
        <v>740011786</v>
      </c>
      <c r="O3862">
        <v>717373604</v>
      </c>
      <c r="P3862">
        <v>125</v>
      </c>
      <c r="Q3862" t="s">
        <v>8070</v>
      </c>
    </row>
    <row r="3863" spans="1:17" x14ac:dyDescent="0.3">
      <c r="A3863" t="s">
        <v>4729</v>
      </c>
      <c r="B3863" t="str">
        <f>"300063"</f>
        <v>300063</v>
      </c>
      <c r="C3863" t="s">
        <v>8071</v>
      </c>
      <c r="D3863" t="s">
        <v>207</v>
      </c>
      <c r="F3863">
        <v>1395337164</v>
      </c>
      <c r="G3863">
        <v>1231777565</v>
      </c>
      <c r="H3863">
        <v>1073253709</v>
      </c>
      <c r="I3863">
        <v>984957559</v>
      </c>
      <c r="J3863">
        <v>1886181676</v>
      </c>
      <c r="K3863">
        <v>2209914030</v>
      </c>
      <c r="L3863">
        <v>2053922007</v>
      </c>
      <c r="M3863">
        <v>648798683</v>
      </c>
      <c r="N3863">
        <v>646652983</v>
      </c>
      <c r="O3863">
        <v>640096144</v>
      </c>
      <c r="P3863">
        <v>109</v>
      </c>
      <c r="Q3863" t="s">
        <v>8072</v>
      </c>
    </row>
    <row r="3864" spans="1:17" x14ac:dyDescent="0.3">
      <c r="A3864" t="s">
        <v>4729</v>
      </c>
      <c r="B3864" t="str">
        <f>"300064"</f>
        <v>300064</v>
      </c>
      <c r="C3864" t="s">
        <v>8073</v>
      </c>
      <c r="D3864" t="s">
        <v>404</v>
      </c>
      <c r="F3864">
        <v>-816700549</v>
      </c>
      <c r="G3864">
        <v>484475603</v>
      </c>
      <c r="H3864">
        <v>1720637460</v>
      </c>
      <c r="I3864">
        <v>6936916104</v>
      </c>
      <c r="J3864">
        <v>6865887555</v>
      </c>
      <c r="K3864">
        <v>6634451930</v>
      </c>
      <c r="L3864">
        <v>1949470236</v>
      </c>
      <c r="M3864">
        <v>1459236960</v>
      </c>
      <c r="N3864">
        <v>1407640225</v>
      </c>
      <c r="O3864">
        <v>1346746899</v>
      </c>
      <c r="P3864">
        <v>77</v>
      </c>
      <c r="Q3864" t="s">
        <v>8074</v>
      </c>
    </row>
    <row r="3865" spans="1:17" x14ac:dyDescent="0.3">
      <c r="A3865" t="s">
        <v>4729</v>
      </c>
      <c r="B3865" t="str">
        <f>"300065"</f>
        <v>300065</v>
      </c>
      <c r="C3865" t="s">
        <v>8075</v>
      </c>
      <c r="D3865" t="s">
        <v>167</v>
      </c>
      <c r="F3865">
        <v>1793893177</v>
      </c>
      <c r="G3865">
        <v>1502631990</v>
      </c>
      <c r="H3865">
        <v>1786739700</v>
      </c>
      <c r="I3865">
        <v>1694587001</v>
      </c>
      <c r="J3865">
        <v>1221507226</v>
      </c>
      <c r="K3865">
        <v>1260840122</v>
      </c>
      <c r="L3865">
        <v>1182537629</v>
      </c>
      <c r="M3865">
        <v>599791536</v>
      </c>
      <c r="N3865">
        <v>586898302</v>
      </c>
      <c r="O3865">
        <v>575316922</v>
      </c>
      <c r="P3865">
        <v>152</v>
      </c>
      <c r="Q3865" t="s">
        <v>8076</v>
      </c>
    </row>
    <row r="3866" spans="1:17" x14ac:dyDescent="0.3">
      <c r="A3866" t="s">
        <v>4729</v>
      </c>
      <c r="B3866" t="str">
        <f>"300066"</f>
        <v>300066</v>
      </c>
      <c r="C3866" t="s">
        <v>8077</v>
      </c>
      <c r="D3866" t="s">
        <v>2566</v>
      </c>
      <c r="F3866">
        <v>2047957415</v>
      </c>
      <c r="G3866">
        <v>1938507239</v>
      </c>
      <c r="H3866">
        <v>1768216646</v>
      </c>
      <c r="I3866">
        <v>1597664287</v>
      </c>
      <c r="J3866">
        <v>1520662935</v>
      </c>
      <c r="K3866">
        <v>1462054888</v>
      </c>
      <c r="L3866">
        <v>1362411199</v>
      </c>
      <c r="M3866">
        <v>1125023703</v>
      </c>
      <c r="N3866">
        <v>1010499994</v>
      </c>
      <c r="O3866">
        <v>934995825</v>
      </c>
      <c r="P3866">
        <v>190</v>
      </c>
      <c r="Q3866" t="s">
        <v>8078</v>
      </c>
    </row>
    <row r="3867" spans="1:17" x14ac:dyDescent="0.3">
      <c r="A3867" t="s">
        <v>4729</v>
      </c>
      <c r="B3867" t="str">
        <f>"300067"</f>
        <v>300067</v>
      </c>
      <c r="C3867" t="s">
        <v>8079</v>
      </c>
      <c r="D3867" t="s">
        <v>779</v>
      </c>
      <c r="F3867">
        <v>2286757747</v>
      </c>
      <c r="G3867">
        <v>1738347136</v>
      </c>
      <c r="H3867">
        <v>1693520808</v>
      </c>
      <c r="I3867">
        <v>1611377762</v>
      </c>
      <c r="J3867">
        <v>1531444191</v>
      </c>
      <c r="K3867">
        <v>1025105831</v>
      </c>
      <c r="L3867">
        <v>928611463</v>
      </c>
      <c r="M3867">
        <v>879867235</v>
      </c>
      <c r="N3867">
        <v>788934448</v>
      </c>
      <c r="O3867">
        <v>733272375</v>
      </c>
      <c r="P3867">
        <v>100</v>
      </c>
      <c r="Q3867" t="s">
        <v>8080</v>
      </c>
    </row>
    <row r="3868" spans="1:17" x14ac:dyDescent="0.3">
      <c r="A3868" t="s">
        <v>4729</v>
      </c>
      <c r="B3868" t="str">
        <f>"300068"</f>
        <v>300068</v>
      </c>
      <c r="C3868" t="s">
        <v>8081</v>
      </c>
      <c r="D3868" t="s">
        <v>555</v>
      </c>
      <c r="F3868">
        <v>4645137048</v>
      </c>
      <c r="G3868">
        <v>5999340199</v>
      </c>
      <c r="H3868">
        <v>6475324901</v>
      </c>
      <c r="I3868">
        <v>6175918957</v>
      </c>
      <c r="J3868">
        <v>6071431927</v>
      </c>
      <c r="K3868">
        <v>5895598783</v>
      </c>
      <c r="L3868">
        <v>3043139037</v>
      </c>
      <c r="M3868">
        <v>2805080538</v>
      </c>
      <c r="N3868">
        <v>2824518748</v>
      </c>
      <c r="O3868">
        <v>2716371558</v>
      </c>
      <c r="P3868">
        <v>305</v>
      </c>
      <c r="Q3868" t="s">
        <v>8082</v>
      </c>
    </row>
    <row r="3869" spans="1:17" x14ac:dyDescent="0.3">
      <c r="A3869" t="s">
        <v>4729</v>
      </c>
      <c r="B3869" t="str">
        <f>"300069"</f>
        <v>300069</v>
      </c>
      <c r="C3869" t="s">
        <v>8083</v>
      </c>
      <c r="D3869" t="s">
        <v>1164</v>
      </c>
      <c r="F3869">
        <v>262371057</v>
      </c>
      <c r="G3869">
        <v>302482279</v>
      </c>
      <c r="H3869">
        <v>362749144</v>
      </c>
      <c r="I3869">
        <v>346561372</v>
      </c>
      <c r="J3869">
        <v>525041941</v>
      </c>
      <c r="K3869">
        <v>507117529</v>
      </c>
      <c r="L3869">
        <v>489081601</v>
      </c>
      <c r="M3869">
        <v>484384212</v>
      </c>
      <c r="N3869">
        <v>479535705</v>
      </c>
      <c r="O3869">
        <v>475963215</v>
      </c>
      <c r="P3869">
        <v>57</v>
      </c>
      <c r="Q3869" t="s">
        <v>8084</v>
      </c>
    </row>
    <row r="3870" spans="1:17" x14ac:dyDescent="0.3">
      <c r="A3870" t="s">
        <v>4729</v>
      </c>
      <c r="B3870" t="str">
        <f>"300070"</f>
        <v>300070</v>
      </c>
      <c r="C3870" t="s">
        <v>8085</v>
      </c>
      <c r="D3870" t="s">
        <v>33</v>
      </c>
      <c r="F3870">
        <v>25258570672</v>
      </c>
      <c r="G3870">
        <v>20730556142</v>
      </c>
      <c r="H3870">
        <v>20134900208</v>
      </c>
      <c r="I3870">
        <v>18809104147</v>
      </c>
      <c r="J3870">
        <v>18072574497</v>
      </c>
      <c r="K3870">
        <v>15521078887</v>
      </c>
      <c r="L3870">
        <v>13574383037</v>
      </c>
      <c r="M3870">
        <v>6078032279</v>
      </c>
      <c r="N3870">
        <v>4841444118</v>
      </c>
      <c r="O3870">
        <v>3881451872</v>
      </c>
      <c r="P3870">
        <v>1163</v>
      </c>
      <c r="Q3870" t="s">
        <v>8086</v>
      </c>
    </row>
    <row r="3871" spans="1:17" x14ac:dyDescent="0.3">
      <c r="A3871" t="s">
        <v>4729</v>
      </c>
      <c r="B3871" t="str">
        <f>"300071"</f>
        <v>300071</v>
      </c>
      <c r="C3871" t="s">
        <v>8087</v>
      </c>
      <c r="D3871" t="s">
        <v>207</v>
      </c>
      <c r="F3871">
        <v>33926793</v>
      </c>
      <c r="G3871">
        <v>-501221356</v>
      </c>
      <c r="H3871">
        <v>114026501</v>
      </c>
      <c r="I3871">
        <v>117676662</v>
      </c>
      <c r="J3871">
        <v>886018219</v>
      </c>
      <c r="K3871">
        <v>1199409343</v>
      </c>
      <c r="L3871">
        <v>1095018142</v>
      </c>
      <c r="M3871">
        <v>961331156</v>
      </c>
      <c r="N3871">
        <v>582136885</v>
      </c>
      <c r="O3871">
        <v>487979214</v>
      </c>
      <c r="P3871">
        <v>84</v>
      </c>
      <c r="Q3871" t="s">
        <v>8088</v>
      </c>
    </row>
    <row r="3872" spans="1:17" x14ac:dyDescent="0.3">
      <c r="A3872" t="s">
        <v>4729</v>
      </c>
      <c r="B3872" t="str">
        <f>"300072"</f>
        <v>300072</v>
      </c>
      <c r="C3872" t="s">
        <v>8089</v>
      </c>
      <c r="D3872" t="s">
        <v>663</v>
      </c>
      <c r="F3872">
        <v>7841000610</v>
      </c>
      <c r="G3872">
        <v>7817954062</v>
      </c>
      <c r="H3872">
        <v>9338309749</v>
      </c>
      <c r="I3872">
        <v>9214664713</v>
      </c>
      <c r="J3872">
        <v>8796895471</v>
      </c>
      <c r="K3872">
        <v>6278131548</v>
      </c>
      <c r="L3872">
        <v>4696559810</v>
      </c>
      <c r="M3872">
        <v>1933907484</v>
      </c>
      <c r="N3872">
        <v>1487509071</v>
      </c>
      <c r="O3872">
        <v>1302370054</v>
      </c>
      <c r="P3872">
        <v>1138</v>
      </c>
      <c r="Q3872" t="s">
        <v>8090</v>
      </c>
    </row>
    <row r="3873" spans="1:17" x14ac:dyDescent="0.3">
      <c r="A3873" t="s">
        <v>4729</v>
      </c>
      <c r="B3873" t="str">
        <f>"300073"</f>
        <v>300073</v>
      </c>
      <c r="C3873" t="s">
        <v>8091</v>
      </c>
      <c r="D3873" t="s">
        <v>1790</v>
      </c>
      <c r="F3873">
        <v>9448062511</v>
      </c>
      <c r="G3873">
        <v>3810844268</v>
      </c>
      <c r="H3873">
        <v>3022820570</v>
      </c>
      <c r="I3873">
        <v>3301438067</v>
      </c>
      <c r="J3873">
        <v>1583546717</v>
      </c>
      <c r="K3873">
        <v>1340908575</v>
      </c>
      <c r="L3873">
        <v>1241559796</v>
      </c>
      <c r="M3873">
        <v>817534635</v>
      </c>
      <c r="N3873">
        <v>845526946</v>
      </c>
      <c r="O3873">
        <v>843825857</v>
      </c>
      <c r="P3873">
        <v>826</v>
      </c>
      <c r="Q3873" t="s">
        <v>8092</v>
      </c>
    </row>
    <row r="3874" spans="1:17" x14ac:dyDescent="0.3">
      <c r="A3874" t="s">
        <v>4729</v>
      </c>
      <c r="B3874" t="str">
        <f>"300074"</f>
        <v>300074</v>
      </c>
      <c r="C3874" t="s">
        <v>8093</v>
      </c>
      <c r="D3874" t="s">
        <v>945</v>
      </c>
      <c r="F3874">
        <v>1148441709</v>
      </c>
      <c r="G3874">
        <v>1152776209</v>
      </c>
      <c r="H3874">
        <v>1203640896</v>
      </c>
      <c r="I3874">
        <v>1205814048</v>
      </c>
      <c r="J3874">
        <v>1195410847</v>
      </c>
      <c r="K3874">
        <v>1132553552</v>
      </c>
      <c r="L3874">
        <v>1050674022</v>
      </c>
      <c r="M3874">
        <v>1014758709</v>
      </c>
      <c r="N3874">
        <v>1002951176</v>
      </c>
      <c r="O3874">
        <v>910558055</v>
      </c>
      <c r="P3874">
        <v>162</v>
      </c>
      <c r="Q3874" t="s">
        <v>8094</v>
      </c>
    </row>
    <row r="3875" spans="1:17" x14ac:dyDescent="0.3">
      <c r="A3875" t="s">
        <v>4729</v>
      </c>
      <c r="B3875" t="str">
        <f>"300075"</f>
        <v>300075</v>
      </c>
      <c r="C3875" t="s">
        <v>8095</v>
      </c>
      <c r="D3875" t="s">
        <v>945</v>
      </c>
      <c r="F3875">
        <v>3484366498</v>
      </c>
      <c r="G3875">
        <v>3103335939</v>
      </c>
      <c r="H3875">
        <v>2354372357</v>
      </c>
      <c r="I3875">
        <v>2171111081</v>
      </c>
      <c r="J3875">
        <v>2040828164</v>
      </c>
      <c r="K3875">
        <v>1396988770</v>
      </c>
      <c r="L3875">
        <v>1255393113</v>
      </c>
      <c r="M3875">
        <v>1140954230</v>
      </c>
      <c r="N3875">
        <v>1037715788</v>
      </c>
      <c r="O3875">
        <v>957023779</v>
      </c>
      <c r="P3875">
        <v>258</v>
      </c>
      <c r="Q3875" t="s">
        <v>8096</v>
      </c>
    </row>
    <row r="3876" spans="1:17" x14ac:dyDescent="0.3">
      <c r="A3876" t="s">
        <v>4729</v>
      </c>
      <c r="B3876" t="str">
        <f>"300076"</f>
        <v>300076</v>
      </c>
      <c r="C3876" t="s">
        <v>8097</v>
      </c>
      <c r="D3876" t="s">
        <v>1117</v>
      </c>
      <c r="F3876">
        <v>1023815297</v>
      </c>
      <c r="G3876">
        <v>1031739014</v>
      </c>
      <c r="H3876">
        <v>1015903080</v>
      </c>
      <c r="I3876">
        <v>1009362915</v>
      </c>
      <c r="J3876">
        <v>990597306</v>
      </c>
      <c r="K3876">
        <v>1043520090</v>
      </c>
      <c r="L3876">
        <v>1065215238</v>
      </c>
      <c r="M3876">
        <v>1077275681</v>
      </c>
      <c r="N3876">
        <v>1064737977</v>
      </c>
      <c r="O3876">
        <v>1057306768</v>
      </c>
      <c r="P3876">
        <v>93</v>
      </c>
      <c r="Q3876" t="s">
        <v>8098</v>
      </c>
    </row>
    <row r="3877" spans="1:17" x14ac:dyDescent="0.3">
      <c r="A3877" t="s">
        <v>4729</v>
      </c>
      <c r="B3877" t="str">
        <f>"300077"</f>
        <v>300077</v>
      </c>
      <c r="C3877" t="s">
        <v>8099</v>
      </c>
      <c r="D3877" t="s">
        <v>461</v>
      </c>
      <c r="F3877">
        <v>1542705141</v>
      </c>
      <c r="G3877">
        <v>1199628882</v>
      </c>
      <c r="H3877">
        <v>1179846639</v>
      </c>
      <c r="I3877">
        <v>1087220154</v>
      </c>
      <c r="J3877">
        <v>2531348428</v>
      </c>
      <c r="K3877">
        <v>2963461030</v>
      </c>
      <c r="L3877">
        <v>2814659942</v>
      </c>
      <c r="M3877">
        <v>2712910491</v>
      </c>
      <c r="N3877">
        <v>2706793606</v>
      </c>
      <c r="O3877">
        <v>2729522732</v>
      </c>
      <c r="P3877">
        <v>3150</v>
      </c>
      <c r="Q3877" t="s">
        <v>8100</v>
      </c>
    </row>
    <row r="3878" spans="1:17" x14ac:dyDescent="0.3">
      <c r="A3878" t="s">
        <v>4729</v>
      </c>
      <c r="B3878" t="str">
        <f>"300078"</f>
        <v>300078</v>
      </c>
      <c r="C3878" t="s">
        <v>8101</v>
      </c>
      <c r="D3878" t="s">
        <v>316</v>
      </c>
      <c r="F3878">
        <v>1966447954</v>
      </c>
      <c r="G3878">
        <v>2945910868</v>
      </c>
      <c r="H3878">
        <v>2891926589</v>
      </c>
      <c r="I3878">
        <v>2191940887</v>
      </c>
      <c r="J3878">
        <v>2062117296</v>
      </c>
      <c r="K3878">
        <v>2038401613</v>
      </c>
      <c r="L3878">
        <v>1284683976</v>
      </c>
      <c r="M3878">
        <v>1152818085</v>
      </c>
      <c r="N3878">
        <v>1163213343</v>
      </c>
      <c r="O3878">
        <v>1163774033</v>
      </c>
      <c r="P3878">
        <v>296</v>
      </c>
      <c r="Q3878" t="s">
        <v>8102</v>
      </c>
    </row>
    <row r="3879" spans="1:17" x14ac:dyDescent="0.3">
      <c r="A3879" t="s">
        <v>4729</v>
      </c>
      <c r="B3879" t="str">
        <f>"300079"</f>
        <v>300079</v>
      </c>
      <c r="C3879" t="s">
        <v>8103</v>
      </c>
      <c r="D3879" t="s">
        <v>316</v>
      </c>
      <c r="F3879">
        <v>3991555943</v>
      </c>
      <c r="G3879">
        <v>3914518799</v>
      </c>
      <c r="H3879">
        <v>3846077871</v>
      </c>
      <c r="I3879">
        <v>3691751784</v>
      </c>
      <c r="J3879">
        <v>3510610556</v>
      </c>
      <c r="K3879">
        <v>3493731576</v>
      </c>
      <c r="L3879">
        <v>3169373525</v>
      </c>
      <c r="M3879">
        <v>2895724385</v>
      </c>
      <c r="N3879">
        <v>2668529858</v>
      </c>
      <c r="O3879">
        <v>2526970262</v>
      </c>
      <c r="P3879">
        <v>261</v>
      </c>
      <c r="Q3879" t="s">
        <v>8104</v>
      </c>
    </row>
    <row r="3880" spans="1:17" x14ac:dyDescent="0.3">
      <c r="A3880" t="s">
        <v>4729</v>
      </c>
      <c r="B3880" t="str">
        <f>"300080"</f>
        <v>300080</v>
      </c>
      <c r="C3880" t="s">
        <v>8105</v>
      </c>
      <c r="D3880" t="s">
        <v>404</v>
      </c>
      <c r="F3880">
        <v>5017492783</v>
      </c>
      <c r="G3880">
        <v>4820965515</v>
      </c>
      <c r="H3880">
        <v>4618782851</v>
      </c>
      <c r="I3880">
        <v>1530218663</v>
      </c>
      <c r="J3880">
        <v>2189190492</v>
      </c>
      <c r="K3880">
        <v>3242510719</v>
      </c>
      <c r="L3880">
        <v>3221953504</v>
      </c>
      <c r="M3880">
        <v>3218104042</v>
      </c>
      <c r="N3880">
        <v>3192361995</v>
      </c>
      <c r="O3880">
        <v>1909509038</v>
      </c>
      <c r="P3880">
        <v>111</v>
      </c>
      <c r="Q3880" t="s">
        <v>8106</v>
      </c>
    </row>
    <row r="3881" spans="1:17" x14ac:dyDescent="0.3">
      <c r="A3881" t="s">
        <v>4729</v>
      </c>
      <c r="B3881" t="str">
        <f>"300081"</f>
        <v>300081</v>
      </c>
      <c r="C3881" t="s">
        <v>8107</v>
      </c>
      <c r="D3881" t="s">
        <v>5670</v>
      </c>
      <c r="F3881">
        <v>2168887411</v>
      </c>
      <c r="G3881">
        <v>2017904874</v>
      </c>
      <c r="H3881">
        <v>2606473006</v>
      </c>
      <c r="I3881">
        <v>2420078473</v>
      </c>
      <c r="J3881">
        <v>2256213858</v>
      </c>
      <c r="K3881">
        <v>1134973881</v>
      </c>
      <c r="L3881">
        <v>798422803</v>
      </c>
      <c r="M3881">
        <v>782263475</v>
      </c>
      <c r="N3881">
        <v>771897210</v>
      </c>
      <c r="O3881">
        <v>839746852</v>
      </c>
      <c r="P3881">
        <v>160</v>
      </c>
      <c r="Q3881" t="s">
        <v>8108</v>
      </c>
    </row>
    <row r="3882" spans="1:17" x14ac:dyDescent="0.3">
      <c r="A3882" t="s">
        <v>4729</v>
      </c>
      <c r="B3882" t="str">
        <f>"300082"</f>
        <v>300082</v>
      </c>
      <c r="C3882" t="s">
        <v>8109</v>
      </c>
      <c r="D3882" t="s">
        <v>1233</v>
      </c>
      <c r="F3882">
        <v>3449480545</v>
      </c>
      <c r="G3882">
        <v>3280376281</v>
      </c>
      <c r="H3882">
        <v>3222554595</v>
      </c>
      <c r="I3882">
        <v>3082981614</v>
      </c>
      <c r="J3882">
        <v>2857750364</v>
      </c>
      <c r="K3882">
        <v>2665767722</v>
      </c>
      <c r="L3882">
        <v>2615850081</v>
      </c>
      <c r="M3882">
        <v>2876823815</v>
      </c>
      <c r="N3882">
        <v>2830640654</v>
      </c>
      <c r="O3882">
        <v>2801503581</v>
      </c>
      <c r="P3882">
        <v>176</v>
      </c>
      <c r="Q3882" t="s">
        <v>8110</v>
      </c>
    </row>
    <row r="3883" spans="1:17" x14ac:dyDescent="0.3">
      <c r="A3883" t="s">
        <v>4729</v>
      </c>
      <c r="B3883" t="str">
        <f>"300083"</f>
        <v>300083</v>
      </c>
      <c r="C3883" t="s">
        <v>8111</v>
      </c>
      <c r="D3883" t="s">
        <v>2432</v>
      </c>
      <c r="F3883">
        <v>3136475093</v>
      </c>
      <c r="G3883">
        <v>2062666368</v>
      </c>
      <c r="H3883">
        <v>2746729153</v>
      </c>
      <c r="I3883">
        <v>2734719721</v>
      </c>
      <c r="J3883">
        <v>5579460529</v>
      </c>
      <c r="K3883">
        <v>5121433162</v>
      </c>
      <c r="L3883">
        <v>4983305052</v>
      </c>
      <c r="M3883">
        <v>1492311554</v>
      </c>
      <c r="N3883">
        <v>1417163011</v>
      </c>
      <c r="O3883">
        <v>1305886907</v>
      </c>
      <c r="P3883">
        <v>487</v>
      </c>
      <c r="Q3883" t="s">
        <v>8112</v>
      </c>
    </row>
    <row r="3884" spans="1:17" x14ac:dyDescent="0.3">
      <c r="A3884" t="s">
        <v>4729</v>
      </c>
      <c r="B3884" t="str">
        <f>"300084"</f>
        <v>300084</v>
      </c>
      <c r="C3884" t="s">
        <v>8113</v>
      </c>
      <c r="D3884" t="s">
        <v>395</v>
      </c>
      <c r="F3884">
        <v>1017220998</v>
      </c>
      <c r="G3884">
        <v>1276521194</v>
      </c>
      <c r="H3884">
        <v>1905511784</v>
      </c>
      <c r="I3884">
        <v>1860407766</v>
      </c>
      <c r="J3884">
        <v>1800486679</v>
      </c>
      <c r="K3884">
        <v>1828733271</v>
      </c>
      <c r="L3884">
        <v>1088908349</v>
      </c>
      <c r="M3884">
        <v>1063913306</v>
      </c>
      <c r="N3884">
        <v>629182373</v>
      </c>
      <c r="O3884">
        <v>615832991</v>
      </c>
      <c r="P3884">
        <v>69</v>
      </c>
      <c r="Q3884" t="s">
        <v>8114</v>
      </c>
    </row>
    <row r="3885" spans="1:17" x14ac:dyDescent="0.3">
      <c r="A3885" t="s">
        <v>4729</v>
      </c>
      <c r="B3885" t="str">
        <f>"300085"</f>
        <v>300085</v>
      </c>
      <c r="C3885" t="s">
        <v>8115</v>
      </c>
      <c r="D3885" t="s">
        <v>945</v>
      </c>
      <c r="F3885">
        <v>953439463</v>
      </c>
      <c r="G3885">
        <v>1365500811</v>
      </c>
      <c r="H3885">
        <v>1353168385</v>
      </c>
      <c r="I3885">
        <v>1351266300</v>
      </c>
      <c r="J3885">
        <v>1323116353</v>
      </c>
      <c r="K3885">
        <v>967853056</v>
      </c>
      <c r="L3885">
        <v>899659563</v>
      </c>
      <c r="M3885">
        <v>832517622</v>
      </c>
      <c r="N3885">
        <v>522063054</v>
      </c>
      <c r="O3885">
        <v>515712131</v>
      </c>
      <c r="P3885">
        <v>255</v>
      </c>
      <c r="Q3885" t="s">
        <v>8116</v>
      </c>
    </row>
    <row r="3886" spans="1:17" x14ac:dyDescent="0.3">
      <c r="A3886" t="s">
        <v>4729</v>
      </c>
      <c r="B3886" t="str">
        <f>"300086"</f>
        <v>300086</v>
      </c>
      <c r="C3886" t="s">
        <v>8117</v>
      </c>
      <c r="D3886" t="s">
        <v>143</v>
      </c>
      <c r="F3886">
        <v>1503949219</v>
      </c>
      <c r="G3886">
        <v>1502456901</v>
      </c>
      <c r="H3886">
        <v>1498479909</v>
      </c>
      <c r="I3886">
        <v>1544186965</v>
      </c>
      <c r="J3886">
        <v>1850813948</v>
      </c>
      <c r="K3886">
        <v>1800617061</v>
      </c>
      <c r="L3886">
        <v>1762119146</v>
      </c>
      <c r="M3886">
        <v>1723808040</v>
      </c>
      <c r="N3886">
        <v>1727036157</v>
      </c>
      <c r="O3886">
        <v>1790049521</v>
      </c>
      <c r="P3886">
        <v>106</v>
      </c>
      <c r="Q3886" t="s">
        <v>8118</v>
      </c>
    </row>
    <row r="3887" spans="1:17" x14ac:dyDescent="0.3">
      <c r="A3887" t="s">
        <v>4729</v>
      </c>
      <c r="B3887" t="str">
        <f>"300087"</f>
        <v>300087</v>
      </c>
      <c r="C3887" t="s">
        <v>8119</v>
      </c>
      <c r="D3887" t="s">
        <v>706</v>
      </c>
      <c r="F3887">
        <v>1373411768</v>
      </c>
      <c r="G3887">
        <v>675300719</v>
      </c>
      <c r="H3887">
        <v>481529123</v>
      </c>
      <c r="I3887">
        <v>800709413</v>
      </c>
      <c r="J3887">
        <v>736403907</v>
      </c>
      <c r="K3887">
        <v>659916245</v>
      </c>
      <c r="L3887">
        <v>599412855</v>
      </c>
      <c r="M3887">
        <v>568689399</v>
      </c>
      <c r="N3887">
        <v>579299747</v>
      </c>
      <c r="O3887">
        <v>568996636</v>
      </c>
      <c r="P3887">
        <v>231</v>
      </c>
      <c r="Q3887" t="s">
        <v>8120</v>
      </c>
    </row>
    <row r="3888" spans="1:17" x14ac:dyDescent="0.3">
      <c r="A3888" t="s">
        <v>4729</v>
      </c>
      <c r="B3888" t="str">
        <f>"300088"</f>
        <v>300088</v>
      </c>
      <c r="C3888" t="s">
        <v>8121</v>
      </c>
      <c r="D3888" t="s">
        <v>1117</v>
      </c>
      <c r="F3888">
        <v>7665080778</v>
      </c>
      <c r="G3888">
        <v>6988466706</v>
      </c>
      <c r="H3888">
        <v>6245111106</v>
      </c>
      <c r="I3888">
        <v>4856675034</v>
      </c>
      <c r="J3888">
        <v>4359175405</v>
      </c>
      <c r="K3888">
        <v>3750507975</v>
      </c>
      <c r="L3888">
        <v>3519583372</v>
      </c>
      <c r="M3888">
        <v>2169949891</v>
      </c>
      <c r="N3888">
        <v>1658921458</v>
      </c>
      <c r="O3888">
        <v>1446919792</v>
      </c>
      <c r="P3888">
        <v>950</v>
      </c>
      <c r="Q3888" t="s">
        <v>8122</v>
      </c>
    </row>
    <row r="3889" spans="1:17" x14ac:dyDescent="0.3">
      <c r="A3889" t="s">
        <v>4729</v>
      </c>
      <c r="B3889" t="str">
        <f>"300089"</f>
        <v>300089</v>
      </c>
      <c r="C3889" t="s">
        <v>8123</v>
      </c>
      <c r="D3889" t="s">
        <v>1336</v>
      </c>
      <c r="F3889">
        <v>-285988305</v>
      </c>
      <c r="G3889">
        <v>101536197</v>
      </c>
      <c r="H3889">
        <v>334911790</v>
      </c>
      <c r="I3889">
        <v>519496290</v>
      </c>
      <c r="J3889">
        <v>1821129235</v>
      </c>
      <c r="K3889">
        <v>1758537458</v>
      </c>
      <c r="L3889">
        <v>799260026</v>
      </c>
      <c r="M3889">
        <v>789869929</v>
      </c>
      <c r="N3889">
        <v>781467309</v>
      </c>
      <c r="O3889">
        <v>777867651</v>
      </c>
      <c r="P3889">
        <v>101</v>
      </c>
      <c r="Q3889" t="s">
        <v>8124</v>
      </c>
    </row>
    <row r="3890" spans="1:17" x14ac:dyDescent="0.3">
      <c r="A3890" t="s">
        <v>4729</v>
      </c>
      <c r="B3890" t="str">
        <f>"300090"</f>
        <v>300090</v>
      </c>
      <c r="C3890" t="s">
        <v>8125</v>
      </c>
      <c r="H3890">
        <v>-3460275180</v>
      </c>
      <c r="I3890">
        <v>174060760</v>
      </c>
      <c r="J3890">
        <v>3826431445</v>
      </c>
      <c r="K3890">
        <v>5175475281</v>
      </c>
      <c r="L3890">
        <v>5612305896</v>
      </c>
      <c r="M3890">
        <v>2081312791</v>
      </c>
      <c r="N3890">
        <v>1840809617</v>
      </c>
      <c r="O3890">
        <v>1020942370</v>
      </c>
      <c r="P3890">
        <v>72</v>
      </c>
      <c r="Q3890" t="s">
        <v>8126</v>
      </c>
    </row>
    <row r="3891" spans="1:17" x14ac:dyDescent="0.3">
      <c r="A3891" t="s">
        <v>4729</v>
      </c>
      <c r="B3891" t="str">
        <f>"300091"</f>
        <v>300091</v>
      </c>
      <c r="C3891" t="s">
        <v>8127</v>
      </c>
      <c r="D3891" t="s">
        <v>560</v>
      </c>
      <c r="F3891">
        <v>3272147039</v>
      </c>
      <c r="G3891">
        <v>2474314958</v>
      </c>
      <c r="H3891">
        <v>2588496107</v>
      </c>
      <c r="I3891">
        <v>2488831037</v>
      </c>
      <c r="J3891">
        <v>1432084580</v>
      </c>
      <c r="K3891">
        <v>886341031</v>
      </c>
      <c r="L3891">
        <v>842592598</v>
      </c>
      <c r="M3891">
        <v>811261144</v>
      </c>
      <c r="N3891">
        <v>799190411</v>
      </c>
      <c r="O3891">
        <v>797073030</v>
      </c>
      <c r="P3891">
        <v>101</v>
      </c>
      <c r="Q3891" t="s">
        <v>8128</v>
      </c>
    </row>
    <row r="3892" spans="1:17" x14ac:dyDescent="0.3">
      <c r="A3892" t="s">
        <v>4729</v>
      </c>
      <c r="B3892" t="str">
        <f>"300092"</f>
        <v>300092</v>
      </c>
      <c r="C3892" t="s">
        <v>8129</v>
      </c>
      <c r="D3892" t="s">
        <v>274</v>
      </c>
      <c r="F3892">
        <v>738471769</v>
      </c>
      <c r="G3892">
        <v>656178384</v>
      </c>
      <c r="H3892">
        <v>590125089</v>
      </c>
      <c r="I3892">
        <v>549746750</v>
      </c>
      <c r="J3892">
        <v>546673406</v>
      </c>
      <c r="K3892">
        <v>515214243</v>
      </c>
      <c r="L3892">
        <v>470961251</v>
      </c>
      <c r="M3892">
        <v>511663964</v>
      </c>
      <c r="N3892">
        <v>502148205</v>
      </c>
      <c r="O3892">
        <v>541666639</v>
      </c>
      <c r="P3892">
        <v>81</v>
      </c>
      <c r="Q3892" t="s">
        <v>8130</v>
      </c>
    </row>
    <row r="3893" spans="1:17" x14ac:dyDescent="0.3">
      <c r="A3893" t="s">
        <v>4729</v>
      </c>
      <c r="B3893" t="str">
        <f>"300093"</f>
        <v>300093</v>
      </c>
      <c r="C3893" t="s">
        <v>8131</v>
      </c>
      <c r="D3893" t="s">
        <v>666</v>
      </c>
      <c r="F3893">
        <v>310774596</v>
      </c>
      <c r="G3893">
        <v>509007003</v>
      </c>
      <c r="H3893">
        <v>632329374</v>
      </c>
      <c r="I3893">
        <v>722748765</v>
      </c>
      <c r="J3893">
        <v>715596273</v>
      </c>
      <c r="K3893">
        <v>873061648</v>
      </c>
      <c r="L3893">
        <v>873467075</v>
      </c>
      <c r="M3893">
        <v>874977883</v>
      </c>
      <c r="N3893">
        <v>857170244</v>
      </c>
      <c r="O3893">
        <v>849831156</v>
      </c>
      <c r="P3893">
        <v>80</v>
      </c>
      <c r="Q3893" t="s">
        <v>8132</v>
      </c>
    </row>
    <row r="3894" spans="1:17" x14ac:dyDescent="0.3">
      <c r="A3894" t="s">
        <v>4729</v>
      </c>
      <c r="B3894" t="str">
        <f>"300094"</f>
        <v>300094</v>
      </c>
      <c r="C3894" t="s">
        <v>8133</v>
      </c>
      <c r="D3894" t="s">
        <v>587</v>
      </c>
      <c r="F3894">
        <v>2118156040</v>
      </c>
      <c r="G3894">
        <v>2024335165</v>
      </c>
      <c r="H3894">
        <v>2293257728</v>
      </c>
      <c r="I3894">
        <v>2190794477</v>
      </c>
      <c r="J3894">
        <v>1948892124</v>
      </c>
      <c r="K3894">
        <v>1814493082</v>
      </c>
      <c r="L3894">
        <v>1733172733</v>
      </c>
      <c r="M3894">
        <v>1714959949</v>
      </c>
      <c r="N3894">
        <v>1545563249</v>
      </c>
      <c r="O3894">
        <v>1422577497</v>
      </c>
      <c r="P3894">
        <v>123</v>
      </c>
      <c r="Q3894" t="s">
        <v>8134</v>
      </c>
    </row>
    <row r="3895" spans="1:17" x14ac:dyDescent="0.3">
      <c r="A3895" t="s">
        <v>4729</v>
      </c>
      <c r="B3895" t="str">
        <f>"300095"</f>
        <v>300095</v>
      </c>
      <c r="C3895" t="s">
        <v>8135</v>
      </c>
      <c r="D3895" t="s">
        <v>274</v>
      </c>
      <c r="F3895">
        <v>2118689377</v>
      </c>
      <c r="G3895">
        <v>1367186368</v>
      </c>
      <c r="H3895">
        <v>1212121800</v>
      </c>
      <c r="I3895">
        <v>1139895550</v>
      </c>
      <c r="J3895">
        <v>1291716016</v>
      </c>
      <c r="K3895">
        <v>1242817211</v>
      </c>
      <c r="L3895">
        <v>804226003</v>
      </c>
      <c r="M3895">
        <v>790349332</v>
      </c>
      <c r="N3895">
        <v>755217184</v>
      </c>
      <c r="O3895">
        <v>682921222</v>
      </c>
      <c r="P3895">
        <v>128</v>
      </c>
      <c r="Q3895" t="s">
        <v>8136</v>
      </c>
    </row>
    <row r="3896" spans="1:17" x14ac:dyDescent="0.3">
      <c r="A3896" t="s">
        <v>4729</v>
      </c>
      <c r="B3896" t="str">
        <f>"300096"</f>
        <v>300096</v>
      </c>
      <c r="C3896" t="s">
        <v>8137</v>
      </c>
      <c r="D3896" t="s">
        <v>316</v>
      </c>
      <c r="F3896">
        <v>627210220</v>
      </c>
      <c r="G3896">
        <v>717654516</v>
      </c>
      <c r="H3896">
        <v>734512839</v>
      </c>
      <c r="I3896">
        <v>740647484</v>
      </c>
      <c r="J3896">
        <v>727272624</v>
      </c>
      <c r="K3896">
        <v>711726010</v>
      </c>
      <c r="L3896">
        <v>708119771</v>
      </c>
      <c r="M3896">
        <v>681641798</v>
      </c>
      <c r="N3896">
        <v>653721878</v>
      </c>
      <c r="O3896">
        <v>630516854</v>
      </c>
      <c r="P3896">
        <v>169</v>
      </c>
      <c r="Q3896" t="s">
        <v>8138</v>
      </c>
    </row>
    <row r="3897" spans="1:17" x14ac:dyDescent="0.3">
      <c r="A3897" t="s">
        <v>4729</v>
      </c>
      <c r="B3897" t="str">
        <f>"300097"</f>
        <v>300097</v>
      </c>
      <c r="C3897" t="s">
        <v>8139</v>
      </c>
      <c r="D3897" t="s">
        <v>3477</v>
      </c>
      <c r="F3897">
        <v>760733811</v>
      </c>
      <c r="G3897">
        <v>1358039456</v>
      </c>
      <c r="H3897">
        <v>1226762229</v>
      </c>
      <c r="I3897">
        <v>1965045685</v>
      </c>
      <c r="J3897">
        <v>1982423283</v>
      </c>
      <c r="K3897">
        <v>1342224243</v>
      </c>
      <c r="L3897">
        <v>1219205827</v>
      </c>
      <c r="M3897">
        <v>461152926</v>
      </c>
      <c r="N3897">
        <v>435832558</v>
      </c>
      <c r="O3897">
        <v>406389028</v>
      </c>
      <c r="P3897">
        <v>203</v>
      </c>
      <c r="Q3897" t="s">
        <v>8140</v>
      </c>
    </row>
    <row r="3898" spans="1:17" x14ac:dyDescent="0.3">
      <c r="A3898" t="s">
        <v>4729</v>
      </c>
      <c r="B3898" t="str">
        <f>"300098"</f>
        <v>300098</v>
      </c>
      <c r="C3898" t="s">
        <v>8141</v>
      </c>
      <c r="D3898" t="s">
        <v>945</v>
      </c>
      <c r="F3898">
        <v>3360247224</v>
      </c>
      <c r="G3898">
        <v>3335395501</v>
      </c>
      <c r="H3898">
        <v>4475017843</v>
      </c>
      <c r="I3898">
        <v>5595710163</v>
      </c>
      <c r="J3898">
        <v>5064695748</v>
      </c>
      <c r="K3898">
        <v>3755720730</v>
      </c>
      <c r="L3898">
        <v>3419716458</v>
      </c>
      <c r="M3898">
        <v>968576363</v>
      </c>
      <c r="N3898">
        <v>862343510</v>
      </c>
      <c r="O3898">
        <v>766376204</v>
      </c>
      <c r="P3898">
        <v>368</v>
      </c>
      <c r="Q3898" t="s">
        <v>8142</v>
      </c>
    </row>
    <row r="3899" spans="1:17" x14ac:dyDescent="0.3">
      <c r="A3899" t="s">
        <v>4729</v>
      </c>
      <c r="B3899" t="str">
        <f>"300099"</f>
        <v>300099</v>
      </c>
      <c r="C3899" t="s">
        <v>8143</v>
      </c>
      <c r="D3899" t="s">
        <v>395</v>
      </c>
      <c r="F3899">
        <v>1905441505</v>
      </c>
      <c r="G3899">
        <v>1774754740</v>
      </c>
      <c r="H3899">
        <v>1762318365</v>
      </c>
      <c r="I3899">
        <v>1764404405</v>
      </c>
      <c r="J3899">
        <v>1727440522</v>
      </c>
      <c r="K3899">
        <v>1655493481</v>
      </c>
      <c r="L3899">
        <v>828930119</v>
      </c>
      <c r="M3899">
        <v>826850966</v>
      </c>
      <c r="N3899">
        <v>761018683</v>
      </c>
      <c r="O3899">
        <v>745080548</v>
      </c>
      <c r="P3899">
        <v>134</v>
      </c>
      <c r="Q3899" t="s">
        <v>8144</v>
      </c>
    </row>
    <row r="3900" spans="1:17" x14ac:dyDescent="0.3">
      <c r="A3900" t="s">
        <v>4729</v>
      </c>
      <c r="B3900" t="str">
        <f>"300100"</f>
        <v>300100</v>
      </c>
      <c r="C3900" t="s">
        <v>8145</v>
      </c>
      <c r="D3900" t="s">
        <v>191</v>
      </c>
      <c r="F3900">
        <v>2303542842</v>
      </c>
      <c r="G3900">
        <v>1780729685</v>
      </c>
      <c r="H3900">
        <v>1742568500</v>
      </c>
      <c r="I3900">
        <v>2732630033</v>
      </c>
      <c r="J3900">
        <v>2741330942</v>
      </c>
      <c r="K3900">
        <v>2530586766</v>
      </c>
      <c r="L3900">
        <v>2116618099</v>
      </c>
      <c r="M3900">
        <v>1892610746</v>
      </c>
      <c r="N3900">
        <v>986569824</v>
      </c>
      <c r="O3900">
        <v>954160893</v>
      </c>
      <c r="P3900">
        <v>129</v>
      </c>
      <c r="Q3900" t="s">
        <v>8146</v>
      </c>
    </row>
    <row r="3901" spans="1:17" x14ac:dyDescent="0.3">
      <c r="A3901" t="s">
        <v>4729</v>
      </c>
      <c r="B3901" t="str">
        <f>"300101"</f>
        <v>300101</v>
      </c>
      <c r="C3901" t="s">
        <v>8147</v>
      </c>
      <c r="D3901" t="s">
        <v>1136</v>
      </c>
      <c r="F3901">
        <v>1227751314</v>
      </c>
      <c r="G3901">
        <v>1013488343</v>
      </c>
      <c r="H3901">
        <v>929177016</v>
      </c>
      <c r="I3901">
        <v>930820993</v>
      </c>
      <c r="J3901">
        <v>865252954</v>
      </c>
      <c r="K3901">
        <v>834698789</v>
      </c>
      <c r="L3901">
        <v>822576467</v>
      </c>
      <c r="M3901">
        <v>758204650</v>
      </c>
      <c r="N3901">
        <v>710777331</v>
      </c>
      <c r="O3901">
        <v>743644296</v>
      </c>
      <c r="P3901">
        <v>3120</v>
      </c>
      <c r="Q3901" t="s">
        <v>8148</v>
      </c>
    </row>
    <row r="3902" spans="1:17" x14ac:dyDescent="0.3">
      <c r="A3902" t="s">
        <v>4729</v>
      </c>
      <c r="B3902" t="str">
        <f>"300102"</f>
        <v>300102</v>
      </c>
      <c r="C3902" t="s">
        <v>8149</v>
      </c>
      <c r="D3902" t="s">
        <v>803</v>
      </c>
      <c r="F3902">
        <v>2586799731</v>
      </c>
      <c r="G3902">
        <v>2350668095</v>
      </c>
      <c r="H3902">
        <v>2598131478</v>
      </c>
      <c r="I3902">
        <v>2887530245</v>
      </c>
      <c r="J3902">
        <v>2711842623</v>
      </c>
      <c r="K3902">
        <v>2500347314</v>
      </c>
      <c r="L3902">
        <v>2451964896</v>
      </c>
      <c r="M3902">
        <v>1784816467</v>
      </c>
      <c r="N3902">
        <v>1787616283</v>
      </c>
      <c r="O3902">
        <v>1741147793</v>
      </c>
      <c r="P3902">
        <v>158</v>
      </c>
      <c r="Q3902" t="s">
        <v>8150</v>
      </c>
    </row>
    <row r="3903" spans="1:17" x14ac:dyDescent="0.3">
      <c r="A3903" t="s">
        <v>4729</v>
      </c>
      <c r="B3903" t="str">
        <f>"300103"</f>
        <v>300103</v>
      </c>
      <c r="C3903" t="s">
        <v>8151</v>
      </c>
      <c r="D3903" t="s">
        <v>741</v>
      </c>
      <c r="F3903">
        <v>1073583550</v>
      </c>
      <c r="G3903">
        <v>1058449360</v>
      </c>
      <c r="H3903">
        <v>975120206</v>
      </c>
      <c r="I3903">
        <v>914958810</v>
      </c>
      <c r="J3903">
        <v>886600435</v>
      </c>
      <c r="K3903">
        <v>854335733</v>
      </c>
      <c r="L3903">
        <v>838540440</v>
      </c>
      <c r="M3903">
        <v>807250401</v>
      </c>
      <c r="N3903">
        <v>777074936</v>
      </c>
      <c r="O3903">
        <v>723516632</v>
      </c>
      <c r="P3903">
        <v>53</v>
      </c>
      <c r="Q3903" t="s">
        <v>8152</v>
      </c>
    </row>
    <row r="3904" spans="1:17" x14ac:dyDescent="0.3">
      <c r="A3904" t="s">
        <v>4729</v>
      </c>
      <c r="B3904" t="str">
        <f>"300104"</f>
        <v>300104</v>
      </c>
      <c r="C3904" t="s">
        <v>8153</v>
      </c>
      <c r="H3904">
        <v>-14329160421</v>
      </c>
      <c r="I3904">
        <v>-3026109743</v>
      </c>
      <c r="J3904">
        <v>662986975</v>
      </c>
      <c r="K3904">
        <v>10225568292</v>
      </c>
      <c r="L3904">
        <v>3927659431.9699998</v>
      </c>
      <c r="M3904">
        <v>3166827658.29</v>
      </c>
      <c r="N3904">
        <v>1599540144.51</v>
      </c>
      <c r="O3904">
        <v>1244591583.0599999</v>
      </c>
      <c r="P3904">
        <v>205</v>
      </c>
      <c r="Q3904" t="s">
        <v>8154</v>
      </c>
    </row>
    <row r="3905" spans="1:17" x14ac:dyDescent="0.3">
      <c r="A3905" t="s">
        <v>4729</v>
      </c>
      <c r="B3905" t="str">
        <f>"300105"</f>
        <v>300105</v>
      </c>
      <c r="C3905" t="s">
        <v>8155</v>
      </c>
      <c r="D3905" t="s">
        <v>470</v>
      </c>
      <c r="F3905">
        <v>1813530954</v>
      </c>
      <c r="G3905">
        <v>1858638891</v>
      </c>
      <c r="H3905">
        <v>1952303434</v>
      </c>
      <c r="I3905">
        <v>1941822993</v>
      </c>
      <c r="J3905">
        <v>1932980314</v>
      </c>
      <c r="K3905">
        <v>1917614324</v>
      </c>
      <c r="L3905">
        <v>2081389443</v>
      </c>
      <c r="M3905">
        <v>2149112713</v>
      </c>
      <c r="N3905">
        <v>2022465623</v>
      </c>
      <c r="O3905">
        <v>1859358690</v>
      </c>
      <c r="P3905">
        <v>56</v>
      </c>
      <c r="Q3905" t="s">
        <v>8156</v>
      </c>
    </row>
    <row r="3906" spans="1:17" x14ac:dyDescent="0.3">
      <c r="A3906" t="s">
        <v>4729</v>
      </c>
      <c r="B3906" t="str">
        <f>"300106"</f>
        <v>300106</v>
      </c>
      <c r="C3906" t="s">
        <v>8157</v>
      </c>
      <c r="D3906" t="s">
        <v>900</v>
      </c>
      <c r="F3906">
        <v>592544007</v>
      </c>
      <c r="G3906">
        <v>578135097</v>
      </c>
      <c r="H3906">
        <v>566189700</v>
      </c>
      <c r="I3906">
        <v>636278735</v>
      </c>
      <c r="J3906">
        <v>616568608</v>
      </c>
      <c r="K3906">
        <v>985702909</v>
      </c>
      <c r="L3906">
        <v>652580584</v>
      </c>
      <c r="M3906">
        <v>632743790</v>
      </c>
      <c r="N3906">
        <v>612780287</v>
      </c>
      <c r="O3906">
        <v>587408291</v>
      </c>
      <c r="P3906">
        <v>124</v>
      </c>
      <c r="Q3906" t="s">
        <v>8158</v>
      </c>
    </row>
    <row r="3907" spans="1:17" x14ac:dyDescent="0.3">
      <c r="A3907" t="s">
        <v>4729</v>
      </c>
      <c r="B3907" t="str">
        <f>"300107"</f>
        <v>300107</v>
      </c>
      <c r="C3907" t="s">
        <v>8159</v>
      </c>
      <c r="D3907" t="s">
        <v>779</v>
      </c>
      <c r="F3907">
        <v>1442694270</v>
      </c>
      <c r="G3907">
        <v>1481154766</v>
      </c>
      <c r="H3907">
        <v>1752835971</v>
      </c>
      <c r="I3907">
        <v>1576548949</v>
      </c>
      <c r="J3907">
        <v>982875508</v>
      </c>
      <c r="K3907">
        <v>910291657</v>
      </c>
      <c r="L3907">
        <v>896858131</v>
      </c>
      <c r="M3907">
        <v>863881119</v>
      </c>
      <c r="N3907">
        <v>827224344</v>
      </c>
      <c r="O3907">
        <v>795123810</v>
      </c>
      <c r="P3907">
        <v>239</v>
      </c>
      <c r="Q3907" t="s">
        <v>8160</v>
      </c>
    </row>
    <row r="3908" spans="1:17" x14ac:dyDescent="0.3">
      <c r="A3908" t="s">
        <v>4729</v>
      </c>
      <c r="B3908" t="str">
        <f>"300108"</f>
        <v>300108</v>
      </c>
      <c r="C3908" t="s">
        <v>8161</v>
      </c>
      <c r="D3908" t="s">
        <v>188</v>
      </c>
      <c r="G3908">
        <v>31471735</v>
      </c>
      <c r="H3908">
        <v>377063798</v>
      </c>
      <c r="I3908">
        <v>2207791166</v>
      </c>
      <c r="J3908">
        <v>1948751985</v>
      </c>
      <c r="K3908">
        <v>1780545476</v>
      </c>
      <c r="L3908">
        <v>1636585183</v>
      </c>
      <c r="M3908">
        <v>1500943956</v>
      </c>
      <c r="N3908">
        <v>397998008</v>
      </c>
      <c r="O3908">
        <v>384356781</v>
      </c>
      <c r="P3908">
        <v>121</v>
      </c>
      <c r="Q3908" t="s">
        <v>8162</v>
      </c>
    </row>
    <row r="3909" spans="1:17" x14ac:dyDescent="0.3">
      <c r="A3909" t="s">
        <v>4729</v>
      </c>
      <c r="B3909" t="str">
        <f>"300109"</f>
        <v>300109</v>
      </c>
      <c r="C3909" t="s">
        <v>8163</v>
      </c>
      <c r="D3909" t="s">
        <v>386</v>
      </c>
      <c r="F3909">
        <v>3411720076</v>
      </c>
      <c r="G3909">
        <v>3078760191</v>
      </c>
      <c r="H3909">
        <v>3047920804</v>
      </c>
      <c r="I3909">
        <v>1274626554</v>
      </c>
      <c r="J3909">
        <v>1301859620</v>
      </c>
      <c r="K3909">
        <v>1225846022</v>
      </c>
      <c r="L3909">
        <v>1162864824</v>
      </c>
      <c r="M3909">
        <v>400247099</v>
      </c>
      <c r="N3909">
        <v>377060287</v>
      </c>
      <c r="O3909">
        <v>363807220</v>
      </c>
      <c r="P3909">
        <v>122</v>
      </c>
      <c r="Q3909" t="s">
        <v>8164</v>
      </c>
    </row>
    <row r="3910" spans="1:17" x14ac:dyDescent="0.3">
      <c r="A3910" t="s">
        <v>4729</v>
      </c>
      <c r="B3910" t="str">
        <f>"300110"</f>
        <v>300110</v>
      </c>
      <c r="C3910" t="s">
        <v>8165</v>
      </c>
      <c r="D3910" t="s">
        <v>143</v>
      </c>
      <c r="F3910">
        <v>2371343714</v>
      </c>
      <c r="G3910">
        <v>2258666864</v>
      </c>
      <c r="H3910">
        <v>2175864996</v>
      </c>
      <c r="I3910">
        <v>2180792296</v>
      </c>
      <c r="J3910">
        <v>1485452824</v>
      </c>
      <c r="K3910">
        <v>1464671074</v>
      </c>
      <c r="L3910">
        <v>1440724829</v>
      </c>
      <c r="M3910">
        <v>1479704591</v>
      </c>
      <c r="N3910">
        <v>1459343193</v>
      </c>
      <c r="O3910">
        <v>1286927962</v>
      </c>
      <c r="P3910">
        <v>126</v>
      </c>
      <c r="Q3910" t="s">
        <v>8166</v>
      </c>
    </row>
    <row r="3911" spans="1:17" x14ac:dyDescent="0.3">
      <c r="A3911" t="s">
        <v>4729</v>
      </c>
      <c r="B3911" t="str">
        <f>"300111"</f>
        <v>300111</v>
      </c>
      <c r="C3911" t="s">
        <v>8167</v>
      </c>
      <c r="D3911" t="s">
        <v>356</v>
      </c>
      <c r="F3911">
        <v>286902155</v>
      </c>
      <c r="G3911">
        <v>150165364</v>
      </c>
      <c r="H3911">
        <v>50346286</v>
      </c>
      <c r="I3911">
        <v>197592412</v>
      </c>
      <c r="J3911">
        <v>1314007848</v>
      </c>
      <c r="K3911">
        <v>1300607414</v>
      </c>
      <c r="L3911">
        <v>1265425598</v>
      </c>
      <c r="M3911">
        <v>1207784784</v>
      </c>
      <c r="N3911">
        <v>1160273437</v>
      </c>
      <c r="O3911">
        <v>1126903710</v>
      </c>
      <c r="P3911">
        <v>124</v>
      </c>
      <c r="Q3911" t="s">
        <v>8168</v>
      </c>
    </row>
    <row r="3912" spans="1:17" x14ac:dyDescent="0.3">
      <c r="A3912" t="s">
        <v>4729</v>
      </c>
      <c r="B3912" t="str">
        <f>"300112"</f>
        <v>300112</v>
      </c>
      <c r="C3912" t="s">
        <v>8169</v>
      </c>
      <c r="D3912" t="s">
        <v>2566</v>
      </c>
      <c r="F3912">
        <v>1101807637</v>
      </c>
      <c r="G3912">
        <v>1062728838</v>
      </c>
      <c r="H3912">
        <v>1000705394</v>
      </c>
      <c r="I3912">
        <v>960499888</v>
      </c>
      <c r="J3912">
        <v>932618170</v>
      </c>
      <c r="K3912">
        <v>722642999</v>
      </c>
      <c r="L3912">
        <v>696652404</v>
      </c>
      <c r="M3912">
        <v>482648339</v>
      </c>
      <c r="N3912">
        <v>469609740</v>
      </c>
      <c r="O3912">
        <v>443850348</v>
      </c>
      <c r="P3912">
        <v>123</v>
      </c>
      <c r="Q3912" t="s">
        <v>8170</v>
      </c>
    </row>
    <row r="3913" spans="1:17" x14ac:dyDescent="0.3">
      <c r="A3913" t="s">
        <v>4729</v>
      </c>
      <c r="B3913" t="str">
        <f>"300113"</f>
        <v>300113</v>
      </c>
      <c r="C3913" t="s">
        <v>8171</v>
      </c>
      <c r="D3913" t="s">
        <v>517</v>
      </c>
      <c r="F3913">
        <v>2435710597</v>
      </c>
      <c r="G3913">
        <v>2440186739</v>
      </c>
      <c r="H3913">
        <v>2557326597</v>
      </c>
      <c r="I3913">
        <v>2945650078</v>
      </c>
      <c r="J3913">
        <v>2997774404</v>
      </c>
      <c r="K3913">
        <v>2462962573</v>
      </c>
      <c r="L3913">
        <v>1455367179</v>
      </c>
      <c r="M3913">
        <v>1029236393</v>
      </c>
      <c r="N3913">
        <v>877804506</v>
      </c>
      <c r="O3913">
        <v>808304912</v>
      </c>
      <c r="P3913">
        <v>481</v>
      </c>
      <c r="Q3913" t="s">
        <v>8172</v>
      </c>
    </row>
    <row r="3914" spans="1:17" x14ac:dyDescent="0.3">
      <c r="A3914" t="s">
        <v>4729</v>
      </c>
      <c r="B3914" t="str">
        <f>"300114"</f>
        <v>300114</v>
      </c>
      <c r="C3914" t="s">
        <v>8173</v>
      </c>
      <c r="D3914" t="s">
        <v>1136</v>
      </c>
      <c r="F3914">
        <v>2127121597</v>
      </c>
      <c r="G3914">
        <v>1906750279</v>
      </c>
      <c r="H3914">
        <v>1603809909</v>
      </c>
      <c r="I3914">
        <v>1455571558</v>
      </c>
      <c r="J3914">
        <v>1456730724</v>
      </c>
      <c r="K3914">
        <v>1339325681</v>
      </c>
      <c r="L3914">
        <v>1257242947</v>
      </c>
      <c r="M3914">
        <v>1164438598</v>
      </c>
      <c r="N3914">
        <v>828253673</v>
      </c>
      <c r="O3914">
        <v>784073074</v>
      </c>
      <c r="P3914">
        <v>258</v>
      </c>
      <c r="Q3914" t="s">
        <v>8174</v>
      </c>
    </row>
    <row r="3915" spans="1:17" x14ac:dyDescent="0.3">
      <c r="A3915" t="s">
        <v>4729</v>
      </c>
      <c r="B3915" t="str">
        <f>"300115"</f>
        <v>300115</v>
      </c>
      <c r="C3915" t="s">
        <v>8175</v>
      </c>
      <c r="D3915" t="s">
        <v>313</v>
      </c>
      <c r="F3915">
        <v>5679261091</v>
      </c>
      <c r="G3915">
        <v>6739502520</v>
      </c>
      <c r="H3915">
        <v>4261846199</v>
      </c>
      <c r="I3915">
        <v>4370558317</v>
      </c>
      <c r="J3915">
        <v>4438874648</v>
      </c>
      <c r="K3915">
        <v>3982346552</v>
      </c>
      <c r="L3915">
        <v>3315357901</v>
      </c>
      <c r="M3915">
        <v>1968279354</v>
      </c>
      <c r="N3915">
        <v>1686324477</v>
      </c>
      <c r="O3915">
        <v>1490764871</v>
      </c>
      <c r="P3915">
        <v>870</v>
      </c>
      <c r="Q3915" t="s">
        <v>8176</v>
      </c>
    </row>
    <row r="3916" spans="1:17" x14ac:dyDescent="0.3">
      <c r="A3916" t="s">
        <v>4729</v>
      </c>
      <c r="B3916" t="str">
        <f>"300116"</f>
        <v>300116</v>
      </c>
      <c r="C3916" t="s">
        <v>8177</v>
      </c>
      <c r="D3916" t="s">
        <v>359</v>
      </c>
      <c r="F3916">
        <v>251017127</v>
      </c>
      <c r="G3916">
        <v>397395769</v>
      </c>
      <c r="H3916">
        <v>564115681</v>
      </c>
      <c r="I3916">
        <v>251476488</v>
      </c>
      <c r="J3916">
        <v>4137219140</v>
      </c>
      <c r="K3916">
        <v>7835317360</v>
      </c>
      <c r="L3916">
        <v>956935682</v>
      </c>
      <c r="M3916">
        <v>927571532</v>
      </c>
      <c r="N3916">
        <v>478306147</v>
      </c>
      <c r="O3916">
        <v>473501291</v>
      </c>
      <c r="P3916">
        <v>173</v>
      </c>
      <c r="Q3916" t="s">
        <v>8178</v>
      </c>
    </row>
    <row r="3917" spans="1:17" x14ac:dyDescent="0.3">
      <c r="A3917" t="s">
        <v>4729</v>
      </c>
      <c r="B3917" t="str">
        <f>"300117"</f>
        <v>300117</v>
      </c>
      <c r="C3917" t="s">
        <v>8179</v>
      </c>
      <c r="D3917" t="s">
        <v>1992</v>
      </c>
      <c r="F3917">
        <v>100013924</v>
      </c>
      <c r="G3917">
        <v>1457192149</v>
      </c>
      <c r="H3917">
        <v>1389595097</v>
      </c>
      <c r="I3917">
        <v>1370880413</v>
      </c>
      <c r="J3917">
        <v>1470933419</v>
      </c>
      <c r="K3917">
        <v>1415559147</v>
      </c>
      <c r="L3917">
        <v>1353185563</v>
      </c>
      <c r="M3917">
        <v>1306593160</v>
      </c>
      <c r="N3917">
        <v>1269547152</v>
      </c>
      <c r="O3917">
        <v>1215025674</v>
      </c>
      <c r="P3917">
        <v>179</v>
      </c>
      <c r="Q3917" t="s">
        <v>8180</v>
      </c>
    </row>
    <row r="3918" spans="1:17" x14ac:dyDescent="0.3">
      <c r="A3918" t="s">
        <v>4729</v>
      </c>
      <c r="B3918" t="str">
        <f>"300118"</f>
        <v>300118</v>
      </c>
      <c r="C3918" t="s">
        <v>8181</v>
      </c>
      <c r="D3918" t="s">
        <v>356</v>
      </c>
      <c r="F3918">
        <v>8479632015</v>
      </c>
      <c r="G3918">
        <v>8443061017</v>
      </c>
      <c r="H3918">
        <v>8248422190</v>
      </c>
      <c r="I3918">
        <v>7431086755</v>
      </c>
      <c r="J3918">
        <v>7477714196</v>
      </c>
      <c r="K3918">
        <v>3792503284</v>
      </c>
      <c r="L3918">
        <v>3022747696</v>
      </c>
      <c r="M3918">
        <v>2691609778</v>
      </c>
      <c r="N3918">
        <v>2010406753</v>
      </c>
      <c r="O3918">
        <v>1937204679</v>
      </c>
      <c r="P3918">
        <v>443</v>
      </c>
      <c r="Q3918" t="s">
        <v>8182</v>
      </c>
    </row>
    <row r="3919" spans="1:17" x14ac:dyDescent="0.3">
      <c r="A3919" t="s">
        <v>4729</v>
      </c>
      <c r="B3919" t="str">
        <f>"300119"</f>
        <v>300119</v>
      </c>
      <c r="C3919" t="s">
        <v>8183</v>
      </c>
      <c r="D3919" t="s">
        <v>453</v>
      </c>
      <c r="F3919">
        <v>4032655573</v>
      </c>
      <c r="G3919">
        <v>2455572468</v>
      </c>
      <c r="H3919">
        <v>2121941671</v>
      </c>
      <c r="I3919">
        <v>2010171830</v>
      </c>
      <c r="J3919">
        <v>1951866996</v>
      </c>
      <c r="K3919">
        <v>1903482656</v>
      </c>
      <c r="L3919">
        <v>1607663557</v>
      </c>
      <c r="M3919">
        <v>1614912996</v>
      </c>
      <c r="N3919">
        <v>1611378699</v>
      </c>
      <c r="O3919">
        <v>1484323755</v>
      </c>
      <c r="P3919">
        <v>388</v>
      </c>
      <c r="Q3919" t="s">
        <v>8184</v>
      </c>
    </row>
    <row r="3920" spans="1:17" x14ac:dyDescent="0.3">
      <c r="A3920" t="s">
        <v>4729</v>
      </c>
      <c r="B3920" t="str">
        <f>"300120"</f>
        <v>300120</v>
      </c>
      <c r="C3920" t="s">
        <v>8185</v>
      </c>
      <c r="D3920" t="s">
        <v>1117</v>
      </c>
      <c r="F3920">
        <v>2507854844</v>
      </c>
      <c r="G3920">
        <v>2487604516</v>
      </c>
      <c r="H3920">
        <v>2451938653</v>
      </c>
      <c r="I3920">
        <v>1914539089</v>
      </c>
      <c r="J3920">
        <v>1796701774</v>
      </c>
      <c r="K3920">
        <v>600366426</v>
      </c>
      <c r="L3920">
        <v>593698410</v>
      </c>
      <c r="M3920">
        <v>598832635</v>
      </c>
      <c r="N3920">
        <v>614803521</v>
      </c>
      <c r="O3920">
        <v>591637446</v>
      </c>
      <c r="P3920">
        <v>105</v>
      </c>
      <c r="Q3920" t="s">
        <v>8186</v>
      </c>
    </row>
    <row r="3921" spans="1:17" x14ac:dyDescent="0.3">
      <c r="A3921" t="s">
        <v>4729</v>
      </c>
      <c r="B3921" t="str">
        <f>"300121"</f>
        <v>300121</v>
      </c>
      <c r="C3921" t="s">
        <v>8187</v>
      </c>
      <c r="D3921" t="s">
        <v>3128</v>
      </c>
      <c r="F3921">
        <v>1927927248</v>
      </c>
      <c r="G3921">
        <v>1656044237</v>
      </c>
      <c r="H3921">
        <v>1672398836</v>
      </c>
      <c r="I3921">
        <v>1706135690</v>
      </c>
      <c r="J3921">
        <v>855663840</v>
      </c>
      <c r="K3921">
        <v>652808677</v>
      </c>
      <c r="L3921">
        <v>499051393</v>
      </c>
      <c r="M3921">
        <v>470819085</v>
      </c>
      <c r="N3921">
        <v>453152165</v>
      </c>
      <c r="O3921">
        <v>437253096</v>
      </c>
      <c r="P3921">
        <v>353</v>
      </c>
      <c r="Q3921" t="s">
        <v>8188</v>
      </c>
    </row>
    <row r="3922" spans="1:17" x14ac:dyDescent="0.3">
      <c r="A3922" t="s">
        <v>4729</v>
      </c>
      <c r="B3922" t="str">
        <f>"300122"</f>
        <v>300122</v>
      </c>
      <c r="C3922" t="s">
        <v>8189</v>
      </c>
      <c r="D3922" t="s">
        <v>1499</v>
      </c>
      <c r="F3922">
        <v>17657212912</v>
      </c>
      <c r="G3922">
        <v>8248664459</v>
      </c>
      <c r="H3922">
        <v>5747337629</v>
      </c>
      <c r="I3922">
        <v>4180898896</v>
      </c>
      <c r="J3922">
        <v>2937532368</v>
      </c>
      <c r="K3922">
        <v>2521256967</v>
      </c>
      <c r="L3922">
        <v>2469228814</v>
      </c>
      <c r="M3922">
        <v>2457738733</v>
      </c>
      <c r="N3922">
        <v>2389259841</v>
      </c>
      <c r="O3922">
        <v>2372982902</v>
      </c>
      <c r="P3922">
        <v>3426</v>
      </c>
      <c r="Q3922" t="s">
        <v>8190</v>
      </c>
    </row>
    <row r="3923" spans="1:17" x14ac:dyDescent="0.3">
      <c r="A3923" t="s">
        <v>4729</v>
      </c>
      <c r="B3923" t="str">
        <f>"300123"</f>
        <v>300123</v>
      </c>
      <c r="C3923" t="s">
        <v>8191</v>
      </c>
      <c r="D3923" t="s">
        <v>1136</v>
      </c>
      <c r="F3923">
        <v>3903548011</v>
      </c>
      <c r="G3923">
        <v>5105014332</v>
      </c>
      <c r="H3923">
        <v>4977611858</v>
      </c>
      <c r="I3923">
        <v>4741756654</v>
      </c>
      <c r="J3923">
        <v>4597082896</v>
      </c>
      <c r="K3923">
        <v>1151881311</v>
      </c>
      <c r="L3923">
        <v>931668650</v>
      </c>
      <c r="M3923">
        <v>919506710</v>
      </c>
      <c r="N3923">
        <v>922116548</v>
      </c>
      <c r="O3923">
        <v>860522884</v>
      </c>
      <c r="P3923">
        <v>232</v>
      </c>
      <c r="Q3923" t="s">
        <v>8192</v>
      </c>
    </row>
    <row r="3924" spans="1:17" x14ac:dyDescent="0.3">
      <c r="A3924" t="s">
        <v>4729</v>
      </c>
      <c r="B3924" t="str">
        <f>"300124"</f>
        <v>300124</v>
      </c>
      <c r="C3924" t="s">
        <v>8193</v>
      </c>
      <c r="D3924" t="s">
        <v>2432</v>
      </c>
      <c r="F3924">
        <v>15883264027</v>
      </c>
      <c r="G3924">
        <v>10637459253</v>
      </c>
      <c r="H3924">
        <v>8617850035</v>
      </c>
      <c r="I3924">
        <v>6242094004</v>
      </c>
      <c r="J3924">
        <v>5426239410</v>
      </c>
      <c r="K3924">
        <v>4715791690</v>
      </c>
      <c r="L3924">
        <v>4059699980</v>
      </c>
      <c r="M3924">
        <v>3467812531</v>
      </c>
      <c r="N3924">
        <v>3071730420</v>
      </c>
      <c r="O3924">
        <v>2691891121</v>
      </c>
      <c r="P3924">
        <v>2412</v>
      </c>
      <c r="Q3924" t="s">
        <v>8194</v>
      </c>
    </row>
    <row r="3925" spans="1:17" x14ac:dyDescent="0.3">
      <c r="A3925" t="s">
        <v>4729</v>
      </c>
      <c r="B3925" t="str">
        <f>"300125"</f>
        <v>300125</v>
      </c>
      <c r="C3925" t="s">
        <v>8195</v>
      </c>
      <c r="D3925" t="s">
        <v>86</v>
      </c>
      <c r="F3925">
        <v>665028412</v>
      </c>
      <c r="G3925">
        <v>715746946</v>
      </c>
      <c r="H3925">
        <v>775038795</v>
      </c>
      <c r="I3925">
        <v>761000060</v>
      </c>
      <c r="J3925">
        <v>769216287</v>
      </c>
      <c r="K3925">
        <v>1033463973</v>
      </c>
      <c r="L3925">
        <v>1098082299</v>
      </c>
      <c r="M3925">
        <v>1095639258</v>
      </c>
      <c r="N3925">
        <v>1084479075</v>
      </c>
      <c r="O3925">
        <v>1065030442</v>
      </c>
      <c r="P3925">
        <v>59</v>
      </c>
      <c r="Q3925" t="s">
        <v>8196</v>
      </c>
    </row>
    <row r="3926" spans="1:17" x14ac:dyDescent="0.3">
      <c r="A3926" t="s">
        <v>4729</v>
      </c>
      <c r="B3926" t="str">
        <f>"300126"</f>
        <v>300126</v>
      </c>
      <c r="C3926" t="s">
        <v>8197</v>
      </c>
      <c r="D3926" t="s">
        <v>560</v>
      </c>
      <c r="F3926">
        <v>1109711045</v>
      </c>
      <c r="G3926">
        <v>1022537218</v>
      </c>
      <c r="H3926">
        <v>974956042</v>
      </c>
      <c r="I3926">
        <v>967766117</v>
      </c>
      <c r="J3926">
        <v>1039154996</v>
      </c>
      <c r="K3926">
        <v>1036240511</v>
      </c>
      <c r="L3926">
        <v>1048533182</v>
      </c>
      <c r="M3926">
        <v>1039047565</v>
      </c>
      <c r="N3926">
        <v>980031438</v>
      </c>
      <c r="O3926">
        <v>936957483</v>
      </c>
      <c r="P3926">
        <v>50</v>
      </c>
      <c r="Q3926" t="s">
        <v>8198</v>
      </c>
    </row>
    <row r="3927" spans="1:17" x14ac:dyDescent="0.3">
      <c r="A3927" t="s">
        <v>4729</v>
      </c>
      <c r="B3927" t="str">
        <f>"300127"</f>
        <v>300127</v>
      </c>
      <c r="C3927" t="s">
        <v>8199</v>
      </c>
      <c r="D3927" t="s">
        <v>808</v>
      </c>
      <c r="F3927">
        <v>1374320303</v>
      </c>
      <c r="G3927">
        <v>1293673897</v>
      </c>
      <c r="H3927">
        <v>1259006924</v>
      </c>
      <c r="I3927">
        <v>1224635217</v>
      </c>
      <c r="J3927">
        <v>1213653217</v>
      </c>
      <c r="K3927">
        <v>1101474388</v>
      </c>
      <c r="L3927">
        <v>1047812779</v>
      </c>
      <c r="M3927">
        <v>1003360812</v>
      </c>
      <c r="N3927">
        <v>979742294</v>
      </c>
      <c r="O3927">
        <v>994973323</v>
      </c>
      <c r="P3927">
        <v>205</v>
      </c>
      <c r="Q3927" t="s">
        <v>8200</v>
      </c>
    </row>
    <row r="3928" spans="1:17" x14ac:dyDescent="0.3">
      <c r="A3928" t="s">
        <v>4729</v>
      </c>
      <c r="B3928" t="str">
        <f>"300128"</f>
        <v>300128</v>
      </c>
      <c r="C3928" t="s">
        <v>8201</v>
      </c>
      <c r="D3928" t="s">
        <v>1117</v>
      </c>
      <c r="F3928">
        <v>873907056</v>
      </c>
      <c r="G3928">
        <v>1222348716</v>
      </c>
      <c r="H3928">
        <v>1205063649</v>
      </c>
      <c r="I3928">
        <v>1196321895</v>
      </c>
      <c r="J3928">
        <v>2034674701</v>
      </c>
      <c r="K3928">
        <v>1967144070</v>
      </c>
      <c r="L3928">
        <v>2226578724</v>
      </c>
      <c r="M3928">
        <v>2396641297</v>
      </c>
      <c r="N3928">
        <v>1343578059</v>
      </c>
      <c r="O3928">
        <v>1310109773</v>
      </c>
      <c r="P3928">
        <v>145</v>
      </c>
      <c r="Q3928" t="s">
        <v>8202</v>
      </c>
    </row>
    <row r="3929" spans="1:17" x14ac:dyDescent="0.3">
      <c r="A3929" t="s">
        <v>4729</v>
      </c>
      <c r="B3929" t="str">
        <f>"300129"</f>
        <v>300129</v>
      </c>
      <c r="C3929" t="s">
        <v>8203</v>
      </c>
      <c r="D3929" t="s">
        <v>950</v>
      </c>
      <c r="F3929">
        <v>2758273486</v>
      </c>
      <c r="G3929">
        <v>2588606700</v>
      </c>
      <c r="H3929">
        <v>2315463501</v>
      </c>
      <c r="I3929">
        <v>2208258261</v>
      </c>
      <c r="J3929">
        <v>2257042939</v>
      </c>
      <c r="K3929">
        <v>2149870086</v>
      </c>
      <c r="L3929">
        <v>1962728676</v>
      </c>
      <c r="M3929">
        <v>1514648127</v>
      </c>
      <c r="N3929">
        <v>1444514328</v>
      </c>
      <c r="O3929">
        <v>1383085601</v>
      </c>
      <c r="P3929">
        <v>183</v>
      </c>
      <c r="Q3929" t="s">
        <v>8204</v>
      </c>
    </row>
    <row r="3930" spans="1:17" x14ac:dyDescent="0.3">
      <c r="A3930" t="s">
        <v>4729</v>
      </c>
      <c r="B3930" t="str">
        <f>"300130"</f>
        <v>300130</v>
      </c>
      <c r="C3930" t="s">
        <v>8205</v>
      </c>
      <c r="D3930" t="s">
        <v>236</v>
      </c>
      <c r="F3930">
        <v>2525578184</v>
      </c>
      <c r="G3930">
        <v>2426729874</v>
      </c>
      <c r="H3930">
        <v>2452058998</v>
      </c>
      <c r="I3930">
        <v>2099149347</v>
      </c>
      <c r="J3930">
        <v>1998699579</v>
      </c>
      <c r="K3930">
        <v>1455175355</v>
      </c>
      <c r="L3930">
        <v>1262354410</v>
      </c>
      <c r="M3930">
        <v>1130378478</v>
      </c>
      <c r="N3930">
        <v>1033002392</v>
      </c>
      <c r="O3930">
        <v>983777333</v>
      </c>
      <c r="P3930">
        <v>202</v>
      </c>
      <c r="Q3930" t="s">
        <v>8206</v>
      </c>
    </row>
    <row r="3931" spans="1:17" x14ac:dyDescent="0.3">
      <c r="A3931" t="s">
        <v>4729</v>
      </c>
      <c r="B3931" t="str">
        <f>"300131"</f>
        <v>300131</v>
      </c>
      <c r="C3931" t="s">
        <v>8207</v>
      </c>
      <c r="D3931" t="s">
        <v>313</v>
      </c>
      <c r="F3931">
        <v>1485561201</v>
      </c>
      <c r="G3931">
        <v>1444899259</v>
      </c>
      <c r="H3931">
        <v>1728515046</v>
      </c>
      <c r="I3931">
        <v>1710192904</v>
      </c>
      <c r="J3931">
        <v>1886590000</v>
      </c>
      <c r="K3931">
        <v>1872546515</v>
      </c>
      <c r="L3931">
        <v>1697289969</v>
      </c>
      <c r="M3931">
        <v>542747573</v>
      </c>
      <c r="N3931">
        <v>522721178</v>
      </c>
      <c r="O3931">
        <v>544991353</v>
      </c>
      <c r="P3931">
        <v>207</v>
      </c>
      <c r="Q3931" t="s">
        <v>8208</v>
      </c>
    </row>
    <row r="3932" spans="1:17" x14ac:dyDescent="0.3">
      <c r="A3932" t="s">
        <v>4729</v>
      </c>
      <c r="B3932" t="str">
        <f>"300132"</f>
        <v>300132</v>
      </c>
      <c r="C3932" t="s">
        <v>8209</v>
      </c>
      <c r="D3932" t="s">
        <v>5979</v>
      </c>
      <c r="F3932">
        <v>2135452390</v>
      </c>
      <c r="G3932">
        <v>3134405757</v>
      </c>
      <c r="H3932">
        <v>3028018490</v>
      </c>
      <c r="I3932">
        <v>1109822682</v>
      </c>
      <c r="J3932">
        <v>728024839</v>
      </c>
      <c r="K3932">
        <v>634581122</v>
      </c>
      <c r="L3932">
        <v>600323898</v>
      </c>
      <c r="M3932">
        <v>600592327</v>
      </c>
      <c r="N3932">
        <v>559857126</v>
      </c>
      <c r="O3932">
        <v>549463182</v>
      </c>
      <c r="P3932">
        <v>399</v>
      </c>
      <c r="Q3932" t="s">
        <v>8210</v>
      </c>
    </row>
    <row r="3933" spans="1:17" x14ac:dyDescent="0.3">
      <c r="A3933" t="s">
        <v>4729</v>
      </c>
      <c r="B3933" t="str">
        <f>"300133"</f>
        <v>300133</v>
      </c>
      <c r="C3933" t="s">
        <v>8211</v>
      </c>
      <c r="D3933" t="s">
        <v>113</v>
      </c>
      <c r="F3933">
        <v>6636419961</v>
      </c>
      <c r="G3933">
        <v>5551198472</v>
      </c>
      <c r="H3933">
        <v>5254642529</v>
      </c>
      <c r="I3933">
        <v>6923977249</v>
      </c>
      <c r="J3933">
        <v>6901297009</v>
      </c>
      <c r="K3933">
        <v>6378260143</v>
      </c>
      <c r="L3933">
        <v>5908072328</v>
      </c>
      <c r="M3933">
        <v>3353297034</v>
      </c>
      <c r="N3933">
        <v>1759719514</v>
      </c>
      <c r="O3933">
        <v>1482343183</v>
      </c>
      <c r="P3933">
        <v>349</v>
      </c>
      <c r="Q3933" t="s">
        <v>8212</v>
      </c>
    </row>
    <row r="3934" spans="1:17" x14ac:dyDescent="0.3">
      <c r="A3934" t="s">
        <v>4729</v>
      </c>
      <c r="B3934" t="str">
        <f>"300134"</f>
        <v>300134</v>
      </c>
      <c r="C3934" t="s">
        <v>8213</v>
      </c>
      <c r="D3934" t="s">
        <v>1019</v>
      </c>
      <c r="F3934">
        <v>4679718784</v>
      </c>
      <c r="G3934">
        <v>5031019107</v>
      </c>
      <c r="H3934">
        <v>4995549734</v>
      </c>
      <c r="I3934">
        <v>5350001731</v>
      </c>
      <c r="J3934">
        <v>5323163606</v>
      </c>
      <c r="K3934">
        <v>5836326330</v>
      </c>
      <c r="L3934">
        <v>2519355707</v>
      </c>
      <c r="M3934">
        <v>2570856810</v>
      </c>
      <c r="N3934">
        <v>2194618579</v>
      </c>
      <c r="O3934">
        <v>2140957446</v>
      </c>
      <c r="P3934">
        <v>342</v>
      </c>
      <c r="Q3934" t="s">
        <v>8214</v>
      </c>
    </row>
    <row r="3935" spans="1:17" x14ac:dyDescent="0.3">
      <c r="A3935" t="s">
        <v>4729</v>
      </c>
      <c r="B3935" t="str">
        <f>"300135"</f>
        <v>300135</v>
      </c>
      <c r="C3935" t="s">
        <v>8215</v>
      </c>
      <c r="D3935" t="s">
        <v>1617</v>
      </c>
      <c r="F3935">
        <v>1169962059</v>
      </c>
      <c r="G3935">
        <v>1253575468</v>
      </c>
      <c r="H3935">
        <v>1260510497</v>
      </c>
      <c r="I3935">
        <v>1231638057</v>
      </c>
      <c r="J3935">
        <v>1197754963</v>
      </c>
      <c r="K3935">
        <v>1180021268</v>
      </c>
      <c r="L3935">
        <v>1154225873</v>
      </c>
      <c r="M3935">
        <v>1158206740</v>
      </c>
      <c r="N3935">
        <v>1120462900</v>
      </c>
      <c r="O3935">
        <v>1057014250</v>
      </c>
      <c r="P3935">
        <v>49</v>
      </c>
      <c r="Q3935" t="s">
        <v>8216</v>
      </c>
    </row>
    <row r="3936" spans="1:17" x14ac:dyDescent="0.3">
      <c r="A3936" t="s">
        <v>4729</v>
      </c>
      <c r="B3936" t="str">
        <f>"300136"</f>
        <v>300136</v>
      </c>
      <c r="C3936" t="s">
        <v>8217</v>
      </c>
      <c r="D3936" t="s">
        <v>313</v>
      </c>
      <c r="F3936">
        <v>5975433711</v>
      </c>
      <c r="G3936">
        <v>5524267660</v>
      </c>
      <c r="H3936">
        <v>4715675972</v>
      </c>
      <c r="I3936">
        <v>3682053251</v>
      </c>
      <c r="J3936">
        <v>2759491999</v>
      </c>
      <c r="K3936">
        <v>1923118547</v>
      </c>
      <c r="L3936">
        <v>1389838881</v>
      </c>
      <c r="M3936">
        <v>672905166</v>
      </c>
      <c r="N3936">
        <v>627433683</v>
      </c>
      <c r="O3936">
        <v>660958804</v>
      </c>
      <c r="P3936">
        <v>2618</v>
      </c>
      <c r="Q3936" t="s">
        <v>8218</v>
      </c>
    </row>
    <row r="3937" spans="1:17" x14ac:dyDescent="0.3">
      <c r="A3937" t="s">
        <v>4729</v>
      </c>
      <c r="B3937" t="str">
        <f>"300137"</f>
        <v>300137</v>
      </c>
      <c r="C3937" t="s">
        <v>8219</v>
      </c>
      <c r="D3937" t="s">
        <v>1070</v>
      </c>
      <c r="F3937">
        <v>2087917884</v>
      </c>
      <c r="G3937">
        <v>2070997434</v>
      </c>
      <c r="H3937">
        <v>2062694665</v>
      </c>
      <c r="I3937">
        <v>1808237876</v>
      </c>
      <c r="J3937">
        <v>1602362563</v>
      </c>
      <c r="K3937">
        <v>1449615381</v>
      </c>
      <c r="L3937">
        <v>1368754685</v>
      </c>
      <c r="M3937">
        <v>1025667648</v>
      </c>
      <c r="N3937">
        <v>967697026</v>
      </c>
      <c r="O3937">
        <v>907577761</v>
      </c>
      <c r="P3937">
        <v>253</v>
      </c>
      <c r="Q3937" t="s">
        <v>8220</v>
      </c>
    </row>
    <row r="3938" spans="1:17" x14ac:dyDescent="0.3">
      <c r="A3938" t="s">
        <v>4729</v>
      </c>
      <c r="B3938" t="str">
        <f>"300138"</f>
        <v>300138</v>
      </c>
      <c r="C3938" t="s">
        <v>8221</v>
      </c>
      <c r="D3938" t="s">
        <v>445</v>
      </c>
      <c r="F3938">
        <v>2785482526</v>
      </c>
      <c r="G3938">
        <v>1980009153</v>
      </c>
      <c r="H3938">
        <v>1748100417</v>
      </c>
      <c r="I3938">
        <v>1744120502</v>
      </c>
      <c r="J3938">
        <v>1624996887</v>
      </c>
      <c r="K3938">
        <v>1503033843</v>
      </c>
      <c r="L3938">
        <v>1416503204</v>
      </c>
      <c r="M3938">
        <v>1007203959</v>
      </c>
      <c r="N3938">
        <v>987361772</v>
      </c>
      <c r="O3938">
        <v>994875055</v>
      </c>
      <c r="P3938">
        <v>264</v>
      </c>
      <c r="Q3938" t="s">
        <v>8222</v>
      </c>
    </row>
    <row r="3939" spans="1:17" x14ac:dyDescent="0.3">
      <c r="A3939" t="s">
        <v>4729</v>
      </c>
      <c r="B3939" t="str">
        <f>"300139"</f>
        <v>300139</v>
      </c>
      <c r="C3939" t="s">
        <v>8223</v>
      </c>
      <c r="D3939" t="s">
        <v>86</v>
      </c>
      <c r="F3939">
        <v>1037858463</v>
      </c>
      <c r="G3939">
        <v>952647660</v>
      </c>
      <c r="H3939">
        <v>1060948361</v>
      </c>
      <c r="I3939">
        <v>1139281559</v>
      </c>
      <c r="J3939">
        <v>1111712413</v>
      </c>
      <c r="K3939">
        <v>1313311147</v>
      </c>
      <c r="L3939">
        <v>1268025121</v>
      </c>
      <c r="M3939">
        <v>1216723707</v>
      </c>
      <c r="N3939">
        <v>1174055816</v>
      </c>
      <c r="O3939">
        <v>1146052538</v>
      </c>
      <c r="P3939">
        <v>147</v>
      </c>
      <c r="Q3939" t="s">
        <v>8224</v>
      </c>
    </row>
    <row r="3940" spans="1:17" x14ac:dyDescent="0.3">
      <c r="A3940" t="s">
        <v>4729</v>
      </c>
      <c r="B3940" t="str">
        <f>"300140"</f>
        <v>300140</v>
      </c>
      <c r="C3940" t="s">
        <v>8225</v>
      </c>
      <c r="D3940" t="s">
        <v>1070</v>
      </c>
      <c r="F3940">
        <v>1473162578</v>
      </c>
      <c r="G3940">
        <v>1713494594</v>
      </c>
      <c r="H3940">
        <v>2204592293</v>
      </c>
      <c r="I3940">
        <v>1832545125</v>
      </c>
      <c r="J3940">
        <v>1326033773</v>
      </c>
      <c r="K3940">
        <v>1250005128</v>
      </c>
      <c r="L3940">
        <v>783892098</v>
      </c>
      <c r="M3940">
        <v>789412831</v>
      </c>
      <c r="N3940">
        <v>792323046</v>
      </c>
      <c r="O3940">
        <v>782284053</v>
      </c>
      <c r="P3940">
        <v>103</v>
      </c>
      <c r="Q3940" t="s">
        <v>8226</v>
      </c>
    </row>
    <row r="3941" spans="1:17" x14ac:dyDescent="0.3">
      <c r="A3941" t="s">
        <v>4729</v>
      </c>
      <c r="B3941" t="str">
        <f>"300141"</f>
        <v>300141</v>
      </c>
      <c r="C3941" t="s">
        <v>8227</v>
      </c>
      <c r="D3941" t="s">
        <v>657</v>
      </c>
      <c r="F3941">
        <v>675640872</v>
      </c>
      <c r="G3941">
        <v>666643906</v>
      </c>
      <c r="H3941">
        <v>729351495</v>
      </c>
      <c r="I3941">
        <v>713524568</v>
      </c>
      <c r="J3941">
        <v>693760224</v>
      </c>
      <c r="K3941">
        <v>705441784</v>
      </c>
      <c r="L3941">
        <v>692409361</v>
      </c>
      <c r="M3941">
        <v>687344056</v>
      </c>
      <c r="N3941">
        <v>638835500</v>
      </c>
      <c r="O3941">
        <v>585009455</v>
      </c>
      <c r="P3941">
        <v>91</v>
      </c>
      <c r="Q3941" t="s">
        <v>8228</v>
      </c>
    </row>
    <row r="3942" spans="1:17" x14ac:dyDescent="0.3">
      <c r="A3942" t="s">
        <v>4729</v>
      </c>
      <c r="B3942" t="str">
        <f>"300142"</f>
        <v>300142</v>
      </c>
      <c r="C3942" t="s">
        <v>8229</v>
      </c>
      <c r="D3942" t="s">
        <v>1499</v>
      </c>
      <c r="F3942">
        <v>8484232086</v>
      </c>
      <c r="G3942">
        <v>6544755378</v>
      </c>
      <c r="H3942">
        <v>4865163291</v>
      </c>
      <c r="I3942">
        <v>4574025955</v>
      </c>
      <c r="J3942">
        <v>3027283033</v>
      </c>
      <c r="K3942">
        <v>3207252579</v>
      </c>
      <c r="L3942">
        <v>2284595546</v>
      </c>
      <c r="M3942">
        <v>2882905754</v>
      </c>
      <c r="N3942">
        <v>2742562157</v>
      </c>
      <c r="O3942">
        <v>2954134666</v>
      </c>
      <c r="P3942">
        <v>1230</v>
      </c>
      <c r="Q3942" t="s">
        <v>8230</v>
      </c>
    </row>
    <row r="3943" spans="1:17" x14ac:dyDescent="0.3">
      <c r="A3943" t="s">
        <v>4729</v>
      </c>
      <c r="B3943" t="str">
        <f>"300143"</f>
        <v>300143</v>
      </c>
      <c r="C3943" t="s">
        <v>8231</v>
      </c>
      <c r="D3943" t="s">
        <v>1147</v>
      </c>
      <c r="F3943">
        <v>1773580428</v>
      </c>
      <c r="G3943">
        <v>2210350438</v>
      </c>
      <c r="H3943">
        <v>1338343924</v>
      </c>
      <c r="I3943">
        <v>2041209189</v>
      </c>
      <c r="J3943">
        <v>2377591820</v>
      </c>
      <c r="K3943">
        <v>2160477161</v>
      </c>
      <c r="L3943">
        <v>1442003288</v>
      </c>
      <c r="M3943">
        <v>306425611</v>
      </c>
      <c r="N3943">
        <v>599699908</v>
      </c>
      <c r="O3943">
        <v>762858913</v>
      </c>
      <c r="P3943">
        <v>150</v>
      </c>
      <c r="Q3943" t="s">
        <v>8232</v>
      </c>
    </row>
    <row r="3944" spans="1:17" x14ac:dyDescent="0.3">
      <c r="A3944" t="s">
        <v>4729</v>
      </c>
      <c r="B3944" t="str">
        <f>"300144"</f>
        <v>300144</v>
      </c>
      <c r="C3944" t="s">
        <v>8233</v>
      </c>
      <c r="D3944" t="s">
        <v>333</v>
      </c>
      <c r="F3944">
        <v>7644770822</v>
      </c>
      <c r="G3944">
        <v>7412287432</v>
      </c>
      <c r="H3944">
        <v>9614069167</v>
      </c>
      <c r="I3944">
        <v>8471075013</v>
      </c>
      <c r="J3944">
        <v>7330347174</v>
      </c>
      <c r="K3944">
        <v>6404173786</v>
      </c>
      <c r="L3944">
        <v>5602580884</v>
      </c>
      <c r="M3944">
        <v>3444422516</v>
      </c>
      <c r="N3944">
        <v>3136607570</v>
      </c>
      <c r="O3944">
        <v>2887084158</v>
      </c>
      <c r="P3944">
        <v>3022</v>
      </c>
      <c r="Q3944" t="s">
        <v>8234</v>
      </c>
    </row>
    <row r="3945" spans="1:17" x14ac:dyDescent="0.3">
      <c r="A3945" t="s">
        <v>4729</v>
      </c>
      <c r="B3945" t="str">
        <f>"300145"</f>
        <v>300145</v>
      </c>
      <c r="C3945" t="s">
        <v>8235</v>
      </c>
      <c r="D3945" t="s">
        <v>560</v>
      </c>
      <c r="F3945">
        <v>2036726923</v>
      </c>
      <c r="G3945">
        <v>2820752959</v>
      </c>
      <c r="H3945">
        <v>4825374098</v>
      </c>
      <c r="I3945">
        <v>4800536692</v>
      </c>
      <c r="J3945">
        <v>4605105451</v>
      </c>
      <c r="K3945">
        <v>4055035443</v>
      </c>
      <c r="L3945">
        <v>3555868101</v>
      </c>
      <c r="M3945">
        <v>1448327710</v>
      </c>
      <c r="N3945">
        <v>1268838911</v>
      </c>
      <c r="O3945">
        <v>1106505154</v>
      </c>
      <c r="P3945">
        <v>281</v>
      </c>
      <c r="Q3945" t="s">
        <v>8236</v>
      </c>
    </row>
    <row r="3946" spans="1:17" x14ac:dyDescent="0.3">
      <c r="A3946" t="s">
        <v>4729</v>
      </c>
      <c r="B3946" t="str">
        <f>"300146"</f>
        <v>300146</v>
      </c>
      <c r="C3946" t="s">
        <v>8237</v>
      </c>
      <c r="D3946" t="s">
        <v>838</v>
      </c>
      <c r="F3946">
        <v>10493948552</v>
      </c>
      <c r="G3946">
        <v>6933550030</v>
      </c>
      <c r="H3946">
        <v>5992173962</v>
      </c>
      <c r="I3946">
        <v>5591786199</v>
      </c>
      <c r="J3946">
        <v>5100825082</v>
      </c>
      <c r="K3946">
        <v>4680019062</v>
      </c>
      <c r="L3946">
        <v>4562015300</v>
      </c>
      <c r="M3946">
        <v>2447696000</v>
      </c>
      <c r="N3946">
        <v>2232778425</v>
      </c>
      <c r="O3946">
        <v>1927117610</v>
      </c>
      <c r="P3946">
        <v>2832</v>
      </c>
      <c r="Q3946" t="s">
        <v>8238</v>
      </c>
    </row>
    <row r="3947" spans="1:17" x14ac:dyDescent="0.3">
      <c r="A3947" t="s">
        <v>4729</v>
      </c>
      <c r="B3947" t="str">
        <f>"300147"</f>
        <v>300147</v>
      </c>
      <c r="C3947" t="s">
        <v>8239</v>
      </c>
      <c r="D3947" t="s">
        <v>188</v>
      </c>
      <c r="F3947">
        <v>2945552554</v>
      </c>
      <c r="G3947">
        <v>3616535740</v>
      </c>
      <c r="H3947">
        <v>3488413857</v>
      </c>
      <c r="I3947">
        <v>3430590953</v>
      </c>
      <c r="J3947">
        <v>3461903105</v>
      </c>
      <c r="K3947">
        <v>3396595813</v>
      </c>
      <c r="L3947">
        <v>3407685700</v>
      </c>
      <c r="M3947">
        <v>1743892088</v>
      </c>
      <c r="N3947">
        <v>1605436897</v>
      </c>
      <c r="O3947">
        <v>1483319123</v>
      </c>
      <c r="P3947">
        <v>166</v>
      </c>
      <c r="Q3947" t="s">
        <v>8240</v>
      </c>
    </row>
    <row r="3948" spans="1:17" x14ac:dyDescent="0.3">
      <c r="A3948" t="s">
        <v>4729</v>
      </c>
      <c r="B3948" t="str">
        <f>"300148"</f>
        <v>300148</v>
      </c>
      <c r="C3948" t="s">
        <v>8241</v>
      </c>
      <c r="D3948" t="s">
        <v>517</v>
      </c>
      <c r="F3948">
        <v>1494738100</v>
      </c>
      <c r="G3948">
        <v>2333825233</v>
      </c>
      <c r="H3948">
        <v>3190351205</v>
      </c>
      <c r="I3948">
        <v>3069989192</v>
      </c>
      <c r="J3948">
        <v>4174895699</v>
      </c>
      <c r="K3948">
        <v>4341727251</v>
      </c>
      <c r="L3948">
        <v>1928799776</v>
      </c>
      <c r="M3948">
        <v>1764900459</v>
      </c>
      <c r="N3948">
        <v>536665717</v>
      </c>
      <c r="O3948">
        <v>526481723</v>
      </c>
      <c r="P3948">
        <v>99</v>
      </c>
      <c r="Q3948" t="s">
        <v>8242</v>
      </c>
    </row>
    <row r="3949" spans="1:17" x14ac:dyDescent="0.3">
      <c r="A3949" t="s">
        <v>4729</v>
      </c>
      <c r="B3949" t="str">
        <f>"300149"</f>
        <v>300149</v>
      </c>
      <c r="C3949" t="s">
        <v>8243</v>
      </c>
      <c r="D3949" t="s">
        <v>1461</v>
      </c>
      <c r="F3949">
        <v>1964444590</v>
      </c>
      <c r="G3949">
        <v>2427903737</v>
      </c>
      <c r="H3949">
        <v>2291888764</v>
      </c>
      <c r="I3949">
        <v>2190031453</v>
      </c>
      <c r="J3949">
        <v>811578903</v>
      </c>
      <c r="K3949">
        <v>769864989</v>
      </c>
      <c r="L3949">
        <v>723737405</v>
      </c>
      <c r="M3949">
        <v>675230723</v>
      </c>
      <c r="N3949">
        <v>646593766</v>
      </c>
      <c r="O3949">
        <v>616995906</v>
      </c>
      <c r="P3949">
        <v>193</v>
      </c>
      <c r="Q3949" t="s">
        <v>8244</v>
      </c>
    </row>
    <row r="3950" spans="1:17" x14ac:dyDescent="0.3">
      <c r="A3950" t="s">
        <v>4729</v>
      </c>
      <c r="B3950" t="str">
        <f>"300150"</f>
        <v>300150</v>
      </c>
      <c r="C3950" t="s">
        <v>8245</v>
      </c>
      <c r="D3950" t="s">
        <v>316</v>
      </c>
      <c r="F3950">
        <v>1927351292</v>
      </c>
      <c r="G3950">
        <v>1895864381</v>
      </c>
      <c r="H3950">
        <v>2044666252</v>
      </c>
      <c r="I3950">
        <v>1990372197</v>
      </c>
      <c r="J3950">
        <v>1958266679</v>
      </c>
      <c r="K3950">
        <v>1547400023</v>
      </c>
      <c r="L3950">
        <v>1510616053</v>
      </c>
      <c r="M3950">
        <v>1450833452</v>
      </c>
      <c r="N3950">
        <v>1379760117</v>
      </c>
      <c r="O3950">
        <v>1382731096</v>
      </c>
      <c r="P3950">
        <v>121</v>
      </c>
      <c r="Q3950" t="s">
        <v>8246</v>
      </c>
    </row>
    <row r="3951" spans="1:17" x14ac:dyDescent="0.3">
      <c r="A3951" t="s">
        <v>4729</v>
      </c>
      <c r="B3951" t="str">
        <f>"300151"</f>
        <v>300151</v>
      </c>
      <c r="C3951" t="s">
        <v>8247</v>
      </c>
      <c r="D3951" t="s">
        <v>741</v>
      </c>
      <c r="F3951">
        <v>1070743470</v>
      </c>
      <c r="G3951">
        <v>1042680702</v>
      </c>
      <c r="H3951">
        <v>868176747</v>
      </c>
      <c r="I3951">
        <v>875001060</v>
      </c>
      <c r="J3951">
        <v>830860426</v>
      </c>
      <c r="K3951">
        <v>817249587</v>
      </c>
      <c r="L3951">
        <v>796922707</v>
      </c>
      <c r="M3951">
        <v>776459260</v>
      </c>
      <c r="N3951">
        <v>735253349</v>
      </c>
      <c r="O3951">
        <v>719906421</v>
      </c>
      <c r="P3951">
        <v>155</v>
      </c>
      <c r="Q3951" t="s">
        <v>8248</v>
      </c>
    </row>
    <row r="3952" spans="1:17" x14ac:dyDescent="0.3">
      <c r="A3952" t="s">
        <v>4729</v>
      </c>
      <c r="B3952" t="str">
        <f>"300152"</f>
        <v>300152</v>
      </c>
      <c r="C3952" t="s">
        <v>8249</v>
      </c>
      <c r="D3952" t="s">
        <v>3575</v>
      </c>
      <c r="F3952">
        <v>489619140</v>
      </c>
      <c r="G3952">
        <v>749842522</v>
      </c>
      <c r="H3952">
        <v>800564062</v>
      </c>
      <c r="I3952">
        <v>702281502</v>
      </c>
      <c r="J3952">
        <v>1182090334</v>
      </c>
      <c r="K3952">
        <v>1173664321</v>
      </c>
      <c r="L3952">
        <v>1443816470</v>
      </c>
      <c r="M3952">
        <v>1461840642</v>
      </c>
      <c r="N3952">
        <v>1427683569</v>
      </c>
      <c r="O3952">
        <v>1393342623</v>
      </c>
      <c r="P3952">
        <v>92</v>
      </c>
      <c r="Q3952" t="s">
        <v>8250</v>
      </c>
    </row>
    <row r="3953" spans="1:17" x14ac:dyDescent="0.3">
      <c r="A3953" t="s">
        <v>4729</v>
      </c>
      <c r="B3953" t="str">
        <f>"300153"</f>
        <v>300153</v>
      </c>
      <c r="C3953" t="s">
        <v>8251</v>
      </c>
      <c r="D3953" t="s">
        <v>880</v>
      </c>
      <c r="F3953">
        <v>759944376</v>
      </c>
      <c r="G3953">
        <v>755595291</v>
      </c>
      <c r="H3953">
        <v>942727073</v>
      </c>
      <c r="I3953">
        <v>957986411</v>
      </c>
      <c r="J3953">
        <v>969624159</v>
      </c>
      <c r="K3953">
        <v>970534089</v>
      </c>
      <c r="L3953">
        <v>954290239</v>
      </c>
      <c r="M3953">
        <v>938898601</v>
      </c>
      <c r="N3953">
        <v>923045700</v>
      </c>
      <c r="O3953">
        <v>919301594</v>
      </c>
      <c r="P3953">
        <v>108</v>
      </c>
      <c r="Q3953" t="s">
        <v>8252</v>
      </c>
    </row>
    <row r="3954" spans="1:17" x14ac:dyDescent="0.3">
      <c r="A3954" t="s">
        <v>4729</v>
      </c>
      <c r="B3954" t="str">
        <f>"300154"</f>
        <v>300154</v>
      </c>
      <c r="C3954" t="s">
        <v>8253</v>
      </c>
      <c r="D3954" t="s">
        <v>560</v>
      </c>
      <c r="F3954">
        <v>1621139971</v>
      </c>
      <c r="G3954">
        <v>1604738405</v>
      </c>
      <c r="H3954">
        <v>1661388603</v>
      </c>
      <c r="I3954">
        <v>1609434821</v>
      </c>
      <c r="J3954">
        <v>1560549339</v>
      </c>
      <c r="K3954">
        <v>1551426487</v>
      </c>
      <c r="L3954">
        <v>1521865128</v>
      </c>
      <c r="M3954">
        <v>1497169592</v>
      </c>
      <c r="N3954">
        <v>1428123990</v>
      </c>
      <c r="O3954">
        <v>1379283080</v>
      </c>
      <c r="P3954">
        <v>82</v>
      </c>
      <c r="Q3954" t="s">
        <v>8254</v>
      </c>
    </row>
    <row r="3955" spans="1:17" x14ac:dyDescent="0.3">
      <c r="A3955" t="s">
        <v>4729</v>
      </c>
      <c r="B3955" t="str">
        <f>"300155"</f>
        <v>300155</v>
      </c>
      <c r="C3955" t="s">
        <v>8255</v>
      </c>
      <c r="D3955" t="s">
        <v>2980</v>
      </c>
      <c r="F3955">
        <v>1414975191</v>
      </c>
      <c r="G3955">
        <v>1314660420</v>
      </c>
      <c r="H3955">
        <v>1231208852</v>
      </c>
      <c r="I3955">
        <v>1167358663</v>
      </c>
      <c r="J3955">
        <v>1145026530</v>
      </c>
      <c r="K3955">
        <v>1137727013</v>
      </c>
      <c r="L3955">
        <v>1139365604</v>
      </c>
      <c r="M3955">
        <v>1117082702</v>
      </c>
      <c r="N3955">
        <v>1102085358</v>
      </c>
      <c r="O3955">
        <v>1009267831</v>
      </c>
      <c r="P3955">
        <v>68</v>
      </c>
      <c r="Q3955" t="s">
        <v>8256</v>
      </c>
    </row>
    <row r="3956" spans="1:17" x14ac:dyDescent="0.3">
      <c r="A3956" t="s">
        <v>4729</v>
      </c>
      <c r="B3956" t="str">
        <f>"300156"</f>
        <v>300156</v>
      </c>
      <c r="C3956" t="s">
        <v>8257</v>
      </c>
      <c r="I3956">
        <v>1286038645</v>
      </c>
      <c r="J3956">
        <v>2779859644</v>
      </c>
      <c r="K3956">
        <v>2520931397</v>
      </c>
      <c r="L3956">
        <v>1749548502</v>
      </c>
      <c r="M3956">
        <v>1445860358</v>
      </c>
      <c r="N3956">
        <v>1410802431</v>
      </c>
      <c r="O3956">
        <v>1594520430</v>
      </c>
      <c r="P3956">
        <v>300</v>
      </c>
      <c r="Q3956" t="s">
        <v>8258</v>
      </c>
    </row>
    <row r="3957" spans="1:17" x14ac:dyDescent="0.3">
      <c r="A3957" t="s">
        <v>4729</v>
      </c>
      <c r="B3957" t="str">
        <f>"300157"</f>
        <v>300157</v>
      </c>
      <c r="C3957" t="s">
        <v>8259</v>
      </c>
      <c r="D3957" t="s">
        <v>762</v>
      </c>
      <c r="F3957">
        <v>158259739</v>
      </c>
      <c r="G3957">
        <v>923956396</v>
      </c>
      <c r="H3957">
        <v>2513802457</v>
      </c>
      <c r="I3957">
        <v>3309818082</v>
      </c>
      <c r="J3957">
        <v>3269190150</v>
      </c>
      <c r="K3957">
        <v>3757545063</v>
      </c>
      <c r="L3957">
        <v>2304610862</v>
      </c>
      <c r="M3957">
        <v>2218326477</v>
      </c>
      <c r="N3957">
        <v>2165324226</v>
      </c>
      <c r="O3957">
        <v>1959412064</v>
      </c>
      <c r="P3957">
        <v>76</v>
      </c>
      <c r="Q3957" t="s">
        <v>8260</v>
      </c>
    </row>
    <row r="3958" spans="1:17" x14ac:dyDescent="0.3">
      <c r="A3958" t="s">
        <v>4729</v>
      </c>
      <c r="B3958" t="str">
        <f>"300158"</f>
        <v>300158</v>
      </c>
      <c r="C3958" t="s">
        <v>8261</v>
      </c>
      <c r="D3958" t="s">
        <v>143</v>
      </c>
      <c r="F3958">
        <v>8079605435</v>
      </c>
      <c r="G3958">
        <v>5644844285</v>
      </c>
      <c r="H3958">
        <v>5436086402</v>
      </c>
      <c r="I3958">
        <v>5356787666</v>
      </c>
      <c r="J3958">
        <v>5541235755</v>
      </c>
      <c r="K3958">
        <v>5246122343</v>
      </c>
      <c r="L3958">
        <v>1994943114</v>
      </c>
      <c r="M3958">
        <v>1959096934</v>
      </c>
      <c r="N3958">
        <v>1945940027</v>
      </c>
      <c r="O3958">
        <v>1880562870</v>
      </c>
      <c r="P3958">
        <v>176</v>
      </c>
      <c r="Q3958" t="s">
        <v>8262</v>
      </c>
    </row>
    <row r="3959" spans="1:17" x14ac:dyDescent="0.3">
      <c r="A3959" t="s">
        <v>4729</v>
      </c>
      <c r="B3959" t="str">
        <f>"300159"</f>
        <v>300159</v>
      </c>
      <c r="C3959" t="s">
        <v>8263</v>
      </c>
      <c r="D3959" t="s">
        <v>98</v>
      </c>
      <c r="F3959">
        <v>229298395</v>
      </c>
      <c r="G3959">
        <v>1540287515</v>
      </c>
      <c r="H3959">
        <v>4100985245</v>
      </c>
      <c r="I3959">
        <v>6409866093</v>
      </c>
      <c r="J3959">
        <v>6206380307</v>
      </c>
      <c r="K3959">
        <v>5816850863</v>
      </c>
      <c r="L3959">
        <v>5591459278</v>
      </c>
      <c r="M3959">
        <v>1108213024</v>
      </c>
      <c r="N3959">
        <v>1030546458</v>
      </c>
      <c r="O3959">
        <v>954610625</v>
      </c>
      <c r="P3959">
        <v>126</v>
      </c>
      <c r="Q3959" t="s">
        <v>8264</v>
      </c>
    </row>
    <row r="3960" spans="1:17" x14ac:dyDescent="0.3">
      <c r="A3960" t="s">
        <v>4729</v>
      </c>
      <c r="B3960" t="str">
        <f>"300160"</f>
        <v>300160</v>
      </c>
      <c r="C3960" t="s">
        <v>8265</v>
      </c>
      <c r="D3960" t="s">
        <v>1253</v>
      </c>
      <c r="F3960">
        <v>1183093923</v>
      </c>
      <c r="G3960">
        <v>1008207167</v>
      </c>
      <c r="H3960">
        <v>1004081991</v>
      </c>
      <c r="I3960">
        <v>871338505</v>
      </c>
      <c r="J3960">
        <v>1313403382</v>
      </c>
      <c r="K3960">
        <v>1227349994</v>
      </c>
      <c r="L3960">
        <v>1126668720</v>
      </c>
      <c r="M3960">
        <v>1084898509</v>
      </c>
      <c r="N3960">
        <v>1057790336</v>
      </c>
      <c r="O3960">
        <v>1029912449</v>
      </c>
      <c r="P3960">
        <v>150</v>
      </c>
      <c r="Q3960" t="s">
        <v>8266</v>
      </c>
    </row>
    <row r="3961" spans="1:17" x14ac:dyDescent="0.3">
      <c r="A3961" t="s">
        <v>4729</v>
      </c>
      <c r="B3961" t="str">
        <f>"300161"</f>
        <v>300161</v>
      </c>
      <c r="C3961" t="s">
        <v>8267</v>
      </c>
      <c r="D3961" t="s">
        <v>2321</v>
      </c>
      <c r="F3961">
        <v>1633341719</v>
      </c>
      <c r="G3961">
        <v>1180705120</v>
      </c>
      <c r="H3961">
        <v>1156579039</v>
      </c>
      <c r="I3961">
        <v>1158985550</v>
      </c>
      <c r="J3961">
        <v>1145757134</v>
      </c>
      <c r="K3961">
        <v>1116365370</v>
      </c>
      <c r="L3961">
        <v>814828724</v>
      </c>
      <c r="M3961">
        <v>859422598</v>
      </c>
      <c r="N3961">
        <v>852126871</v>
      </c>
      <c r="O3961">
        <v>845383067</v>
      </c>
      <c r="P3961">
        <v>159</v>
      </c>
      <c r="Q3961" t="s">
        <v>8268</v>
      </c>
    </row>
    <row r="3962" spans="1:17" x14ac:dyDescent="0.3">
      <c r="A3962" t="s">
        <v>4729</v>
      </c>
      <c r="B3962" t="str">
        <f>"300162"</f>
        <v>300162</v>
      </c>
      <c r="C3962" t="s">
        <v>8269</v>
      </c>
      <c r="D3962" t="s">
        <v>803</v>
      </c>
      <c r="F3962">
        <v>635967553</v>
      </c>
      <c r="G3962">
        <v>600629075</v>
      </c>
      <c r="H3962">
        <v>911861178</v>
      </c>
      <c r="I3962">
        <v>1032732414</v>
      </c>
      <c r="J3962">
        <v>1093116286</v>
      </c>
      <c r="K3962">
        <v>1119219409</v>
      </c>
      <c r="L3962">
        <v>1065240947</v>
      </c>
      <c r="M3962">
        <v>747736735</v>
      </c>
      <c r="N3962">
        <v>735365450</v>
      </c>
      <c r="O3962">
        <v>744734520</v>
      </c>
      <c r="P3962">
        <v>76</v>
      </c>
      <c r="Q3962" t="s">
        <v>8270</v>
      </c>
    </row>
    <row r="3963" spans="1:17" x14ac:dyDescent="0.3">
      <c r="A3963" t="s">
        <v>4729</v>
      </c>
      <c r="B3963" t="str">
        <f>"300163"</f>
        <v>300163</v>
      </c>
      <c r="C3963" t="s">
        <v>8271</v>
      </c>
      <c r="D3963" t="s">
        <v>386</v>
      </c>
      <c r="F3963">
        <v>594875299</v>
      </c>
      <c r="G3963">
        <v>598002798</v>
      </c>
      <c r="H3963">
        <v>579268453</v>
      </c>
      <c r="I3963">
        <v>486278083</v>
      </c>
      <c r="J3963">
        <v>687821302</v>
      </c>
      <c r="K3963">
        <v>738742597</v>
      </c>
      <c r="L3963">
        <v>678211710</v>
      </c>
      <c r="M3963">
        <v>667634865</v>
      </c>
      <c r="N3963">
        <v>657610437</v>
      </c>
      <c r="O3963">
        <v>644415841</v>
      </c>
      <c r="P3963">
        <v>75</v>
      </c>
      <c r="Q3963" t="s">
        <v>8272</v>
      </c>
    </row>
    <row r="3964" spans="1:17" x14ac:dyDescent="0.3">
      <c r="A3964" t="s">
        <v>4729</v>
      </c>
      <c r="B3964" t="str">
        <f>"300164"</f>
        <v>300164</v>
      </c>
      <c r="C3964" t="s">
        <v>8273</v>
      </c>
      <c r="D3964" t="s">
        <v>762</v>
      </c>
      <c r="F3964">
        <v>942972233</v>
      </c>
      <c r="G3964">
        <v>913903644</v>
      </c>
      <c r="H3964">
        <v>1739404212</v>
      </c>
      <c r="I3964">
        <v>1712247993</v>
      </c>
      <c r="J3964">
        <v>1603884751</v>
      </c>
      <c r="K3964">
        <v>1493170949</v>
      </c>
      <c r="L3964">
        <v>1305656988</v>
      </c>
      <c r="M3964">
        <v>1175495927</v>
      </c>
      <c r="N3964">
        <v>1175592669</v>
      </c>
      <c r="O3964">
        <v>1176242832</v>
      </c>
      <c r="P3964">
        <v>82</v>
      </c>
      <c r="Q3964" t="s">
        <v>8274</v>
      </c>
    </row>
    <row r="3965" spans="1:17" x14ac:dyDescent="0.3">
      <c r="A3965" t="s">
        <v>4729</v>
      </c>
      <c r="B3965" t="str">
        <f>"300165"</f>
        <v>300165</v>
      </c>
      <c r="C3965" t="s">
        <v>8275</v>
      </c>
      <c r="D3965" t="s">
        <v>2566</v>
      </c>
      <c r="F3965">
        <v>1612804239</v>
      </c>
      <c r="G3965">
        <v>1692340285</v>
      </c>
      <c r="H3965">
        <v>1604764667</v>
      </c>
      <c r="I3965">
        <v>1604617965</v>
      </c>
      <c r="J3965">
        <v>1618368930</v>
      </c>
      <c r="K3965">
        <v>1525133308</v>
      </c>
      <c r="L3965">
        <v>1492030357</v>
      </c>
      <c r="M3965">
        <v>1476663029</v>
      </c>
      <c r="N3965">
        <v>1443602937</v>
      </c>
      <c r="O3965">
        <v>1404798963</v>
      </c>
      <c r="P3965">
        <v>103</v>
      </c>
      <c r="Q3965" t="s">
        <v>8276</v>
      </c>
    </row>
    <row r="3966" spans="1:17" x14ac:dyDescent="0.3">
      <c r="A3966" t="s">
        <v>4729</v>
      </c>
      <c r="B3966" t="str">
        <f>"300166"</f>
        <v>300166</v>
      </c>
      <c r="C3966" t="s">
        <v>8277</v>
      </c>
      <c r="D3966" t="s">
        <v>316</v>
      </c>
      <c r="F3966">
        <v>6862353601</v>
      </c>
      <c r="G3966">
        <v>5800216114</v>
      </c>
      <c r="H3966">
        <v>5537143731</v>
      </c>
      <c r="I3966">
        <v>4962326470</v>
      </c>
      <c r="J3966">
        <v>4394635200</v>
      </c>
      <c r="K3966">
        <v>3951085872</v>
      </c>
      <c r="L3966">
        <v>1851915655</v>
      </c>
      <c r="M3966">
        <v>1497696627</v>
      </c>
      <c r="N3966">
        <v>1013646668</v>
      </c>
      <c r="O3966">
        <v>733277646</v>
      </c>
      <c r="P3966">
        <v>461</v>
      </c>
      <c r="Q3966" t="s">
        <v>8278</v>
      </c>
    </row>
    <row r="3967" spans="1:17" x14ac:dyDescent="0.3">
      <c r="A3967" t="s">
        <v>4729</v>
      </c>
      <c r="B3967" t="str">
        <f>"300167"</f>
        <v>300167</v>
      </c>
      <c r="C3967" t="s">
        <v>8279</v>
      </c>
      <c r="D3967" t="s">
        <v>316</v>
      </c>
      <c r="F3967">
        <v>255101578</v>
      </c>
      <c r="G3967">
        <v>413647252</v>
      </c>
      <c r="H3967">
        <v>533712503</v>
      </c>
      <c r="I3967">
        <v>516315431</v>
      </c>
      <c r="J3967">
        <v>695406140</v>
      </c>
      <c r="K3967">
        <v>722431498</v>
      </c>
      <c r="L3967">
        <v>696733345</v>
      </c>
      <c r="M3967">
        <v>685836684</v>
      </c>
      <c r="N3967">
        <v>699974074</v>
      </c>
      <c r="O3967">
        <v>709426102</v>
      </c>
      <c r="P3967">
        <v>131</v>
      </c>
      <c r="Q3967" t="s">
        <v>8280</v>
      </c>
    </row>
    <row r="3968" spans="1:17" x14ac:dyDescent="0.3">
      <c r="A3968" t="s">
        <v>4729</v>
      </c>
      <c r="B3968" t="str">
        <f>"300168"</f>
        <v>300168</v>
      </c>
      <c r="C3968" t="s">
        <v>8281</v>
      </c>
      <c r="D3968" t="s">
        <v>316</v>
      </c>
      <c r="F3968">
        <v>1554426979</v>
      </c>
      <c r="G3968">
        <v>1464130103</v>
      </c>
      <c r="H3968">
        <v>2766355701</v>
      </c>
      <c r="I3968">
        <v>3632726942</v>
      </c>
      <c r="J3968">
        <v>2534681129</v>
      </c>
      <c r="K3968">
        <v>2276058762</v>
      </c>
      <c r="L3968">
        <v>1931735304</v>
      </c>
      <c r="M3968">
        <v>1595343281</v>
      </c>
      <c r="N3968">
        <v>1405618584</v>
      </c>
      <c r="O3968">
        <v>1229449436</v>
      </c>
      <c r="P3968">
        <v>368</v>
      </c>
      <c r="Q3968" t="s">
        <v>8282</v>
      </c>
    </row>
    <row r="3969" spans="1:17" x14ac:dyDescent="0.3">
      <c r="A3969" t="s">
        <v>4729</v>
      </c>
      <c r="B3969" t="str">
        <f>"300169"</f>
        <v>300169</v>
      </c>
      <c r="C3969" t="s">
        <v>8283</v>
      </c>
      <c r="D3969" t="s">
        <v>386</v>
      </c>
      <c r="F3969">
        <v>453351346</v>
      </c>
      <c r="G3969">
        <v>619022209</v>
      </c>
      <c r="H3969">
        <v>906837725</v>
      </c>
      <c r="I3969">
        <v>1198083723</v>
      </c>
      <c r="J3969">
        <v>1178440304</v>
      </c>
      <c r="K3969">
        <v>1259667856</v>
      </c>
      <c r="L3969">
        <v>1210848452</v>
      </c>
      <c r="M3969">
        <v>1196689574</v>
      </c>
      <c r="N3969">
        <v>853833146</v>
      </c>
      <c r="O3969">
        <v>935421497</v>
      </c>
      <c r="P3969">
        <v>68</v>
      </c>
      <c r="Q3969" t="s">
        <v>8284</v>
      </c>
    </row>
    <row r="3970" spans="1:17" x14ac:dyDescent="0.3">
      <c r="A3970" t="s">
        <v>4729</v>
      </c>
      <c r="B3970" t="str">
        <f>"300170"</f>
        <v>300170</v>
      </c>
      <c r="C3970" t="s">
        <v>8285</v>
      </c>
      <c r="D3970" t="s">
        <v>316</v>
      </c>
      <c r="F3970">
        <v>3248644600</v>
      </c>
      <c r="G3970">
        <v>3141410649</v>
      </c>
      <c r="H3970">
        <v>3066901427</v>
      </c>
      <c r="I3970">
        <v>2943598950</v>
      </c>
      <c r="J3970">
        <v>2459654331</v>
      </c>
      <c r="K3970">
        <v>2064546600</v>
      </c>
      <c r="L3970">
        <v>1731909031</v>
      </c>
      <c r="M3970">
        <v>1615494735</v>
      </c>
      <c r="N3970">
        <v>1342462551</v>
      </c>
      <c r="O3970">
        <v>1136683202</v>
      </c>
      <c r="P3970">
        <v>3198</v>
      </c>
      <c r="Q3970" t="s">
        <v>8286</v>
      </c>
    </row>
    <row r="3971" spans="1:17" x14ac:dyDescent="0.3">
      <c r="A3971" t="s">
        <v>4729</v>
      </c>
      <c r="B3971" t="str">
        <f>"300171"</f>
        <v>300171</v>
      </c>
      <c r="C3971" t="s">
        <v>8287</v>
      </c>
      <c r="D3971" t="s">
        <v>122</v>
      </c>
      <c r="F3971">
        <v>4322041003</v>
      </c>
      <c r="G3971">
        <v>3603465585</v>
      </c>
      <c r="H3971">
        <v>3152458595</v>
      </c>
      <c r="I3971">
        <v>3025719751</v>
      </c>
      <c r="J3971">
        <v>2988898655</v>
      </c>
      <c r="K3971">
        <v>2923016023</v>
      </c>
      <c r="L3971">
        <v>2870835102</v>
      </c>
      <c r="M3971">
        <v>2603550821</v>
      </c>
      <c r="N3971">
        <v>2355913033</v>
      </c>
      <c r="O3971">
        <v>2190366286</v>
      </c>
      <c r="P3971">
        <v>248</v>
      </c>
      <c r="Q3971" t="s">
        <v>8288</v>
      </c>
    </row>
    <row r="3972" spans="1:17" x14ac:dyDescent="0.3">
      <c r="A3972" t="s">
        <v>4729</v>
      </c>
      <c r="B3972" t="str">
        <f>"300172"</f>
        <v>300172</v>
      </c>
      <c r="C3972" t="s">
        <v>8289</v>
      </c>
      <c r="D3972" t="s">
        <v>33</v>
      </c>
      <c r="F3972">
        <v>1735733082</v>
      </c>
      <c r="G3972">
        <v>1641011723</v>
      </c>
      <c r="H3972">
        <v>1470410217</v>
      </c>
      <c r="I3972">
        <v>1315322846</v>
      </c>
      <c r="J3972">
        <v>1201023485</v>
      </c>
      <c r="K3972">
        <v>1108211899</v>
      </c>
      <c r="L3972">
        <v>1016068909</v>
      </c>
      <c r="M3972">
        <v>932078059</v>
      </c>
      <c r="N3972">
        <v>868178207</v>
      </c>
      <c r="O3972">
        <v>818607550</v>
      </c>
      <c r="P3972">
        <v>110</v>
      </c>
      <c r="Q3972" t="s">
        <v>8290</v>
      </c>
    </row>
    <row r="3973" spans="1:17" x14ac:dyDescent="0.3">
      <c r="A3973" t="s">
        <v>4729</v>
      </c>
      <c r="B3973" t="str">
        <f>"300173"</f>
        <v>300173</v>
      </c>
      <c r="C3973" t="s">
        <v>8291</v>
      </c>
      <c r="D3973" t="s">
        <v>2432</v>
      </c>
      <c r="F3973">
        <v>1191044750</v>
      </c>
      <c r="G3973">
        <v>1558035678</v>
      </c>
      <c r="H3973">
        <v>696424246</v>
      </c>
      <c r="I3973">
        <v>844709021</v>
      </c>
      <c r="J3973">
        <v>1686794732</v>
      </c>
      <c r="K3973">
        <v>1642890415</v>
      </c>
      <c r="L3973">
        <v>1591937606</v>
      </c>
      <c r="M3973">
        <v>1518340790</v>
      </c>
      <c r="N3973">
        <v>535105841</v>
      </c>
      <c r="O3973">
        <v>568160535</v>
      </c>
      <c r="P3973">
        <v>61</v>
      </c>
      <c r="Q3973" t="s">
        <v>8292</v>
      </c>
    </row>
    <row r="3974" spans="1:17" x14ac:dyDescent="0.3">
      <c r="A3974" t="s">
        <v>4729</v>
      </c>
      <c r="B3974" t="str">
        <f>"300174"</f>
        <v>300174</v>
      </c>
      <c r="C3974" t="s">
        <v>8293</v>
      </c>
      <c r="D3974" t="s">
        <v>386</v>
      </c>
      <c r="F3974">
        <v>1801991519</v>
      </c>
      <c r="G3974">
        <v>1674174187</v>
      </c>
      <c r="H3974">
        <v>684527056</v>
      </c>
      <c r="I3974">
        <v>643217825</v>
      </c>
      <c r="J3974">
        <v>572822153</v>
      </c>
      <c r="K3974">
        <v>551345404</v>
      </c>
      <c r="L3974">
        <v>522397596</v>
      </c>
      <c r="M3974">
        <v>498827996</v>
      </c>
      <c r="N3974">
        <v>497519601</v>
      </c>
      <c r="O3974">
        <v>505703582</v>
      </c>
      <c r="P3974">
        <v>90</v>
      </c>
      <c r="Q3974" t="s">
        <v>8294</v>
      </c>
    </row>
    <row r="3975" spans="1:17" x14ac:dyDescent="0.3">
      <c r="A3975" t="s">
        <v>4729</v>
      </c>
      <c r="B3975" t="str">
        <f>"300175"</f>
        <v>300175</v>
      </c>
      <c r="C3975" t="s">
        <v>8295</v>
      </c>
      <c r="D3975" t="s">
        <v>574</v>
      </c>
      <c r="F3975">
        <v>541853380</v>
      </c>
      <c r="G3975">
        <v>650028183</v>
      </c>
      <c r="H3975">
        <v>839211202</v>
      </c>
      <c r="I3975">
        <v>813264437</v>
      </c>
      <c r="J3975">
        <v>828563632</v>
      </c>
      <c r="K3975">
        <v>798465786</v>
      </c>
      <c r="L3975">
        <v>900725529</v>
      </c>
      <c r="M3975">
        <v>853444655</v>
      </c>
      <c r="N3975">
        <v>722360552</v>
      </c>
      <c r="O3975">
        <v>709587572</v>
      </c>
      <c r="P3975">
        <v>84</v>
      </c>
      <c r="Q3975" t="s">
        <v>8296</v>
      </c>
    </row>
    <row r="3976" spans="1:17" x14ac:dyDescent="0.3">
      <c r="A3976" t="s">
        <v>4729</v>
      </c>
      <c r="B3976" t="str">
        <f>"300176"</f>
        <v>300176</v>
      </c>
      <c r="C3976" t="s">
        <v>8297</v>
      </c>
      <c r="D3976" t="s">
        <v>348</v>
      </c>
      <c r="F3976">
        <v>894423030</v>
      </c>
      <c r="G3976">
        <v>934372091</v>
      </c>
      <c r="H3976">
        <v>900330013</v>
      </c>
      <c r="I3976">
        <v>1348829251</v>
      </c>
      <c r="J3976">
        <v>1107383572</v>
      </c>
      <c r="K3976">
        <v>637684385</v>
      </c>
      <c r="L3976">
        <v>598300859</v>
      </c>
      <c r="M3976">
        <v>565399805</v>
      </c>
      <c r="N3976">
        <v>560163939</v>
      </c>
      <c r="O3976">
        <v>543056801</v>
      </c>
      <c r="P3976">
        <v>151</v>
      </c>
      <c r="Q3976" t="s">
        <v>8298</v>
      </c>
    </row>
    <row r="3977" spans="1:17" x14ac:dyDescent="0.3">
      <c r="A3977" t="s">
        <v>4729</v>
      </c>
      <c r="B3977" t="str">
        <f>"300177"</f>
        <v>300177</v>
      </c>
      <c r="C3977" t="s">
        <v>8299</v>
      </c>
      <c r="D3977" t="s">
        <v>1136</v>
      </c>
      <c r="F3977">
        <v>2321975532</v>
      </c>
      <c r="G3977">
        <v>1769950780</v>
      </c>
      <c r="H3977">
        <v>1727371012</v>
      </c>
      <c r="I3977">
        <v>1820001066</v>
      </c>
      <c r="J3977">
        <v>1694875124</v>
      </c>
      <c r="K3977">
        <v>1583561504</v>
      </c>
      <c r="L3977">
        <v>1541788941</v>
      </c>
      <c r="M3977">
        <v>1026894223</v>
      </c>
      <c r="N3977">
        <v>935612371</v>
      </c>
      <c r="O3977">
        <v>805521081</v>
      </c>
      <c r="P3977">
        <v>232</v>
      </c>
      <c r="Q3977" t="s">
        <v>8300</v>
      </c>
    </row>
    <row r="3978" spans="1:17" x14ac:dyDescent="0.3">
      <c r="A3978" t="s">
        <v>4729</v>
      </c>
      <c r="B3978" t="str">
        <f>"300178"</f>
        <v>300178</v>
      </c>
      <c r="C3978" t="s">
        <v>8301</v>
      </c>
      <c r="D3978" t="s">
        <v>1120</v>
      </c>
      <c r="F3978">
        <v>-1149353840</v>
      </c>
      <c r="G3978">
        <v>326181115</v>
      </c>
      <c r="H3978">
        <v>1375021096</v>
      </c>
      <c r="I3978">
        <v>2837124590</v>
      </c>
      <c r="J3978">
        <v>2673783996</v>
      </c>
      <c r="K3978">
        <v>1597369561</v>
      </c>
      <c r="L3978">
        <v>1383455660</v>
      </c>
      <c r="M3978">
        <v>1239014027</v>
      </c>
      <c r="N3978">
        <v>1131529683</v>
      </c>
      <c r="O3978">
        <v>1046604861</v>
      </c>
      <c r="P3978">
        <v>152</v>
      </c>
      <c r="Q3978" t="s">
        <v>8302</v>
      </c>
    </row>
    <row r="3979" spans="1:17" x14ac:dyDescent="0.3">
      <c r="A3979" t="s">
        <v>4729</v>
      </c>
      <c r="B3979" t="str">
        <f>"300179"</f>
        <v>300179</v>
      </c>
      <c r="C3979" t="s">
        <v>8303</v>
      </c>
      <c r="D3979" t="s">
        <v>404</v>
      </c>
      <c r="F3979">
        <v>937672425</v>
      </c>
      <c r="G3979">
        <v>907476500</v>
      </c>
      <c r="H3979">
        <v>915276607</v>
      </c>
      <c r="I3979">
        <v>844699958</v>
      </c>
      <c r="J3979">
        <v>804674519</v>
      </c>
      <c r="K3979">
        <v>745785273</v>
      </c>
      <c r="L3979">
        <v>740729724</v>
      </c>
      <c r="M3979">
        <v>715900635</v>
      </c>
      <c r="N3979">
        <v>689242479</v>
      </c>
      <c r="O3979">
        <v>674339625</v>
      </c>
      <c r="P3979">
        <v>166</v>
      </c>
      <c r="Q3979" t="s">
        <v>8304</v>
      </c>
    </row>
    <row r="3980" spans="1:17" x14ac:dyDescent="0.3">
      <c r="A3980" t="s">
        <v>4729</v>
      </c>
      <c r="B3980" t="str">
        <f>"300180"</f>
        <v>300180</v>
      </c>
      <c r="C3980" t="s">
        <v>8305</v>
      </c>
      <c r="D3980" t="s">
        <v>1192</v>
      </c>
      <c r="F3980">
        <v>5141886191</v>
      </c>
      <c r="G3980">
        <v>5080381016</v>
      </c>
      <c r="H3980">
        <v>5248029344</v>
      </c>
      <c r="I3980">
        <v>5129389055</v>
      </c>
      <c r="J3980">
        <v>4864742156</v>
      </c>
      <c r="K3980">
        <v>2632180178</v>
      </c>
      <c r="L3980">
        <v>1525422048</v>
      </c>
      <c r="M3980">
        <v>1419125551</v>
      </c>
      <c r="N3980">
        <v>1322291134</v>
      </c>
      <c r="O3980">
        <v>1248244831</v>
      </c>
      <c r="P3980">
        <v>141</v>
      </c>
      <c r="Q3980" t="s">
        <v>8306</v>
      </c>
    </row>
    <row r="3981" spans="1:17" x14ac:dyDescent="0.3">
      <c r="A3981" t="s">
        <v>4729</v>
      </c>
      <c r="B3981" t="str">
        <f>"300181"</f>
        <v>300181</v>
      </c>
      <c r="C3981" t="s">
        <v>8307</v>
      </c>
      <c r="D3981" t="s">
        <v>188</v>
      </c>
      <c r="F3981">
        <v>1844064465</v>
      </c>
      <c r="G3981">
        <v>1602812557</v>
      </c>
      <c r="H3981">
        <v>1310354170</v>
      </c>
      <c r="I3981">
        <v>1291564348</v>
      </c>
      <c r="J3981">
        <v>1354667299</v>
      </c>
      <c r="K3981">
        <v>1321715149</v>
      </c>
      <c r="L3981">
        <v>1291690201</v>
      </c>
      <c r="M3981">
        <v>803701453</v>
      </c>
      <c r="N3981">
        <v>772517250</v>
      </c>
      <c r="O3981">
        <v>705919722</v>
      </c>
      <c r="P3981">
        <v>174</v>
      </c>
      <c r="Q3981" t="s">
        <v>8308</v>
      </c>
    </row>
    <row r="3982" spans="1:17" x14ac:dyDescent="0.3">
      <c r="A3982" t="s">
        <v>4729</v>
      </c>
      <c r="B3982" t="str">
        <f>"300182"</f>
        <v>300182</v>
      </c>
      <c r="C3982" t="s">
        <v>8309</v>
      </c>
      <c r="D3982" t="s">
        <v>113</v>
      </c>
      <c r="F3982">
        <v>6672806863</v>
      </c>
      <c r="G3982">
        <v>6270471114</v>
      </c>
      <c r="H3982">
        <v>7428122978</v>
      </c>
      <c r="I3982">
        <v>9806219457</v>
      </c>
      <c r="J3982">
        <v>9817920262</v>
      </c>
      <c r="K3982">
        <v>8977154067</v>
      </c>
      <c r="L3982">
        <v>4297829396</v>
      </c>
      <c r="M3982">
        <v>1696718635</v>
      </c>
      <c r="N3982">
        <v>1411744119</v>
      </c>
      <c r="O3982">
        <v>1133475613</v>
      </c>
      <c r="P3982">
        <v>514</v>
      </c>
      <c r="Q3982" t="s">
        <v>8310</v>
      </c>
    </row>
    <row r="3983" spans="1:17" x14ac:dyDescent="0.3">
      <c r="A3983" t="s">
        <v>4729</v>
      </c>
      <c r="B3983" t="str">
        <f>"300183"</f>
        <v>300183</v>
      </c>
      <c r="C3983" t="s">
        <v>8311</v>
      </c>
      <c r="D3983" t="s">
        <v>595</v>
      </c>
      <c r="F3983">
        <v>3051352916</v>
      </c>
      <c r="G3983">
        <v>3010352946</v>
      </c>
      <c r="H3983">
        <v>2928803185</v>
      </c>
      <c r="I3983">
        <v>2822300386</v>
      </c>
      <c r="J3983">
        <v>2709035864</v>
      </c>
      <c r="K3983">
        <v>2526761754</v>
      </c>
      <c r="L3983">
        <v>2259317489</v>
      </c>
      <c r="M3983">
        <v>1870416764</v>
      </c>
      <c r="N3983">
        <v>1730181802</v>
      </c>
      <c r="O3983">
        <v>1526740388</v>
      </c>
      <c r="P3983">
        <v>276</v>
      </c>
      <c r="Q3983" t="s">
        <v>8312</v>
      </c>
    </row>
    <row r="3984" spans="1:17" x14ac:dyDescent="0.3">
      <c r="A3984" t="s">
        <v>4729</v>
      </c>
      <c r="B3984" t="str">
        <f>"300184"</f>
        <v>300184</v>
      </c>
      <c r="C3984" t="s">
        <v>8313</v>
      </c>
      <c r="D3984" t="s">
        <v>651</v>
      </c>
      <c r="F3984">
        <v>3272785695</v>
      </c>
      <c r="G3984">
        <v>2917523868</v>
      </c>
      <c r="H3984">
        <v>4694457995</v>
      </c>
      <c r="I3984">
        <v>4575928274</v>
      </c>
      <c r="J3984">
        <v>4203935185</v>
      </c>
      <c r="K3984">
        <v>1304864422</v>
      </c>
      <c r="L3984">
        <v>687956251</v>
      </c>
      <c r="M3984">
        <v>595604616</v>
      </c>
      <c r="N3984">
        <v>434168411</v>
      </c>
      <c r="O3984">
        <v>447825713</v>
      </c>
      <c r="P3984">
        <v>252</v>
      </c>
      <c r="Q3984" t="s">
        <v>8314</v>
      </c>
    </row>
    <row r="3985" spans="1:17" x14ac:dyDescent="0.3">
      <c r="A3985" t="s">
        <v>4729</v>
      </c>
      <c r="B3985" t="str">
        <f>"300185"</f>
        <v>300185</v>
      </c>
      <c r="C3985" t="s">
        <v>8315</v>
      </c>
      <c r="D3985" t="s">
        <v>950</v>
      </c>
      <c r="F3985">
        <v>6512016146</v>
      </c>
      <c r="G3985">
        <v>5567364380</v>
      </c>
      <c r="H3985">
        <v>5317056860</v>
      </c>
      <c r="I3985">
        <v>5153929997</v>
      </c>
      <c r="J3985">
        <v>5075901279</v>
      </c>
      <c r="K3985">
        <v>4993339971</v>
      </c>
      <c r="L3985">
        <v>3568321688</v>
      </c>
      <c r="M3985">
        <v>3510380489</v>
      </c>
      <c r="N3985">
        <v>3470215621</v>
      </c>
      <c r="O3985">
        <v>3512623374</v>
      </c>
      <c r="P3985">
        <v>201</v>
      </c>
      <c r="Q3985" t="s">
        <v>8316</v>
      </c>
    </row>
    <row r="3986" spans="1:17" x14ac:dyDescent="0.3">
      <c r="A3986" t="s">
        <v>4729</v>
      </c>
      <c r="B3986" t="str">
        <f>"300186"</f>
        <v>300186</v>
      </c>
      <c r="C3986" t="s">
        <v>8317</v>
      </c>
      <c r="M3986">
        <v>2125356914.75</v>
      </c>
      <c r="N3986">
        <v>2153907590.7399998</v>
      </c>
      <c r="O3986">
        <v>2073686011.6800001</v>
      </c>
      <c r="P3986">
        <v>5</v>
      </c>
      <c r="Q3986" t="s">
        <v>8318</v>
      </c>
    </row>
    <row r="3987" spans="1:17" x14ac:dyDescent="0.3">
      <c r="A3987" t="s">
        <v>4729</v>
      </c>
      <c r="B3987" t="str">
        <f>"300187"</f>
        <v>300187</v>
      </c>
      <c r="C3987" t="s">
        <v>8319</v>
      </c>
      <c r="D3987" t="s">
        <v>499</v>
      </c>
      <c r="F3987">
        <v>1558593701</v>
      </c>
      <c r="G3987">
        <v>1444019661</v>
      </c>
      <c r="H3987">
        <v>1558900668</v>
      </c>
      <c r="I3987">
        <v>1438215358</v>
      </c>
      <c r="J3987">
        <v>1624504701</v>
      </c>
      <c r="K3987">
        <v>1480781873</v>
      </c>
      <c r="L3987">
        <v>1322130012</v>
      </c>
      <c r="M3987">
        <v>904804072</v>
      </c>
      <c r="N3987">
        <v>854295872</v>
      </c>
      <c r="O3987">
        <v>799474314</v>
      </c>
      <c r="P3987">
        <v>110</v>
      </c>
      <c r="Q3987" t="s">
        <v>8320</v>
      </c>
    </row>
    <row r="3988" spans="1:17" x14ac:dyDescent="0.3">
      <c r="A3988" t="s">
        <v>4729</v>
      </c>
      <c r="B3988" t="str">
        <f>"300188"</f>
        <v>300188</v>
      </c>
      <c r="C3988" t="s">
        <v>8321</v>
      </c>
      <c r="D3988" t="s">
        <v>945</v>
      </c>
      <c r="F3988">
        <v>3479056463</v>
      </c>
      <c r="G3988">
        <v>3301174645</v>
      </c>
      <c r="H3988">
        <v>2960789181</v>
      </c>
      <c r="I3988">
        <v>2550684559</v>
      </c>
      <c r="J3988">
        <v>2326621414</v>
      </c>
      <c r="K3988">
        <v>1866388433</v>
      </c>
      <c r="L3988">
        <v>1672859825</v>
      </c>
      <c r="M3988">
        <v>943641638</v>
      </c>
      <c r="N3988">
        <v>827869394</v>
      </c>
      <c r="O3988">
        <v>778934199</v>
      </c>
      <c r="P3988">
        <v>557</v>
      </c>
      <c r="Q3988" t="s">
        <v>8322</v>
      </c>
    </row>
    <row r="3989" spans="1:17" x14ac:dyDescent="0.3">
      <c r="A3989" t="s">
        <v>4729</v>
      </c>
      <c r="B3989" t="str">
        <f>"300189"</f>
        <v>300189</v>
      </c>
      <c r="C3989" t="s">
        <v>8323</v>
      </c>
      <c r="D3989" t="s">
        <v>706</v>
      </c>
      <c r="F3989">
        <v>871822308</v>
      </c>
      <c r="G3989">
        <v>928648996</v>
      </c>
      <c r="H3989">
        <v>1048481140</v>
      </c>
      <c r="I3989">
        <v>1397798978</v>
      </c>
      <c r="J3989">
        <v>1415034431</v>
      </c>
      <c r="K3989">
        <v>1435279434</v>
      </c>
      <c r="L3989">
        <v>1420290496</v>
      </c>
      <c r="M3989">
        <v>1244410988</v>
      </c>
      <c r="N3989">
        <v>1345688066</v>
      </c>
      <c r="O3989">
        <v>1319916686</v>
      </c>
      <c r="P3989">
        <v>111</v>
      </c>
      <c r="Q3989" t="s">
        <v>8324</v>
      </c>
    </row>
    <row r="3990" spans="1:17" x14ac:dyDescent="0.3">
      <c r="A3990" t="s">
        <v>4729</v>
      </c>
      <c r="B3990" t="str">
        <f>"300190"</f>
        <v>300190</v>
      </c>
      <c r="C3990" t="s">
        <v>8325</v>
      </c>
      <c r="D3990" t="s">
        <v>3575</v>
      </c>
      <c r="F3990">
        <v>4379167332</v>
      </c>
      <c r="G3990">
        <v>4275201749</v>
      </c>
      <c r="H3990">
        <v>3897272803</v>
      </c>
      <c r="I3990">
        <v>3618974456</v>
      </c>
      <c r="J3990">
        <v>3609374064</v>
      </c>
      <c r="K3990">
        <v>2784162229</v>
      </c>
      <c r="L3990">
        <v>1585303069</v>
      </c>
      <c r="M3990">
        <v>1481836212</v>
      </c>
      <c r="N3990">
        <v>965912133</v>
      </c>
      <c r="O3990">
        <v>952664430</v>
      </c>
      <c r="P3990">
        <v>233</v>
      </c>
      <c r="Q3990" t="s">
        <v>8326</v>
      </c>
    </row>
    <row r="3991" spans="1:17" x14ac:dyDescent="0.3">
      <c r="A3991" t="s">
        <v>4729</v>
      </c>
      <c r="B3991" t="str">
        <f>"300191"</f>
        <v>300191</v>
      </c>
      <c r="C3991" t="s">
        <v>8327</v>
      </c>
      <c r="D3991" t="s">
        <v>762</v>
      </c>
      <c r="F3991">
        <v>1230006783</v>
      </c>
      <c r="G3991">
        <v>1203218733</v>
      </c>
      <c r="H3991">
        <v>1205008417</v>
      </c>
      <c r="I3991">
        <v>1183065532</v>
      </c>
      <c r="J3991">
        <v>1154188573</v>
      </c>
      <c r="K3991">
        <v>1177265940</v>
      </c>
      <c r="L3991">
        <v>1166174542</v>
      </c>
      <c r="M3991">
        <v>1216510173</v>
      </c>
      <c r="N3991">
        <v>1201449753</v>
      </c>
      <c r="O3991">
        <v>1119459009</v>
      </c>
      <c r="P3991">
        <v>75</v>
      </c>
      <c r="Q3991" t="s">
        <v>8328</v>
      </c>
    </row>
    <row r="3992" spans="1:17" x14ac:dyDescent="0.3">
      <c r="A3992" t="s">
        <v>4729</v>
      </c>
      <c r="B3992" t="str">
        <f>"300192"</f>
        <v>300192</v>
      </c>
      <c r="C3992" t="s">
        <v>8329</v>
      </c>
      <c r="D3992" t="s">
        <v>1336</v>
      </c>
      <c r="F3992">
        <v>665565322</v>
      </c>
      <c r="G3992">
        <v>901605327</v>
      </c>
      <c r="H3992">
        <v>816320869</v>
      </c>
      <c r="I3992">
        <v>736060308</v>
      </c>
      <c r="J3992">
        <v>705978805</v>
      </c>
      <c r="K3992">
        <v>705090574</v>
      </c>
      <c r="L3992">
        <v>678696458</v>
      </c>
      <c r="M3992">
        <v>650400273</v>
      </c>
      <c r="N3992">
        <v>622285479</v>
      </c>
      <c r="O3992">
        <v>594111328</v>
      </c>
      <c r="P3992">
        <v>182</v>
      </c>
      <c r="Q3992" t="s">
        <v>8330</v>
      </c>
    </row>
    <row r="3993" spans="1:17" x14ac:dyDescent="0.3">
      <c r="A3993" t="s">
        <v>4729</v>
      </c>
      <c r="B3993" t="str">
        <f>"300193"</f>
        <v>300193</v>
      </c>
      <c r="C3993" t="s">
        <v>8331</v>
      </c>
      <c r="D3993" t="s">
        <v>560</v>
      </c>
      <c r="F3993">
        <v>2255289107</v>
      </c>
      <c r="G3993">
        <v>2253599556</v>
      </c>
      <c r="H3993">
        <v>2341063352</v>
      </c>
      <c r="I3993">
        <v>2415227683</v>
      </c>
      <c r="J3993">
        <v>2274727963</v>
      </c>
      <c r="K3993">
        <v>2121668235</v>
      </c>
      <c r="L3993">
        <v>1990439766</v>
      </c>
      <c r="M3993">
        <v>1907033681</v>
      </c>
      <c r="N3993">
        <v>1899626829</v>
      </c>
      <c r="O3993">
        <v>1852469751</v>
      </c>
      <c r="P3993">
        <v>154</v>
      </c>
      <c r="Q3993" t="s">
        <v>8332</v>
      </c>
    </row>
    <row r="3994" spans="1:17" x14ac:dyDescent="0.3">
      <c r="A3994" t="s">
        <v>4729</v>
      </c>
      <c r="B3994" t="str">
        <f>"300194"</f>
        <v>300194</v>
      </c>
      <c r="C3994" t="s">
        <v>8333</v>
      </c>
      <c r="D3994" t="s">
        <v>143</v>
      </c>
      <c r="F3994">
        <v>3734107363</v>
      </c>
      <c r="G3994">
        <v>4100195668</v>
      </c>
      <c r="H3994">
        <v>3988845254</v>
      </c>
      <c r="I3994">
        <v>3693665574</v>
      </c>
      <c r="J3994">
        <v>4170289752</v>
      </c>
      <c r="K3994">
        <v>3963616703</v>
      </c>
      <c r="L3994">
        <v>2134923309</v>
      </c>
      <c r="M3994">
        <v>1706907642</v>
      </c>
      <c r="N3994">
        <v>1704207214</v>
      </c>
      <c r="O3994">
        <v>1700990895</v>
      </c>
      <c r="P3994">
        <v>149</v>
      </c>
      <c r="Q3994" t="s">
        <v>8334</v>
      </c>
    </row>
    <row r="3995" spans="1:17" x14ac:dyDescent="0.3">
      <c r="A3995" t="s">
        <v>4729</v>
      </c>
      <c r="B3995" t="str">
        <f>"300195"</f>
        <v>300195</v>
      </c>
      <c r="C3995" t="s">
        <v>8335</v>
      </c>
      <c r="D3995" t="s">
        <v>3415</v>
      </c>
      <c r="F3995">
        <v>2706231971</v>
      </c>
      <c r="G3995">
        <v>2715755113</v>
      </c>
      <c r="H3995">
        <v>2801278969</v>
      </c>
      <c r="I3995">
        <v>3608763647</v>
      </c>
      <c r="J3995">
        <v>3780720787</v>
      </c>
      <c r="K3995">
        <v>2468578631</v>
      </c>
      <c r="L3995">
        <v>2336507559</v>
      </c>
      <c r="M3995">
        <v>2235093414</v>
      </c>
      <c r="N3995">
        <v>1342458900</v>
      </c>
      <c r="O3995">
        <v>1270619770</v>
      </c>
      <c r="P3995">
        <v>90</v>
      </c>
      <c r="Q3995" t="s">
        <v>8336</v>
      </c>
    </row>
    <row r="3996" spans="1:17" x14ac:dyDescent="0.3">
      <c r="A3996" t="s">
        <v>4729</v>
      </c>
      <c r="B3996" t="str">
        <f>"300196"</f>
        <v>300196</v>
      </c>
      <c r="C3996" t="s">
        <v>8337</v>
      </c>
      <c r="D3996" t="s">
        <v>411</v>
      </c>
      <c r="F3996">
        <v>3394888397</v>
      </c>
      <c r="G3996">
        <v>2863544293</v>
      </c>
      <c r="H3996">
        <v>2678556331</v>
      </c>
      <c r="I3996">
        <v>2474138828</v>
      </c>
      <c r="J3996">
        <v>2408091552</v>
      </c>
      <c r="K3996">
        <v>2269894582</v>
      </c>
      <c r="L3996">
        <v>1292723355</v>
      </c>
      <c r="M3996">
        <v>1099450999</v>
      </c>
      <c r="N3996">
        <v>975587368</v>
      </c>
      <c r="O3996">
        <v>870475560</v>
      </c>
      <c r="P3996">
        <v>232</v>
      </c>
      <c r="Q3996" t="s">
        <v>8338</v>
      </c>
    </row>
    <row r="3997" spans="1:17" x14ac:dyDescent="0.3">
      <c r="A3997" t="s">
        <v>4729</v>
      </c>
      <c r="B3997" t="str">
        <f>"300197"</f>
        <v>300197</v>
      </c>
      <c r="C3997" t="s">
        <v>8339</v>
      </c>
      <c r="D3997" t="s">
        <v>2417</v>
      </c>
      <c r="F3997">
        <v>6379153075</v>
      </c>
      <c r="G3997">
        <v>5303007257</v>
      </c>
      <c r="H3997">
        <v>5395238143</v>
      </c>
      <c r="I3997">
        <v>6245019403</v>
      </c>
      <c r="J3997">
        <v>6041837852</v>
      </c>
      <c r="K3997">
        <v>5117476441</v>
      </c>
      <c r="L3997">
        <v>3235868307</v>
      </c>
      <c r="M3997">
        <v>2024936546</v>
      </c>
      <c r="N3997">
        <v>1781503828</v>
      </c>
      <c r="O3997">
        <v>1550330470</v>
      </c>
      <c r="P3997">
        <v>356</v>
      </c>
      <c r="Q3997" t="s">
        <v>8340</v>
      </c>
    </row>
    <row r="3998" spans="1:17" x14ac:dyDescent="0.3">
      <c r="A3998" t="s">
        <v>4729</v>
      </c>
      <c r="B3998" t="str">
        <f>"300198"</f>
        <v>300198</v>
      </c>
      <c r="C3998" t="s">
        <v>8341</v>
      </c>
      <c r="D3998" t="s">
        <v>3347</v>
      </c>
      <c r="F3998">
        <v>1371790062</v>
      </c>
      <c r="G3998">
        <v>1449431685</v>
      </c>
      <c r="H3998">
        <v>1401133529</v>
      </c>
      <c r="I3998">
        <v>1162444659</v>
      </c>
      <c r="J3998">
        <v>1648346920</v>
      </c>
      <c r="K3998">
        <v>1586977436</v>
      </c>
      <c r="L3998">
        <v>1132313528</v>
      </c>
      <c r="M3998">
        <v>1113908213</v>
      </c>
      <c r="N3998">
        <v>1093436406</v>
      </c>
      <c r="O3998">
        <v>1016766916</v>
      </c>
      <c r="P3998">
        <v>82</v>
      </c>
      <c r="Q3998" t="s">
        <v>8342</v>
      </c>
    </row>
    <row r="3999" spans="1:17" x14ac:dyDescent="0.3">
      <c r="A3999" t="s">
        <v>4729</v>
      </c>
      <c r="B3999" t="str">
        <f>"300199"</f>
        <v>300199</v>
      </c>
      <c r="C3999" t="s">
        <v>8343</v>
      </c>
      <c r="D3999" t="s">
        <v>143</v>
      </c>
      <c r="F3999">
        <v>1584661420</v>
      </c>
      <c r="G3999">
        <v>1637566299</v>
      </c>
      <c r="H3999">
        <v>2228206316</v>
      </c>
      <c r="I3999">
        <v>3391680348</v>
      </c>
      <c r="J3999">
        <v>3884844327</v>
      </c>
      <c r="K3999">
        <v>3604587764</v>
      </c>
      <c r="L3999">
        <v>2637315139</v>
      </c>
      <c r="M3999">
        <v>1296146362</v>
      </c>
      <c r="N3999">
        <v>1124207023</v>
      </c>
      <c r="O3999">
        <v>1016046678</v>
      </c>
      <c r="P3999">
        <v>242</v>
      </c>
      <c r="Q3999" t="s">
        <v>8344</v>
      </c>
    </row>
    <row r="4000" spans="1:17" x14ac:dyDescent="0.3">
      <c r="A4000" t="s">
        <v>4729</v>
      </c>
      <c r="B4000" t="str">
        <f>"300200"</f>
        <v>300200</v>
      </c>
      <c r="C4000" t="s">
        <v>8345</v>
      </c>
      <c r="D4000" t="s">
        <v>528</v>
      </c>
      <c r="F4000">
        <v>1818756774</v>
      </c>
      <c r="G4000">
        <v>1782610330</v>
      </c>
      <c r="H4000">
        <v>1654972384</v>
      </c>
      <c r="I4000">
        <v>1516888520</v>
      </c>
      <c r="J4000">
        <v>1455469119</v>
      </c>
      <c r="K4000">
        <v>782848221</v>
      </c>
      <c r="L4000">
        <v>768714695</v>
      </c>
      <c r="M4000">
        <v>757899955</v>
      </c>
      <c r="N4000">
        <v>751714996</v>
      </c>
      <c r="O4000">
        <v>744686057</v>
      </c>
      <c r="P4000">
        <v>160</v>
      </c>
      <c r="Q4000" t="s">
        <v>8346</v>
      </c>
    </row>
    <row r="4001" spans="1:17" x14ac:dyDescent="0.3">
      <c r="A4001" t="s">
        <v>4729</v>
      </c>
      <c r="B4001" t="str">
        <f>"300201"</f>
        <v>300201</v>
      </c>
      <c r="C4001" t="s">
        <v>8347</v>
      </c>
      <c r="D4001" t="s">
        <v>83</v>
      </c>
      <c r="F4001">
        <v>1283003589</v>
      </c>
      <c r="G4001">
        <v>1149668263</v>
      </c>
      <c r="H4001">
        <v>1631754241</v>
      </c>
      <c r="I4001">
        <v>1598324671</v>
      </c>
      <c r="J4001">
        <v>1549649671</v>
      </c>
      <c r="K4001">
        <v>1351131987</v>
      </c>
      <c r="L4001">
        <v>778337932</v>
      </c>
      <c r="M4001">
        <v>666656131</v>
      </c>
      <c r="N4001">
        <v>651737109</v>
      </c>
      <c r="O4001">
        <v>648567495</v>
      </c>
      <c r="P4001">
        <v>77</v>
      </c>
      <c r="Q4001" t="s">
        <v>8348</v>
      </c>
    </row>
    <row r="4002" spans="1:17" x14ac:dyDescent="0.3">
      <c r="A4002" t="s">
        <v>4729</v>
      </c>
      <c r="B4002" t="str">
        <f>"300202"</f>
        <v>300202</v>
      </c>
      <c r="C4002" t="s">
        <v>8349</v>
      </c>
      <c r="D4002" t="s">
        <v>236</v>
      </c>
      <c r="F4002">
        <v>1198421840</v>
      </c>
      <c r="G4002">
        <v>1620029565</v>
      </c>
      <c r="H4002">
        <v>1621857660</v>
      </c>
      <c r="I4002">
        <v>1597582922</v>
      </c>
      <c r="J4002">
        <v>1785275679</v>
      </c>
      <c r="K4002">
        <v>1853085881</v>
      </c>
      <c r="L4002">
        <v>1585580178</v>
      </c>
      <c r="M4002">
        <v>1383119464</v>
      </c>
      <c r="N4002">
        <v>1045050611</v>
      </c>
      <c r="O4002">
        <v>798081480</v>
      </c>
      <c r="P4002">
        <v>2978</v>
      </c>
      <c r="Q4002" t="s">
        <v>8350</v>
      </c>
    </row>
    <row r="4003" spans="1:17" x14ac:dyDescent="0.3">
      <c r="A4003" t="s">
        <v>4729</v>
      </c>
      <c r="B4003" t="str">
        <f>"300203"</f>
        <v>300203</v>
      </c>
      <c r="C4003" t="s">
        <v>8351</v>
      </c>
      <c r="D4003" t="s">
        <v>3575</v>
      </c>
      <c r="F4003">
        <v>3515301303</v>
      </c>
      <c r="G4003">
        <v>3765888264</v>
      </c>
      <c r="H4003">
        <v>3327404404</v>
      </c>
      <c r="I4003">
        <v>3499194817</v>
      </c>
      <c r="J4003">
        <v>3139007107</v>
      </c>
      <c r="K4003">
        <v>2740018924</v>
      </c>
      <c r="L4003">
        <v>2350190292</v>
      </c>
      <c r="M4003">
        <v>2078039383</v>
      </c>
      <c r="N4003">
        <v>1902193735</v>
      </c>
      <c r="O4003">
        <v>1778388583</v>
      </c>
      <c r="P4003">
        <v>431</v>
      </c>
      <c r="Q4003" t="s">
        <v>8352</v>
      </c>
    </row>
    <row r="4004" spans="1:17" x14ac:dyDescent="0.3">
      <c r="A4004" t="s">
        <v>4729</v>
      </c>
      <c r="B4004" t="str">
        <f>"300204"</f>
        <v>300204</v>
      </c>
      <c r="C4004" t="s">
        <v>8353</v>
      </c>
      <c r="D4004" t="s">
        <v>1379</v>
      </c>
      <c r="F4004">
        <v>1550739134</v>
      </c>
      <c r="G4004">
        <v>1587506217</v>
      </c>
      <c r="H4004">
        <v>1635231281</v>
      </c>
      <c r="I4004">
        <v>2457842853</v>
      </c>
      <c r="J4004">
        <v>2209377282</v>
      </c>
      <c r="K4004">
        <v>1902172706</v>
      </c>
      <c r="L4004">
        <v>1665292585</v>
      </c>
      <c r="M4004">
        <v>1514378197</v>
      </c>
      <c r="N4004">
        <v>1313998777</v>
      </c>
      <c r="O4004">
        <v>1240813864</v>
      </c>
      <c r="P4004">
        <v>202</v>
      </c>
      <c r="Q4004" t="s">
        <v>8354</v>
      </c>
    </row>
    <row r="4005" spans="1:17" x14ac:dyDescent="0.3">
      <c r="A4005" t="s">
        <v>4729</v>
      </c>
      <c r="B4005" t="str">
        <f>"300205"</f>
        <v>300205</v>
      </c>
      <c r="C4005" t="s">
        <v>8355</v>
      </c>
      <c r="D4005" t="s">
        <v>786</v>
      </c>
      <c r="F4005">
        <v>1399513984</v>
      </c>
      <c r="G4005">
        <v>1327767177</v>
      </c>
      <c r="H4005">
        <v>1429432553</v>
      </c>
      <c r="I4005">
        <v>1271684484</v>
      </c>
      <c r="J4005">
        <v>1226699701</v>
      </c>
      <c r="K4005">
        <v>1108653914</v>
      </c>
      <c r="L4005">
        <v>1111633153</v>
      </c>
      <c r="M4005">
        <v>1109988205</v>
      </c>
      <c r="N4005">
        <v>1074524339</v>
      </c>
      <c r="O4005">
        <v>1004197990</v>
      </c>
      <c r="P4005">
        <v>222</v>
      </c>
      <c r="Q4005" t="s">
        <v>8356</v>
      </c>
    </row>
    <row r="4006" spans="1:17" x14ac:dyDescent="0.3">
      <c r="A4006" t="s">
        <v>4729</v>
      </c>
      <c r="B4006" t="str">
        <f>"300206"</f>
        <v>300206</v>
      </c>
      <c r="C4006" t="s">
        <v>8357</v>
      </c>
      <c r="D4006" t="s">
        <v>122</v>
      </c>
      <c r="F4006">
        <v>1732885929</v>
      </c>
      <c r="G4006">
        <v>1810913371</v>
      </c>
      <c r="H4006">
        <v>1290933802</v>
      </c>
      <c r="I4006">
        <v>1245687462</v>
      </c>
      <c r="J4006">
        <v>1234186049</v>
      </c>
      <c r="K4006">
        <v>1202534115</v>
      </c>
      <c r="L4006">
        <v>1185954445</v>
      </c>
      <c r="M4006">
        <v>1161646919</v>
      </c>
      <c r="N4006">
        <v>1175129438</v>
      </c>
      <c r="O4006">
        <v>1170233845</v>
      </c>
      <c r="P4006">
        <v>426</v>
      </c>
      <c r="Q4006" t="s">
        <v>8358</v>
      </c>
    </row>
    <row r="4007" spans="1:17" x14ac:dyDescent="0.3">
      <c r="A4007" t="s">
        <v>4729</v>
      </c>
      <c r="B4007" t="str">
        <f>"300207"</f>
        <v>300207</v>
      </c>
      <c r="C4007" t="s">
        <v>8359</v>
      </c>
      <c r="D4007" t="s">
        <v>359</v>
      </c>
      <c r="F4007">
        <v>13030066154</v>
      </c>
      <c r="G4007">
        <v>6746846617</v>
      </c>
      <c r="H4007">
        <v>5769556738</v>
      </c>
      <c r="I4007">
        <v>5358645793</v>
      </c>
      <c r="J4007">
        <v>2906044531</v>
      </c>
      <c r="K4007">
        <v>2276968666</v>
      </c>
      <c r="L4007">
        <v>1796395553</v>
      </c>
      <c r="M4007">
        <v>1446599836</v>
      </c>
      <c r="N4007">
        <v>1275357312</v>
      </c>
      <c r="O4007">
        <v>1218783072</v>
      </c>
      <c r="P4007">
        <v>1012</v>
      </c>
      <c r="Q4007" t="s">
        <v>8360</v>
      </c>
    </row>
    <row r="4008" spans="1:17" x14ac:dyDescent="0.3">
      <c r="A4008" t="s">
        <v>4729</v>
      </c>
      <c r="B4008" t="str">
        <f>"300208"</f>
        <v>300208</v>
      </c>
      <c r="C4008" t="s">
        <v>8361</v>
      </c>
      <c r="D4008" t="s">
        <v>110</v>
      </c>
      <c r="F4008">
        <v>1202851700</v>
      </c>
      <c r="G4008">
        <v>1369330997</v>
      </c>
      <c r="H4008">
        <v>1868356277</v>
      </c>
      <c r="I4008">
        <v>2105756554</v>
      </c>
      <c r="J4008">
        <v>1905752145</v>
      </c>
      <c r="K4008">
        <v>1594742434</v>
      </c>
      <c r="L4008">
        <v>1152220666</v>
      </c>
      <c r="M4008">
        <v>805445045</v>
      </c>
      <c r="N4008">
        <v>698812892</v>
      </c>
      <c r="O4008">
        <v>679862311</v>
      </c>
      <c r="P4008">
        <v>144</v>
      </c>
      <c r="Q4008" t="s">
        <v>8362</v>
      </c>
    </row>
    <row r="4009" spans="1:17" x14ac:dyDescent="0.3">
      <c r="A4009" t="s">
        <v>4729</v>
      </c>
      <c r="B4009" t="str">
        <f>"300209"</f>
        <v>300209</v>
      </c>
      <c r="C4009" t="s">
        <v>8363</v>
      </c>
      <c r="D4009" t="s">
        <v>945</v>
      </c>
      <c r="F4009">
        <v>431012422</v>
      </c>
      <c r="G4009">
        <v>3130056852</v>
      </c>
      <c r="H4009">
        <v>3987063791</v>
      </c>
      <c r="I4009">
        <v>1986323373</v>
      </c>
      <c r="J4009">
        <v>2085387774</v>
      </c>
      <c r="K4009">
        <v>1999691208</v>
      </c>
      <c r="L4009">
        <v>907486143</v>
      </c>
      <c r="M4009">
        <v>852532656</v>
      </c>
      <c r="N4009">
        <v>845419431</v>
      </c>
      <c r="O4009">
        <v>838405287</v>
      </c>
      <c r="P4009">
        <v>143</v>
      </c>
      <c r="Q4009" t="s">
        <v>8364</v>
      </c>
    </row>
    <row r="4010" spans="1:17" x14ac:dyDescent="0.3">
      <c r="A4010" t="s">
        <v>4729</v>
      </c>
      <c r="B4010" t="str">
        <f>"300210"</f>
        <v>300210</v>
      </c>
      <c r="C4010" t="s">
        <v>8365</v>
      </c>
      <c r="D4010" t="s">
        <v>1070</v>
      </c>
      <c r="F4010">
        <v>813290721</v>
      </c>
      <c r="G4010">
        <v>996695698</v>
      </c>
      <c r="H4010">
        <v>872611490</v>
      </c>
      <c r="I4010">
        <v>1191654014</v>
      </c>
      <c r="J4010">
        <v>1294358269</v>
      </c>
      <c r="K4010">
        <v>1245414320</v>
      </c>
      <c r="L4010">
        <v>1176964968</v>
      </c>
      <c r="M4010">
        <v>860920726</v>
      </c>
      <c r="N4010">
        <v>760980268</v>
      </c>
      <c r="O4010">
        <v>671223985</v>
      </c>
      <c r="P4010">
        <v>50</v>
      </c>
      <c r="Q4010" t="s">
        <v>8366</v>
      </c>
    </row>
    <row r="4011" spans="1:17" x14ac:dyDescent="0.3">
      <c r="A4011" t="s">
        <v>4729</v>
      </c>
      <c r="B4011" t="str">
        <f>"300211"</f>
        <v>300211</v>
      </c>
      <c r="C4011" t="s">
        <v>8367</v>
      </c>
      <c r="D4011" t="s">
        <v>654</v>
      </c>
      <c r="F4011">
        <v>487057962</v>
      </c>
      <c r="G4011">
        <v>457824590</v>
      </c>
      <c r="H4011">
        <v>478861513</v>
      </c>
      <c r="I4011">
        <v>490679046</v>
      </c>
      <c r="J4011">
        <v>500833808</v>
      </c>
      <c r="K4011">
        <v>500203929</v>
      </c>
      <c r="L4011">
        <v>498319312</v>
      </c>
      <c r="M4011">
        <v>490778425</v>
      </c>
      <c r="N4011">
        <v>486729631</v>
      </c>
      <c r="O4011">
        <v>469380966</v>
      </c>
      <c r="P4011">
        <v>63</v>
      </c>
      <c r="Q4011" t="s">
        <v>8368</v>
      </c>
    </row>
    <row r="4012" spans="1:17" x14ac:dyDescent="0.3">
      <c r="A4012" t="s">
        <v>4729</v>
      </c>
      <c r="B4012" t="str">
        <f>"300212"</f>
        <v>300212</v>
      </c>
      <c r="C4012" t="s">
        <v>8369</v>
      </c>
      <c r="D4012" t="s">
        <v>316</v>
      </c>
      <c r="F4012">
        <v>3907038793</v>
      </c>
      <c r="G4012">
        <v>3955624536</v>
      </c>
      <c r="H4012">
        <v>3307449872</v>
      </c>
      <c r="I4012">
        <v>3021719230</v>
      </c>
      <c r="J4012">
        <v>2706183967</v>
      </c>
      <c r="K4012">
        <v>2549215880</v>
      </c>
      <c r="L4012">
        <v>2446191936</v>
      </c>
      <c r="M4012">
        <v>971727607</v>
      </c>
      <c r="N4012">
        <v>851396050</v>
      </c>
      <c r="O4012">
        <v>762468489</v>
      </c>
      <c r="P4012">
        <v>389</v>
      </c>
      <c r="Q4012" t="s">
        <v>8370</v>
      </c>
    </row>
    <row r="4013" spans="1:17" x14ac:dyDescent="0.3">
      <c r="A4013" t="s">
        <v>4729</v>
      </c>
      <c r="B4013" t="str">
        <f>"300213"</f>
        <v>300213</v>
      </c>
      <c r="C4013" t="s">
        <v>8371</v>
      </c>
      <c r="D4013" t="s">
        <v>595</v>
      </c>
      <c r="F4013">
        <v>2176717804</v>
      </c>
      <c r="G4013">
        <v>2145722830</v>
      </c>
      <c r="H4013">
        <v>2089762080</v>
      </c>
      <c r="I4013">
        <v>1943538195</v>
      </c>
      <c r="J4013">
        <v>1929808711</v>
      </c>
      <c r="K4013">
        <v>1613860012</v>
      </c>
      <c r="L4013">
        <v>893175913</v>
      </c>
      <c r="M4013">
        <v>917672041</v>
      </c>
      <c r="N4013">
        <v>740644631</v>
      </c>
      <c r="O4013">
        <v>705818388</v>
      </c>
      <c r="P4013">
        <v>188</v>
      </c>
      <c r="Q4013" t="s">
        <v>8372</v>
      </c>
    </row>
    <row r="4014" spans="1:17" x14ac:dyDescent="0.3">
      <c r="A4014" t="s">
        <v>4729</v>
      </c>
      <c r="B4014" t="str">
        <f>"300214"</f>
        <v>300214</v>
      </c>
      <c r="C4014" t="s">
        <v>8373</v>
      </c>
      <c r="D4014" t="s">
        <v>1192</v>
      </c>
      <c r="F4014">
        <v>2360999581</v>
      </c>
      <c r="G4014">
        <v>1922966613</v>
      </c>
      <c r="H4014">
        <v>1742667519</v>
      </c>
      <c r="I4014">
        <v>1621665815</v>
      </c>
      <c r="J4014">
        <v>1589084534</v>
      </c>
      <c r="K4014">
        <v>1358917040</v>
      </c>
      <c r="L4014">
        <v>1319432901</v>
      </c>
      <c r="M4014">
        <v>1231877549</v>
      </c>
      <c r="N4014">
        <v>1178628800</v>
      </c>
      <c r="O4014">
        <v>1143415493</v>
      </c>
      <c r="P4014">
        <v>107</v>
      </c>
      <c r="Q4014" t="s">
        <v>8374</v>
      </c>
    </row>
    <row r="4015" spans="1:17" x14ac:dyDescent="0.3">
      <c r="A4015" t="s">
        <v>4729</v>
      </c>
      <c r="B4015" t="str">
        <f>"300215"</f>
        <v>300215</v>
      </c>
      <c r="C4015" t="s">
        <v>8375</v>
      </c>
      <c r="D4015" t="s">
        <v>2510</v>
      </c>
      <c r="F4015">
        <v>1940878392</v>
      </c>
      <c r="G4015">
        <v>1817508431</v>
      </c>
      <c r="H4015">
        <v>2109355371</v>
      </c>
      <c r="I4015">
        <v>2033811348</v>
      </c>
      <c r="J4015">
        <v>1981707527</v>
      </c>
      <c r="K4015">
        <v>1897606549</v>
      </c>
      <c r="L4015">
        <v>1322074152</v>
      </c>
      <c r="M4015">
        <v>1317468879</v>
      </c>
      <c r="N4015">
        <v>1293863826</v>
      </c>
      <c r="O4015">
        <v>1176760803</v>
      </c>
      <c r="P4015">
        <v>178</v>
      </c>
      <c r="Q4015" t="s">
        <v>8376</v>
      </c>
    </row>
    <row r="4016" spans="1:17" x14ac:dyDescent="0.3">
      <c r="A4016" t="s">
        <v>4729</v>
      </c>
      <c r="B4016" t="str">
        <f>"300216"</f>
        <v>300216</v>
      </c>
      <c r="C4016" t="s">
        <v>8377</v>
      </c>
      <c r="H4016">
        <v>-2579454857</v>
      </c>
      <c r="I4016">
        <v>-1795316849</v>
      </c>
      <c r="J4016">
        <v>671249103</v>
      </c>
      <c r="K4016">
        <v>1008817457</v>
      </c>
      <c r="L4016">
        <v>969231099</v>
      </c>
      <c r="M4016">
        <v>950173465</v>
      </c>
      <c r="N4016">
        <v>868558754</v>
      </c>
      <c r="O4016">
        <v>783636711</v>
      </c>
      <c r="P4016">
        <v>53</v>
      </c>
      <c r="Q4016" t="s">
        <v>8378</v>
      </c>
    </row>
    <row r="4017" spans="1:17" x14ac:dyDescent="0.3">
      <c r="A4017" t="s">
        <v>4729</v>
      </c>
      <c r="B4017" t="str">
        <f>"300217"</f>
        <v>300217</v>
      </c>
      <c r="C4017" t="s">
        <v>8379</v>
      </c>
      <c r="D4017" t="s">
        <v>1253</v>
      </c>
      <c r="F4017">
        <v>2799089396</v>
      </c>
      <c r="G4017">
        <v>2039859005</v>
      </c>
      <c r="H4017">
        <v>1883891829</v>
      </c>
      <c r="I4017">
        <v>2007080589</v>
      </c>
      <c r="J4017">
        <v>1877557974</v>
      </c>
      <c r="K4017">
        <v>1807028314</v>
      </c>
      <c r="L4017">
        <v>1801893373</v>
      </c>
      <c r="M4017">
        <v>1159055612</v>
      </c>
      <c r="N4017">
        <v>1086104992</v>
      </c>
      <c r="O4017">
        <v>1015191961</v>
      </c>
      <c r="P4017">
        <v>160</v>
      </c>
      <c r="Q4017" t="s">
        <v>8380</v>
      </c>
    </row>
    <row r="4018" spans="1:17" x14ac:dyDescent="0.3">
      <c r="A4018" t="s">
        <v>4729</v>
      </c>
      <c r="B4018" t="str">
        <f>"300218"</f>
        <v>300218</v>
      </c>
      <c r="C4018" t="s">
        <v>8381</v>
      </c>
      <c r="D4018" t="s">
        <v>1192</v>
      </c>
      <c r="F4018">
        <v>1127135244</v>
      </c>
      <c r="G4018">
        <v>1069065893</v>
      </c>
      <c r="H4018">
        <v>1052140526</v>
      </c>
      <c r="I4018">
        <v>995667423</v>
      </c>
      <c r="J4018">
        <v>972410903</v>
      </c>
      <c r="K4018">
        <v>1006898675</v>
      </c>
      <c r="L4018">
        <v>967549081</v>
      </c>
      <c r="M4018">
        <v>930296921</v>
      </c>
      <c r="N4018">
        <v>851980779</v>
      </c>
      <c r="O4018">
        <v>788157497</v>
      </c>
      <c r="P4018">
        <v>108</v>
      </c>
      <c r="Q4018" t="s">
        <v>8382</v>
      </c>
    </row>
    <row r="4019" spans="1:17" x14ac:dyDescent="0.3">
      <c r="A4019" t="s">
        <v>4729</v>
      </c>
      <c r="B4019" t="str">
        <f>"300219"</f>
        <v>300219</v>
      </c>
      <c r="C4019" t="s">
        <v>8383</v>
      </c>
      <c r="D4019" t="s">
        <v>803</v>
      </c>
      <c r="F4019">
        <v>2183166641</v>
      </c>
      <c r="G4019">
        <v>1918041279</v>
      </c>
      <c r="H4019">
        <v>1827824173</v>
      </c>
      <c r="I4019">
        <v>2819528801</v>
      </c>
      <c r="J4019">
        <v>2693318723</v>
      </c>
      <c r="K4019">
        <v>1826870208</v>
      </c>
      <c r="L4019">
        <v>1051121656</v>
      </c>
      <c r="M4019">
        <v>908407846</v>
      </c>
      <c r="N4019">
        <v>814847616</v>
      </c>
      <c r="O4019">
        <v>762311717</v>
      </c>
      <c r="P4019">
        <v>135</v>
      </c>
      <c r="Q4019" t="s">
        <v>8384</v>
      </c>
    </row>
    <row r="4020" spans="1:17" x14ac:dyDescent="0.3">
      <c r="A4020" t="s">
        <v>4729</v>
      </c>
      <c r="B4020" t="str">
        <f>"300220"</f>
        <v>300220</v>
      </c>
      <c r="C4020" t="s">
        <v>8385</v>
      </c>
      <c r="D4020" t="s">
        <v>3811</v>
      </c>
      <c r="F4020">
        <v>148724292</v>
      </c>
      <c r="G4020">
        <v>212565769</v>
      </c>
      <c r="H4020">
        <v>264986788</v>
      </c>
      <c r="I4020">
        <v>250605442</v>
      </c>
      <c r="J4020">
        <v>243458966</v>
      </c>
      <c r="K4020">
        <v>284969454</v>
      </c>
      <c r="L4020">
        <v>277776345</v>
      </c>
      <c r="M4020">
        <v>293287812</v>
      </c>
      <c r="N4020">
        <v>288123037</v>
      </c>
      <c r="O4020">
        <v>282511644</v>
      </c>
      <c r="P4020">
        <v>91</v>
      </c>
      <c r="Q4020" t="s">
        <v>8386</v>
      </c>
    </row>
    <row r="4021" spans="1:17" x14ac:dyDescent="0.3">
      <c r="A4021" t="s">
        <v>4729</v>
      </c>
      <c r="B4021" t="str">
        <f>"300221"</f>
        <v>300221</v>
      </c>
      <c r="C4021" t="s">
        <v>8387</v>
      </c>
      <c r="D4021" t="s">
        <v>341</v>
      </c>
      <c r="F4021">
        <v>1150571927</v>
      </c>
      <c r="G4021">
        <v>1097274815</v>
      </c>
      <c r="H4021">
        <v>997885563</v>
      </c>
      <c r="I4021">
        <v>1336052771</v>
      </c>
      <c r="J4021">
        <v>2230772943</v>
      </c>
      <c r="K4021">
        <v>904130830</v>
      </c>
      <c r="L4021">
        <v>753559913</v>
      </c>
      <c r="M4021">
        <v>707571596</v>
      </c>
      <c r="N4021">
        <v>680445008</v>
      </c>
      <c r="O4021">
        <v>683187715</v>
      </c>
      <c r="P4021">
        <v>173</v>
      </c>
      <c r="Q4021" t="s">
        <v>8388</v>
      </c>
    </row>
    <row r="4022" spans="1:17" x14ac:dyDescent="0.3">
      <c r="A4022" t="s">
        <v>4729</v>
      </c>
      <c r="B4022" t="str">
        <f>"300222"</f>
        <v>300222</v>
      </c>
      <c r="C4022" t="s">
        <v>8389</v>
      </c>
      <c r="D4022" t="s">
        <v>610</v>
      </c>
      <c r="F4022">
        <v>2087953453</v>
      </c>
      <c r="G4022">
        <v>1562256127</v>
      </c>
      <c r="H4022">
        <v>1912180635</v>
      </c>
      <c r="I4022">
        <v>4495209222</v>
      </c>
      <c r="J4022">
        <v>4113792119</v>
      </c>
      <c r="K4022">
        <v>3655848116</v>
      </c>
      <c r="L4022">
        <v>1459058032</v>
      </c>
      <c r="M4022">
        <v>1288238809</v>
      </c>
      <c r="N4022">
        <v>609311455</v>
      </c>
      <c r="O4022">
        <v>605134994</v>
      </c>
      <c r="P4022">
        <v>221</v>
      </c>
      <c r="Q4022" t="s">
        <v>8390</v>
      </c>
    </row>
    <row r="4023" spans="1:17" x14ac:dyDescent="0.3">
      <c r="A4023" t="s">
        <v>4729</v>
      </c>
      <c r="B4023" t="str">
        <f>"300223"</f>
        <v>300223</v>
      </c>
      <c r="C4023" t="s">
        <v>8391</v>
      </c>
      <c r="D4023" t="s">
        <v>461</v>
      </c>
      <c r="F4023">
        <v>10300719539</v>
      </c>
      <c r="G4023">
        <v>8194742923</v>
      </c>
      <c r="H4023">
        <v>1235363809</v>
      </c>
      <c r="I4023">
        <v>1141926913</v>
      </c>
      <c r="J4023">
        <v>1124827626</v>
      </c>
      <c r="K4023">
        <v>1097593677</v>
      </c>
      <c r="L4023">
        <v>1089475807</v>
      </c>
      <c r="M4023">
        <v>1057420639</v>
      </c>
      <c r="N4023">
        <v>1077870584</v>
      </c>
      <c r="O4023">
        <v>1083590473</v>
      </c>
      <c r="P4023">
        <v>612</v>
      </c>
      <c r="Q4023" t="s">
        <v>8392</v>
      </c>
    </row>
    <row r="4024" spans="1:17" x14ac:dyDescent="0.3">
      <c r="A4024" t="s">
        <v>4729</v>
      </c>
      <c r="B4024" t="str">
        <f>"300224"</f>
        <v>300224</v>
      </c>
      <c r="C4024" t="s">
        <v>8393</v>
      </c>
      <c r="D4024" t="s">
        <v>808</v>
      </c>
      <c r="F4024">
        <v>2789944447</v>
      </c>
      <c r="G4024">
        <v>2611879705</v>
      </c>
      <c r="H4024">
        <v>2614005131</v>
      </c>
      <c r="I4024">
        <v>2650777633</v>
      </c>
      <c r="J4024">
        <v>2951667806</v>
      </c>
      <c r="K4024">
        <v>2263570415</v>
      </c>
      <c r="L4024">
        <v>2032718016</v>
      </c>
      <c r="M4024">
        <v>1492540818</v>
      </c>
      <c r="N4024">
        <v>1390514976</v>
      </c>
      <c r="O4024">
        <v>1347165430</v>
      </c>
      <c r="P4024">
        <v>198</v>
      </c>
      <c r="Q4024" t="s">
        <v>8394</v>
      </c>
    </row>
    <row r="4025" spans="1:17" x14ac:dyDescent="0.3">
      <c r="A4025" t="s">
        <v>4729</v>
      </c>
      <c r="B4025" t="str">
        <f>"300225"</f>
        <v>300225</v>
      </c>
      <c r="C4025" t="s">
        <v>8395</v>
      </c>
      <c r="D4025" t="s">
        <v>2585</v>
      </c>
      <c r="F4025">
        <v>911018198</v>
      </c>
      <c r="G4025">
        <v>1009415970</v>
      </c>
      <c r="H4025">
        <v>909804083</v>
      </c>
      <c r="I4025">
        <v>880610631</v>
      </c>
      <c r="J4025">
        <v>890783972</v>
      </c>
      <c r="K4025">
        <v>868680795</v>
      </c>
      <c r="L4025">
        <v>831534970</v>
      </c>
      <c r="M4025">
        <v>801445319</v>
      </c>
      <c r="N4025">
        <v>752378468</v>
      </c>
      <c r="O4025">
        <v>706706641</v>
      </c>
      <c r="P4025">
        <v>94</v>
      </c>
      <c r="Q4025" t="s">
        <v>8396</v>
      </c>
    </row>
    <row r="4026" spans="1:17" x14ac:dyDescent="0.3">
      <c r="A4026" t="s">
        <v>4729</v>
      </c>
      <c r="B4026" t="str">
        <f>"300226"</f>
        <v>300226</v>
      </c>
      <c r="C4026" t="s">
        <v>8397</v>
      </c>
      <c r="D4026" t="s">
        <v>945</v>
      </c>
      <c r="F4026">
        <v>1554406806</v>
      </c>
      <c r="G4026">
        <v>1358962307</v>
      </c>
      <c r="H4026">
        <v>1142098670</v>
      </c>
      <c r="I4026">
        <v>957275623</v>
      </c>
      <c r="J4026">
        <v>824256489</v>
      </c>
      <c r="K4026">
        <v>498944744</v>
      </c>
      <c r="L4026">
        <v>77231295</v>
      </c>
      <c r="M4026">
        <v>443384552</v>
      </c>
      <c r="N4026">
        <v>379234065</v>
      </c>
      <c r="O4026">
        <v>361717093</v>
      </c>
      <c r="P4026">
        <v>253</v>
      </c>
      <c r="Q4026" t="s">
        <v>8398</v>
      </c>
    </row>
    <row r="4027" spans="1:17" x14ac:dyDescent="0.3">
      <c r="A4027" t="s">
        <v>4729</v>
      </c>
      <c r="B4027" t="str">
        <f>"300227"</f>
        <v>300227</v>
      </c>
      <c r="C4027" t="s">
        <v>8399</v>
      </c>
      <c r="D4027" t="s">
        <v>3811</v>
      </c>
      <c r="F4027">
        <v>1427144690</v>
      </c>
      <c r="G4027">
        <v>1202208771</v>
      </c>
      <c r="H4027">
        <v>1088715983</v>
      </c>
      <c r="I4027">
        <v>763819170</v>
      </c>
      <c r="J4027">
        <v>704506312</v>
      </c>
      <c r="K4027">
        <v>386576835</v>
      </c>
      <c r="L4027">
        <v>371619226</v>
      </c>
      <c r="M4027">
        <v>349951481</v>
      </c>
      <c r="N4027">
        <v>328327325</v>
      </c>
      <c r="O4027">
        <v>316917743</v>
      </c>
      <c r="P4027">
        <v>220</v>
      </c>
      <c r="Q4027" t="s">
        <v>8400</v>
      </c>
    </row>
    <row r="4028" spans="1:17" x14ac:dyDescent="0.3">
      <c r="A4028" t="s">
        <v>4729</v>
      </c>
      <c r="B4028" t="str">
        <f>"300228"</f>
        <v>300228</v>
      </c>
      <c r="C4028" t="s">
        <v>8401</v>
      </c>
      <c r="D4028" t="s">
        <v>274</v>
      </c>
      <c r="F4028">
        <v>1964322212</v>
      </c>
      <c r="G4028">
        <v>1463203968</v>
      </c>
      <c r="H4028">
        <v>1415405526</v>
      </c>
      <c r="I4028">
        <v>1813099633</v>
      </c>
      <c r="J4028">
        <v>1802008444</v>
      </c>
      <c r="K4028">
        <v>1727213825</v>
      </c>
      <c r="L4028">
        <v>2008151264</v>
      </c>
      <c r="M4028">
        <v>1228979755</v>
      </c>
      <c r="N4028">
        <v>1034204421</v>
      </c>
      <c r="O4028">
        <v>740466321</v>
      </c>
      <c r="P4028">
        <v>128</v>
      </c>
      <c r="Q4028" t="s">
        <v>8402</v>
      </c>
    </row>
    <row r="4029" spans="1:17" x14ac:dyDescent="0.3">
      <c r="A4029" t="s">
        <v>4729</v>
      </c>
      <c r="B4029" t="str">
        <f>"300229"</f>
        <v>300229</v>
      </c>
      <c r="C4029" t="s">
        <v>8403</v>
      </c>
      <c r="D4029" t="s">
        <v>945</v>
      </c>
      <c r="F4029">
        <v>2359683762</v>
      </c>
      <c r="G4029">
        <v>2168053675</v>
      </c>
      <c r="H4029">
        <v>2070169641</v>
      </c>
      <c r="I4029">
        <v>1853403680</v>
      </c>
      <c r="J4029">
        <v>1802568351</v>
      </c>
      <c r="K4029">
        <v>1643453320</v>
      </c>
      <c r="L4029">
        <v>1510996909</v>
      </c>
      <c r="M4029">
        <v>1412547296</v>
      </c>
      <c r="N4029">
        <v>861483616</v>
      </c>
      <c r="O4029">
        <v>792960467</v>
      </c>
      <c r="P4029">
        <v>209</v>
      </c>
      <c r="Q4029" t="s">
        <v>8404</v>
      </c>
    </row>
    <row r="4030" spans="1:17" x14ac:dyDescent="0.3">
      <c r="A4030" t="s">
        <v>4729</v>
      </c>
      <c r="B4030" t="str">
        <f>"300230"</f>
        <v>300230</v>
      </c>
      <c r="C4030" t="s">
        <v>8405</v>
      </c>
      <c r="D4030" t="s">
        <v>1192</v>
      </c>
      <c r="F4030">
        <v>2343639641</v>
      </c>
      <c r="G4030">
        <v>2179520299</v>
      </c>
      <c r="H4030">
        <v>3184462019</v>
      </c>
      <c r="I4030">
        <v>3082962902</v>
      </c>
      <c r="J4030">
        <v>2712581684</v>
      </c>
      <c r="K4030">
        <v>2510337141</v>
      </c>
      <c r="L4030">
        <v>1012501590</v>
      </c>
      <c r="M4030">
        <v>579400631</v>
      </c>
      <c r="N4030">
        <v>541897613</v>
      </c>
      <c r="O4030">
        <v>505688940</v>
      </c>
      <c r="P4030">
        <v>169</v>
      </c>
      <c r="Q4030" t="s">
        <v>8406</v>
      </c>
    </row>
    <row r="4031" spans="1:17" x14ac:dyDescent="0.3">
      <c r="A4031" t="s">
        <v>4729</v>
      </c>
      <c r="B4031" t="str">
        <f>"300231"</f>
        <v>300231</v>
      </c>
      <c r="C4031" t="s">
        <v>8407</v>
      </c>
      <c r="D4031" t="s">
        <v>316</v>
      </c>
      <c r="F4031">
        <v>1431771252</v>
      </c>
      <c r="G4031">
        <v>1339816654</v>
      </c>
      <c r="H4031">
        <v>1240544300</v>
      </c>
      <c r="I4031">
        <v>1386121470</v>
      </c>
      <c r="J4031">
        <v>731186204</v>
      </c>
      <c r="K4031">
        <v>616897740</v>
      </c>
      <c r="L4031">
        <v>492086238</v>
      </c>
      <c r="M4031">
        <v>399734772</v>
      </c>
      <c r="N4031">
        <v>352660184</v>
      </c>
      <c r="O4031">
        <v>319479527</v>
      </c>
      <c r="P4031">
        <v>264</v>
      </c>
      <c r="Q4031" t="s">
        <v>8408</v>
      </c>
    </row>
    <row r="4032" spans="1:17" x14ac:dyDescent="0.3">
      <c r="A4032" t="s">
        <v>4729</v>
      </c>
      <c r="B4032" t="str">
        <f>"300232"</f>
        <v>300232</v>
      </c>
      <c r="C4032" t="s">
        <v>8409</v>
      </c>
      <c r="D4032" t="s">
        <v>803</v>
      </c>
      <c r="F4032">
        <v>4635104070</v>
      </c>
      <c r="G4032">
        <v>3534614506</v>
      </c>
      <c r="H4032">
        <v>2835880667</v>
      </c>
      <c r="I4032">
        <v>2209877952</v>
      </c>
      <c r="J4032">
        <v>1793858739</v>
      </c>
      <c r="K4032">
        <v>1512122446</v>
      </c>
      <c r="L4032">
        <v>1029886741</v>
      </c>
      <c r="M4032">
        <v>646039867</v>
      </c>
      <c r="N4032">
        <v>589157100</v>
      </c>
      <c r="O4032">
        <v>562997543</v>
      </c>
      <c r="P4032">
        <v>922</v>
      </c>
      <c r="Q4032" t="s">
        <v>8410</v>
      </c>
    </row>
    <row r="4033" spans="1:17" x14ac:dyDescent="0.3">
      <c r="A4033" t="s">
        <v>4729</v>
      </c>
      <c r="B4033" t="str">
        <f>"300233"</f>
        <v>300233</v>
      </c>
      <c r="C4033" t="s">
        <v>8411</v>
      </c>
      <c r="D4033" t="s">
        <v>143</v>
      </c>
      <c r="F4033">
        <v>3394465354</v>
      </c>
      <c r="G4033">
        <v>3437981009</v>
      </c>
      <c r="H4033">
        <v>4064167520</v>
      </c>
      <c r="I4033">
        <v>4009478307</v>
      </c>
      <c r="J4033">
        <v>3864326542</v>
      </c>
      <c r="K4033">
        <v>1436723827</v>
      </c>
      <c r="L4033">
        <v>1292518852</v>
      </c>
      <c r="M4033">
        <v>1116673000</v>
      </c>
      <c r="N4033">
        <v>1021694218</v>
      </c>
      <c r="O4033">
        <v>975564745</v>
      </c>
      <c r="P4033">
        <v>202</v>
      </c>
      <c r="Q4033" t="s">
        <v>8412</v>
      </c>
    </row>
    <row r="4034" spans="1:17" x14ac:dyDescent="0.3">
      <c r="A4034" t="s">
        <v>4729</v>
      </c>
      <c r="B4034" t="str">
        <f>"300234"</f>
        <v>300234</v>
      </c>
      <c r="C4034" t="s">
        <v>8413</v>
      </c>
      <c r="D4034" t="s">
        <v>722</v>
      </c>
      <c r="F4034">
        <v>980611123</v>
      </c>
      <c r="G4034">
        <v>916463370</v>
      </c>
      <c r="H4034">
        <v>919480958</v>
      </c>
      <c r="I4034">
        <v>918594856</v>
      </c>
      <c r="J4034">
        <v>990277636</v>
      </c>
      <c r="K4034">
        <v>1004080401</v>
      </c>
      <c r="L4034">
        <v>584158366</v>
      </c>
      <c r="M4034">
        <v>528588502</v>
      </c>
      <c r="N4034">
        <v>428611482</v>
      </c>
      <c r="O4034">
        <v>381596062</v>
      </c>
      <c r="P4034">
        <v>111</v>
      </c>
      <c r="Q4034" t="s">
        <v>8414</v>
      </c>
    </row>
    <row r="4035" spans="1:17" x14ac:dyDescent="0.3">
      <c r="A4035" t="s">
        <v>4729</v>
      </c>
      <c r="B4035" t="str">
        <f>"300235"</f>
        <v>300235</v>
      </c>
      <c r="C4035" t="s">
        <v>8415</v>
      </c>
      <c r="D4035" t="s">
        <v>945</v>
      </c>
      <c r="F4035">
        <v>663058272</v>
      </c>
      <c r="G4035">
        <v>649420166</v>
      </c>
      <c r="H4035">
        <v>626606170</v>
      </c>
      <c r="I4035">
        <v>594418715</v>
      </c>
      <c r="J4035">
        <v>582102658</v>
      </c>
      <c r="K4035">
        <v>347058373</v>
      </c>
      <c r="L4035">
        <v>338879944</v>
      </c>
      <c r="M4035">
        <v>333371107</v>
      </c>
      <c r="N4035">
        <v>318999978</v>
      </c>
      <c r="O4035">
        <v>295687988</v>
      </c>
      <c r="P4035">
        <v>114</v>
      </c>
      <c r="Q4035" t="s">
        <v>8416</v>
      </c>
    </row>
    <row r="4036" spans="1:17" x14ac:dyDescent="0.3">
      <c r="A4036" t="s">
        <v>4729</v>
      </c>
      <c r="B4036" t="str">
        <f>"300236"</f>
        <v>300236</v>
      </c>
      <c r="C4036" t="s">
        <v>8417</v>
      </c>
      <c r="D4036" t="s">
        <v>2408</v>
      </c>
      <c r="F4036">
        <v>4970184430</v>
      </c>
      <c r="G4036">
        <v>4729516069</v>
      </c>
      <c r="H4036">
        <v>1502365082</v>
      </c>
      <c r="I4036">
        <v>1275241786</v>
      </c>
      <c r="J4036">
        <v>1304234246</v>
      </c>
      <c r="K4036">
        <v>1241876447</v>
      </c>
      <c r="L4036">
        <v>905683772</v>
      </c>
      <c r="M4036">
        <v>854907102</v>
      </c>
      <c r="N4036">
        <v>795467092</v>
      </c>
      <c r="O4036">
        <v>375827588</v>
      </c>
      <c r="P4036">
        <v>414</v>
      </c>
      <c r="Q4036" t="s">
        <v>8418</v>
      </c>
    </row>
    <row r="4037" spans="1:17" x14ac:dyDescent="0.3">
      <c r="A4037" t="s">
        <v>4729</v>
      </c>
      <c r="B4037" t="str">
        <f>"300237"</f>
        <v>300237</v>
      </c>
      <c r="C4037" t="s">
        <v>8419</v>
      </c>
      <c r="D4037" t="s">
        <v>2417</v>
      </c>
      <c r="F4037">
        <v>2260059437</v>
      </c>
      <c r="G4037">
        <v>3199407741</v>
      </c>
      <c r="H4037">
        <v>3540483916</v>
      </c>
      <c r="I4037">
        <v>3509966630</v>
      </c>
      <c r="J4037">
        <v>3202858226</v>
      </c>
      <c r="K4037">
        <v>2642238084</v>
      </c>
      <c r="L4037">
        <v>2224937194</v>
      </c>
      <c r="M4037">
        <v>1225020199</v>
      </c>
      <c r="N4037">
        <v>582440240</v>
      </c>
      <c r="O4037">
        <v>553741399</v>
      </c>
      <c r="P4037">
        <v>315</v>
      </c>
      <c r="Q4037" t="s">
        <v>8420</v>
      </c>
    </row>
    <row r="4038" spans="1:17" x14ac:dyDescent="0.3">
      <c r="A4038" t="s">
        <v>4729</v>
      </c>
      <c r="B4038" t="str">
        <f>"300238"</f>
        <v>300238</v>
      </c>
      <c r="C4038" t="s">
        <v>8421</v>
      </c>
      <c r="D4038" t="s">
        <v>1077</v>
      </c>
      <c r="F4038">
        <v>783920553</v>
      </c>
      <c r="G4038">
        <v>730267784</v>
      </c>
      <c r="H4038">
        <v>711406354</v>
      </c>
      <c r="I4038">
        <v>1154172412</v>
      </c>
      <c r="J4038">
        <v>1165146050</v>
      </c>
      <c r="K4038">
        <v>1388145391</v>
      </c>
      <c r="L4038">
        <v>581044882</v>
      </c>
      <c r="M4038">
        <v>531612233</v>
      </c>
      <c r="N4038">
        <v>498157068</v>
      </c>
      <c r="O4038">
        <v>454105589</v>
      </c>
      <c r="P4038">
        <v>195</v>
      </c>
      <c r="Q4038" t="s">
        <v>8422</v>
      </c>
    </row>
    <row r="4039" spans="1:17" x14ac:dyDescent="0.3">
      <c r="A4039" t="s">
        <v>4729</v>
      </c>
      <c r="B4039" t="str">
        <f>"300239"</f>
        <v>300239</v>
      </c>
      <c r="C4039" t="s">
        <v>8423</v>
      </c>
      <c r="D4039" t="s">
        <v>1379</v>
      </c>
      <c r="F4039">
        <v>1422692835</v>
      </c>
      <c r="G4039">
        <v>989956483</v>
      </c>
      <c r="H4039">
        <v>991864420</v>
      </c>
      <c r="I4039">
        <v>750879458</v>
      </c>
      <c r="J4039">
        <v>729754824</v>
      </c>
      <c r="K4039">
        <v>718860039</v>
      </c>
      <c r="L4039">
        <v>706546193</v>
      </c>
      <c r="M4039">
        <v>340555790</v>
      </c>
      <c r="N4039">
        <v>351471540</v>
      </c>
      <c r="O4039">
        <v>324025815</v>
      </c>
      <c r="P4039">
        <v>107</v>
      </c>
      <c r="Q4039" t="s">
        <v>8424</v>
      </c>
    </row>
    <row r="4040" spans="1:17" x14ac:dyDescent="0.3">
      <c r="A4040" t="s">
        <v>4729</v>
      </c>
      <c r="B4040" t="str">
        <f>"300240"</f>
        <v>300240</v>
      </c>
      <c r="C4040" t="s">
        <v>8425</v>
      </c>
      <c r="D4040" t="s">
        <v>3125</v>
      </c>
      <c r="F4040">
        <v>1321454254</v>
      </c>
      <c r="G4040">
        <v>1169957181</v>
      </c>
      <c r="H4040">
        <v>1166524225</v>
      </c>
      <c r="I4040">
        <v>1069516897</v>
      </c>
      <c r="J4040">
        <v>1068738542</v>
      </c>
      <c r="K4040">
        <v>1043073332</v>
      </c>
      <c r="L4040">
        <v>976573929</v>
      </c>
      <c r="M4040">
        <v>949808876</v>
      </c>
      <c r="N4040">
        <v>962597895</v>
      </c>
      <c r="O4040">
        <v>938598998</v>
      </c>
      <c r="P4040">
        <v>67</v>
      </c>
      <c r="Q4040" t="s">
        <v>8426</v>
      </c>
    </row>
    <row r="4041" spans="1:17" x14ac:dyDescent="0.3">
      <c r="A4041" t="s">
        <v>4729</v>
      </c>
      <c r="B4041" t="str">
        <f>"300241"</f>
        <v>300241</v>
      </c>
      <c r="C4041" t="s">
        <v>8427</v>
      </c>
      <c r="D4041" t="s">
        <v>803</v>
      </c>
      <c r="F4041">
        <v>2137716547</v>
      </c>
      <c r="G4041">
        <v>1246144852</v>
      </c>
      <c r="H4041">
        <v>1191539848</v>
      </c>
      <c r="I4041">
        <v>1336005757</v>
      </c>
      <c r="J4041">
        <v>1225078429</v>
      </c>
      <c r="K4041">
        <v>1024763036</v>
      </c>
      <c r="L4041">
        <v>657656235</v>
      </c>
      <c r="M4041">
        <v>639737939</v>
      </c>
      <c r="N4041">
        <v>604669497</v>
      </c>
      <c r="O4041">
        <v>533059286</v>
      </c>
      <c r="P4041">
        <v>170</v>
      </c>
      <c r="Q4041" t="s">
        <v>8428</v>
      </c>
    </row>
    <row r="4042" spans="1:17" x14ac:dyDescent="0.3">
      <c r="A4042" t="s">
        <v>4729</v>
      </c>
      <c r="B4042" t="str">
        <f>"300242"</f>
        <v>300242</v>
      </c>
      <c r="C4042" t="s">
        <v>8429</v>
      </c>
      <c r="D4042" t="s">
        <v>207</v>
      </c>
      <c r="F4042">
        <v>488473107</v>
      </c>
      <c r="G4042">
        <v>683407590</v>
      </c>
      <c r="H4042">
        <v>1034110671</v>
      </c>
      <c r="I4042">
        <v>1028594119</v>
      </c>
      <c r="J4042">
        <v>2303828015</v>
      </c>
      <c r="K4042">
        <v>2133332708</v>
      </c>
      <c r="L4042">
        <v>1955635762</v>
      </c>
      <c r="M4042">
        <v>257018723</v>
      </c>
      <c r="N4042">
        <v>252922786</v>
      </c>
      <c r="O4042">
        <v>284365062</v>
      </c>
      <c r="P4042">
        <v>95</v>
      </c>
      <c r="Q4042" t="s">
        <v>8430</v>
      </c>
    </row>
    <row r="4043" spans="1:17" x14ac:dyDescent="0.3">
      <c r="A4043" t="s">
        <v>4729</v>
      </c>
      <c r="B4043" t="str">
        <f>"300243"</f>
        <v>300243</v>
      </c>
      <c r="C4043" t="s">
        <v>8431</v>
      </c>
      <c r="D4043" t="s">
        <v>1192</v>
      </c>
      <c r="F4043">
        <v>818933090</v>
      </c>
      <c r="G4043">
        <v>745843493</v>
      </c>
      <c r="H4043">
        <v>675027320</v>
      </c>
      <c r="I4043">
        <v>601456825</v>
      </c>
      <c r="J4043">
        <v>510791956</v>
      </c>
      <c r="K4043">
        <v>480688704</v>
      </c>
      <c r="L4043">
        <v>466758543</v>
      </c>
      <c r="M4043">
        <v>423297129</v>
      </c>
      <c r="N4043">
        <v>393281563</v>
      </c>
      <c r="O4043">
        <v>364129246</v>
      </c>
      <c r="P4043">
        <v>103</v>
      </c>
      <c r="Q4043" t="s">
        <v>8432</v>
      </c>
    </row>
    <row r="4044" spans="1:17" x14ac:dyDescent="0.3">
      <c r="A4044" t="s">
        <v>4729</v>
      </c>
      <c r="B4044" t="str">
        <f>"300244"</f>
        <v>300244</v>
      </c>
      <c r="C4044" t="s">
        <v>8433</v>
      </c>
      <c r="D4044" t="s">
        <v>2580</v>
      </c>
      <c r="F4044">
        <v>5841975826</v>
      </c>
      <c r="G4044">
        <v>4697870633</v>
      </c>
      <c r="H4044">
        <v>3983799129</v>
      </c>
      <c r="I4044">
        <v>3675937619</v>
      </c>
      <c r="J4044">
        <v>2351954550</v>
      </c>
      <c r="K4044">
        <v>2087743442</v>
      </c>
      <c r="L4044">
        <v>926884255</v>
      </c>
      <c r="M4044">
        <v>683891557</v>
      </c>
      <c r="N4044">
        <v>576660510</v>
      </c>
      <c r="O4044">
        <v>509125787</v>
      </c>
      <c r="P4044">
        <v>1268</v>
      </c>
      <c r="Q4044" t="s">
        <v>8434</v>
      </c>
    </row>
    <row r="4045" spans="1:17" x14ac:dyDescent="0.3">
      <c r="A4045" t="s">
        <v>4729</v>
      </c>
      <c r="B4045" t="str">
        <f>"300245"</f>
        <v>300245</v>
      </c>
      <c r="C4045" t="s">
        <v>8435</v>
      </c>
      <c r="D4045" t="s">
        <v>316</v>
      </c>
      <c r="F4045">
        <v>1515969419</v>
      </c>
      <c r="G4045">
        <v>1482743073</v>
      </c>
      <c r="H4045">
        <v>1439100467</v>
      </c>
      <c r="I4045">
        <v>1397992502</v>
      </c>
      <c r="J4045">
        <v>1369081120</v>
      </c>
      <c r="K4045">
        <v>733644892</v>
      </c>
      <c r="L4045">
        <v>682640534</v>
      </c>
      <c r="M4045">
        <v>670164967</v>
      </c>
      <c r="N4045">
        <v>596669261</v>
      </c>
      <c r="O4045">
        <v>519685525</v>
      </c>
      <c r="P4045">
        <v>128</v>
      </c>
      <c r="Q4045" t="s">
        <v>8436</v>
      </c>
    </row>
    <row r="4046" spans="1:17" x14ac:dyDescent="0.3">
      <c r="A4046" t="s">
        <v>4729</v>
      </c>
      <c r="B4046" t="str">
        <f>"300246"</f>
        <v>300246</v>
      </c>
      <c r="C4046" t="s">
        <v>8437</v>
      </c>
      <c r="D4046" t="s">
        <v>122</v>
      </c>
      <c r="F4046">
        <v>839634348</v>
      </c>
      <c r="G4046">
        <v>863642069</v>
      </c>
      <c r="H4046">
        <v>547536335</v>
      </c>
      <c r="I4046">
        <v>562136971</v>
      </c>
      <c r="J4046">
        <v>505558217</v>
      </c>
      <c r="K4046">
        <v>464451947</v>
      </c>
      <c r="L4046">
        <v>428644127</v>
      </c>
      <c r="M4046">
        <v>411344325</v>
      </c>
      <c r="N4046">
        <v>384847222</v>
      </c>
      <c r="O4046">
        <v>370532301</v>
      </c>
      <c r="P4046">
        <v>511</v>
      </c>
      <c r="Q4046" t="s">
        <v>8438</v>
      </c>
    </row>
    <row r="4047" spans="1:17" x14ac:dyDescent="0.3">
      <c r="A4047" t="s">
        <v>4729</v>
      </c>
      <c r="B4047" t="str">
        <f>"300247"</f>
        <v>300247</v>
      </c>
      <c r="C4047" t="s">
        <v>8439</v>
      </c>
      <c r="D4047" t="s">
        <v>3042</v>
      </c>
      <c r="F4047">
        <v>831428720</v>
      </c>
      <c r="G4047">
        <v>808295859</v>
      </c>
      <c r="H4047">
        <v>876231984</v>
      </c>
      <c r="I4047">
        <v>1586313290</v>
      </c>
      <c r="J4047">
        <v>2353467572</v>
      </c>
      <c r="K4047">
        <v>2327244578</v>
      </c>
      <c r="L4047">
        <v>1458807375</v>
      </c>
      <c r="M4047">
        <v>671675466</v>
      </c>
      <c r="N4047">
        <v>582230429</v>
      </c>
      <c r="O4047">
        <v>565261660</v>
      </c>
      <c r="P4047">
        <v>107</v>
      </c>
      <c r="Q4047" t="s">
        <v>8440</v>
      </c>
    </row>
    <row r="4048" spans="1:17" x14ac:dyDescent="0.3">
      <c r="A4048" t="s">
        <v>4729</v>
      </c>
      <c r="B4048" t="str">
        <f>"300248"</f>
        <v>300248</v>
      </c>
      <c r="C4048" t="s">
        <v>8441</v>
      </c>
      <c r="D4048" t="s">
        <v>236</v>
      </c>
      <c r="F4048">
        <v>1937349360</v>
      </c>
      <c r="G4048">
        <v>1768432353</v>
      </c>
      <c r="H4048">
        <v>1658695122</v>
      </c>
      <c r="I4048">
        <v>1442579183</v>
      </c>
      <c r="J4048">
        <v>1361604158</v>
      </c>
      <c r="K4048">
        <v>1198951237</v>
      </c>
      <c r="L4048">
        <v>809154879</v>
      </c>
      <c r="M4048">
        <v>536070837</v>
      </c>
      <c r="N4048">
        <v>507234135</v>
      </c>
      <c r="O4048">
        <v>491458098</v>
      </c>
      <c r="P4048">
        <v>209</v>
      </c>
      <c r="Q4048" t="s">
        <v>8442</v>
      </c>
    </row>
    <row r="4049" spans="1:17" x14ac:dyDescent="0.3">
      <c r="A4049" t="s">
        <v>4729</v>
      </c>
      <c r="B4049" t="str">
        <f>"300249"</f>
        <v>300249</v>
      </c>
      <c r="C4049" t="s">
        <v>8443</v>
      </c>
      <c r="D4049" t="s">
        <v>236</v>
      </c>
      <c r="F4049">
        <v>649893875</v>
      </c>
      <c r="G4049">
        <v>619366949</v>
      </c>
      <c r="H4049">
        <v>784875842</v>
      </c>
      <c r="I4049">
        <v>791083292</v>
      </c>
      <c r="J4049">
        <v>752791958</v>
      </c>
      <c r="K4049">
        <v>691834256</v>
      </c>
      <c r="L4049">
        <v>693448481</v>
      </c>
      <c r="M4049">
        <v>673010482</v>
      </c>
      <c r="N4049">
        <v>476756943</v>
      </c>
      <c r="O4049">
        <v>477163484</v>
      </c>
      <c r="P4049">
        <v>195</v>
      </c>
      <c r="Q4049" t="s">
        <v>8444</v>
      </c>
    </row>
    <row r="4050" spans="1:17" x14ac:dyDescent="0.3">
      <c r="A4050" t="s">
        <v>4729</v>
      </c>
      <c r="B4050" t="str">
        <f>"300250"</f>
        <v>300250</v>
      </c>
      <c r="C4050" t="s">
        <v>8445</v>
      </c>
      <c r="D4050" t="s">
        <v>316</v>
      </c>
      <c r="F4050">
        <v>696900841</v>
      </c>
      <c r="G4050">
        <v>702780220</v>
      </c>
      <c r="H4050">
        <v>1029259990</v>
      </c>
      <c r="I4050">
        <v>1219153541</v>
      </c>
      <c r="J4050">
        <v>1685667656</v>
      </c>
      <c r="K4050">
        <v>1641913078</v>
      </c>
      <c r="L4050">
        <v>813967599</v>
      </c>
      <c r="M4050">
        <v>402672468</v>
      </c>
      <c r="N4050">
        <v>373988430</v>
      </c>
      <c r="O4050">
        <v>353956780</v>
      </c>
      <c r="P4050">
        <v>159</v>
      </c>
      <c r="Q4050" t="s">
        <v>8446</v>
      </c>
    </row>
    <row r="4051" spans="1:17" x14ac:dyDescent="0.3">
      <c r="A4051" t="s">
        <v>4729</v>
      </c>
      <c r="B4051" t="str">
        <f>"300251"</f>
        <v>300251</v>
      </c>
      <c r="C4051" t="s">
        <v>8447</v>
      </c>
      <c r="D4051" t="s">
        <v>113</v>
      </c>
      <c r="F4051">
        <v>9554479727</v>
      </c>
      <c r="G4051">
        <v>9008122483</v>
      </c>
      <c r="H4051">
        <v>8934816724</v>
      </c>
      <c r="I4051">
        <v>8644336072</v>
      </c>
      <c r="J4051">
        <v>8419612720</v>
      </c>
      <c r="K4051">
        <v>7035124817</v>
      </c>
      <c r="L4051">
        <v>6871991180</v>
      </c>
      <c r="M4051">
        <v>3162902077</v>
      </c>
      <c r="N4051">
        <v>2219380041</v>
      </c>
      <c r="O4051">
        <v>1988846130</v>
      </c>
      <c r="P4051">
        <v>807</v>
      </c>
      <c r="Q4051" t="s">
        <v>8448</v>
      </c>
    </row>
    <row r="4052" spans="1:17" x14ac:dyDescent="0.3">
      <c r="A4052" t="s">
        <v>4729</v>
      </c>
      <c r="B4052" t="str">
        <f>"300252"</f>
        <v>300252</v>
      </c>
      <c r="C4052" t="s">
        <v>8449</v>
      </c>
      <c r="D4052" t="s">
        <v>1136</v>
      </c>
      <c r="F4052">
        <v>2323597959</v>
      </c>
      <c r="G4052">
        <v>2342128458</v>
      </c>
      <c r="H4052">
        <v>2394052413</v>
      </c>
      <c r="I4052">
        <v>2381406633</v>
      </c>
      <c r="J4052">
        <v>2269912705</v>
      </c>
      <c r="K4052">
        <v>2177200620</v>
      </c>
      <c r="L4052">
        <v>829480394</v>
      </c>
      <c r="M4052">
        <v>766848407</v>
      </c>
      <c r="N4052">
        <v>691334805</v>
      </c>
      <c r="O4052">
        <v>665211295</v>
      </c>
      <c r="P4052">
        <v>217</v>
      </c>
      <c r="Q4052" t="s">
        <v>8450</v>
      </c>
    </row>
    <row r="4053" spans="1:17" x14ac:dyDescent="0.3">
      <c r="A4053" t="s">
        <v>4729</v>
      </c>
      <c r="B4053" t="str">
        <f>"300253"</f>
        <v>300253</v>
      </c>
      <c r="C4053" t="s">
        <v>8451</v>
      </c>
      <c r="D4053" t="s">
        <v>945</v>
      </c>
      <c r="F4053">
        <v>4997012912</v>
      </c>
      <c r="G4053">
        <v>4522022271</v>
      </c>
      <c r="H4053">
        <v>3733330755</v>
      </c>
      <c r="I4053">
        <v>3134184506</v>
      </c>
      <c r="J4053">
        <v>2596125082</v>
      </c>
      <c r="K4053">
        <v>2339242178</v>
      </c>
      <c r="L4053">
        <v>1013215304</v>
      </c>
      <c r="M4053">
        <v>768191384</v>
      </c>
      <c r="N4053">
        <v>627941096</v>
      </c>
      <c r="O4053">
        <v>528833622</v>
      </c>
      <c r="P4053">
        <v>935</v>
      </c>
      <c r="Q4053" t="s">
        <v>8452</v>
      </c>
    </row>
    <row r="4054" spans="1:17" x14ac:dyDescent="0.3">
      <c r="A4054" t="s">
        <v>4729</v>
      </c>
      <c r="B4054" t="str">
        <f>"300254"</f>
        <v>300254</v>
      </c>
      <c r="C4054" t="s">
        <v>8453</v>
      </c>
      <c r="D4054" t="s">
        <v>143</v>
      </c>
      <c r="F4054">
        <v>589405549</v>
      </c>
      <c r="G4054">
        <v>687099035</v>
      </c>
      <c r="H4054">
        <v>815885921</v>
      </c>
      <c r="I4054">
        <v>799091885</v>
      </c>
      <c r="J4054">
        <v>819585507</v>
      </c>
      <c r="K4054">
        <v>808655182</v>
      </c>
      <c r="L4054">
        <v>785997991</v>
      </c>
      <c r="M4054">
        <v>637619342</v>
      </c>
      <c r="N4054">
        <v>610001845</v>
      </c>
      <c r="O4054">
        <v>596269406</v>
      </c>
      <c r="P4054">
        <v>82</v>
      </c>
      <c r="Q4054" t="s">
        <v>8454</v>
      </c>
    </row>
    <row r="4055" spans="1:17" x14ac:dyDescent="0.3">
      <c r="A4055" t="s">
        <v>4729</v>
      </c>
      <c r="B4055" t="str">
        <f>"300255"</f>
        <v>300255</v>
      </c>
      <c r="C4055" t="s">
        <v>8455</v>
      </c>
      <c r="D4055" t="s">
        <v>143</v>
      </c>
      <c r="F4055">
        <v>3068784361</v>
      </c>
      <c r="G4055">
        <v>2847580472</v>
      </c>
      <c r="H4055">
        <v>2714925009</v>
      </c>
      <c r="I4055">
        <v>2512818128</v>
      </c>
      <c r="J4055">
        <v>2369451288</v>
      </c>
      <c r="K4055">
        <v>2228834990</v>
      </c>
      <c r="L4055">
        <v>1513541343</v>
      </c>
      <c r="M4055">
        <v>1369777022</v>
      </c>
      <c r="N4055">
        <v>1229321083</v>
      </c>
      <c r="O4055">
        <v>1099631043</v>
      </c>
      <c r="P4055">
        <v>175</v>
      </c>
      <c r="Q4055" t="s">
        <v>8456</v>
      </c>
    </row>
    <row r="4056" spans="1:17" x14ac:dyDescent="0.3">
      <c r="A4056" t="s">
        <v>4729</v>
      </c>
      <c r="B4056" t="str">
        <f>"300256"</f>
        <v>300256</v>
      </c>
      <c r="C4056" t="s">
        <v>8457</v>
      </c>
      <c r="D4056" t="s">
        <v>313</v>
      </c>
      <c r="F4056">
        <v>321048059</v>
      </c>
      <c r="G4056">
        <v>1956141135</v>
      </c>
      <c r="H4056">
        <v>1842223660</v>
      </c>
      <c r="I4056">
        <v>1664830229</v>
      </c>
      <c r="J4056">
        <v>3379158138</v>
      </c>
      <c r="K4056">
        <v>3308646362</v>
      </c>
      <c r="L4056">
        <v>3241894843</v>
      </c>
      <c r="M4056">
        <v>1614681582</v>
      </c>
      <c r="N4056">
        <v>1327362718</v>
      </c>
      <c r="O4056">
        <v>762115435</v>
      </c>
      <c r="P4056">
        <v>206</v>
      </c>
      <c r="Q4056" t="s">
        <v>8458</v>
      </c>
    </row>
    <row r="4057" spans="1:17" x14ac:dyDescent="0.3">
      <c r="A4057" t="s">
        <v>4729</v>
      </c>
      <c r="B4057" t="str">
        <f>"300257"</f>
        <v>300257</v>
      </c>
      <c r="C4057" t="s">
        <v>8459</v>
      </c>
      <c r="D4057" t="s">
        <v>560</v>
      </c>
      <c r="F4057">
        <v>4920903754</v>
      </c>
      <c r="G4057">
        <v>4746763769</v>
      </c>
      <c r="H4057">
        <v>3596639092</v>
      </c>
      <c r="I4057">
        <v>3514416814</v>
      </c>
      <c r="J4057">
        <v>3381306334</v>
      </c>
      <c r="K4057">
        <v>3460661265</v>
      </c>
      <c r="L4057">
        <v>3330620429</v>
      </c>
      <c r="M4057">
        <v>3376953685</v>
      </c>
      <c r="N4057">
        <v>3199662695</v>
      </c>
      <c r="O4057">
        <v>2994228342</v>
      </c>
      <c r="P4057">
        <v>148</v>
      </c>
      <c r="Q4057" t="s">
        <v>8460</v>
      </c>
    </row>
    <row r="4058" spans="1:17" x14ac:dyDescent="0.3">
      <c r="A4058" t="s">
        <v>4729</v>
      </c>
      <c r="B4058" t="str">
        <f>"300258"</f>
        <v>300258</v>
      </c>
      <c r="C4058" t="s">
        <v>8461</v>
      </c>
      <c r="D4058" t="s">
        <v>348</v>
      </c>
      <c r="F4058">
        <v>3140731266</v>
      </c>
      <c r="G4058">
        <v>3016684375</v>
      </c>
      <c r="H4058">
        <v>2018600998</v>
      </c>
      <c r="I4058">
        <v>1876906615</v>
      </c>
      <c r="J4058">
        <v>1666881633</v>
      </c>
      <c r="K4058">
        <v>1454582504</v>
      </c>
      <c r="L4058">
        <v>1291369295</v>
      </c>
      <c r="M4058">
        <v>1178640781</v>
      </c>
      <c r="N4058">
        <v>1078887036</v>
      </c>
      <c r="O4058">
        <v>981509130</v>
      </c>
      <c r="P4058">
        <v>330</v>
      </c>
      <c r="Q4058" t="s">
        <v>8462</v>
      </c>
    </row>
    <row r="4059" spans="1:17" x14ac:dyDescent="0.3">
      <c r="A4059" t="s">
        <v>4729</v>
      </c>
      <c r="B4059" t="str">
        <f>"300259"</f>
        <v>300259</v>
      </c>
      <c r="C4059" t="s">
        <v>8463</v>
      </c>
      <c r="D4059" t="s">
        <v>2566</v>
      </c>
      <c r="F4059">
        <v>2829453756</v>
      </c>
      <c r="G4059">
        <v>2523457158</v>
      </c>
      <c r="H4059">
        <v>2185102230</v>
      </c>
      <c r="I4059">
        <v>1930328614</v>
      </c>
      <c r="J4059">
        <v>1857485779</v>
      </c>
      <c r="K4059">
        <v>1709889831</v>
      </c>
      <c r="L4059">
        <v>878356317</v>
      </c>
      <c r="M4059">
        <v>800989415</v>
      </c>
      <c r="N4059">
        <v>717123745</v>
      </c>
      <c r="O4059">
        <v>627857692</v>
      </c>
      <c r="P4059">
        <v>360</v>
      </c>
      <c r="Q4059" t="s">
        <v>8464</v>
      </c>
    </row>
    <row r="4060" spans="1:17" x14ac:dyDescent="0.3">
      <c r="A4060" t="s">
        <v>4729</v>
      </c>
      <c r="B4060" t="str">
        <f>"300260"</f>
        <v>300260</v>
      </c>
      <c r="C4060" t="s">
        <v>8465</v>
      </c>
      <c r="D4060" t="s">
        <v>274</v>
      </c>
      <c r="F4060">
        <v>1267833404</v>
      </c>
      <c r="G4060">
        <v>1109683437</v>
      </c>
      <c r="H4060">
        <v>775448321</v>
      </c>
      <c r="I4060">
        <v>722516081</v>
      </c>
      <c r="J4060">
        <v>677926251</v>
      </c>
      <c r="K4060">
        <v>655928290</v>
      </c>
      <c r="L4060">
        <v>644400742</v>
      </c>
      <c r="M4060">
        <v>643732378</v>
      </c>
      <c r="N4060">
        <v>637169543</v>
      </c>
      <c r="O4060">
        <v>619343734</v>
      </c>
      <c r="P4060">
        <v>211</v>
      </c>
      <c r="Q4060" t="s">
        <v>8466</v>
      </c>
    </row>
    <row r="4061" spans="1:17" x14ac:dyDescent="0.3">
      <c r="A4061" t="s">
        <v>4729</v>
      </c>
      <c r="B4061" t="str">
        <f>"300261"</f>
        <v>300261</v>
      </c>
      <c r="C4061" t="s">
        <v>8467</v>
      </c>
      <c r="D4061" t="s">
        <v>853</v>
      </c>
      <c r="F4061">
        <v>2174390029</v>
      </c>
      <c r="G4061">
        <v>2050933253</v>
      </c>
      <c r="H4061">
        <v>1971755520</v>
      </c>
      <c r="I4061">
        <v>1986526110</v>
      </c>
      <c r="J4061">
        <v>1910687523</v>
      </c>
      <c r="K4061">
        <v>1011203887</v>
      </c>
      <c r="L4061">
        <v>720689991</v>
      </c>
      <c r="M4061">
        <v>674551501</v>
      </c>
      <c r="N4061">
        <v>635641518</v>
      </c>
      <c r="O4061">
        <v>620727087</v>
      </c>
      <c r="P4061">
        <v>139</v>
      </c>
      <c r="Q4061" t="s">
        <v>8468</v>
      </c>
    </row>
    <row r="4062" spans="1:17" x14ac:dyDescent="0.3">
      <c r="A4062" t="s">
        <v>4729</v>
      </c>
      <c r="B4062" t="str">
        <f>"300262"</f>
        <v>300262</v>
      </c>
      <c r="C4062" t="s">
        <v>8469</v>
      </c>
      <c r="D4062" t="s">
        <v>33</v>
      </c>
      <c r="F4062">
        <v>552899540</v>
      </c>
      <c r="G4062">
        <v>1853143533</v>
      </c>
      <c r="H4062">
        <v>2361707003</v>
      </c>
      <c r="I4062">
        <v>2311658003</v>
      </c>
      <c r="J4062">
        <v>2138894526</v>
      </c>
      <c r="K4062">
        <v>1998980282</v>
      </c>
      <c r="L4062">
        <v>671952461</v>
      </c>
      <c r="M4062">
        <v>600007083</v>
      </c>
      <c r="N4062">
        <v>530696297</v>
      </c>
      <c r="O4062">
        <v>470787931</v>
      </c>
      <c r="P4062">
        <v>127</v>
      </c>
      <c r="Q4062" t="s">
        <v>8470</v>
      </c>
    </row>
    <row r="4063" spans="1:17" x14ac:dyDescent="0.3">
      <c r="A4063" t="s">
        <v>4729</v>
      </c>
      <c r="B4063" t="str">
        <f>"300263"</f>
        <v>300263</v>
      </c>
      <c r="C4063" t="s">
        <v>8471</v>
      </c>
      <c r="D4063" t="s">
        <v>560</v>
      </c>
      <c r="F4063">
        <v>2984397612</v>
      </c>
      <c r="G4063">
        <v>2672892494</v>
      </c>
      <c r="H4063">
        <v>2735373922</v>
      </c>
      <c r="I4063">
        <v>2594217841</v>
      </c>
      <c r="J4063">
        <v>2449030679</v>
      </c>
      <c r="K4063">
        <v>2415386203</v>
      </c>
      <c r="L4063">
        <v>2415670621</v>
      </c>
      <c r="M4063">
        <v>1552729228</v>
      </c>
      <c r="N4063">
        <v>1425393707</v>
      </c>
      <c r="O4063">
        <v>927232870</v>
      </c>
      <c r="P4063">
        <v>232</v>
      </c>
      <c r="Q4063" t="s">
        <v>8472</v>
      </c>
    </row>
    <row r="4064" spans="1:17" x14ac:dyDescent="0.3">
      <c r="A4064" t="s">
        <v>4729</v>
      </c>
      <c r="B4064" t="str">
        <f>"300264"</f>
        <v>300264</v>
      </c>
      <c r="C4064" t="s">
        <v>8473</v>
      </c>
      <c r="D4064" t="s">
        <v>316</v>
      </c>
      <c r="F4064">
        <v>143710708</v>
      </c>
      <c r="G4064">
        <v>244424561</v>
      </c>
      <c r="H4064">
        <v>307673646</v>
      </c>
      <c r="I4064">
        <v>548072221</v>
      </c>
      <c r="J4064">
        <v>541488900</v>
      </c>
      <c r="K4064">
        <v>622863072</v>
      </c>
      <c r="L4064">
        <v>609336053</v>
      </c>
      <c r="M4064">
        <v>620569337</v>
      </c>
      <c r="N4064">
        <v>616991510</v>
      </c>
      <c r="O4064">
        <v>600313696</v>
      </c>
      <c r="P4064">
        <v>132</v>
      </c>
      <c r="Q4064" t="s">
        <v>8474</v>
      </c>
    </row>
    <row r="4065" spans="1:17" x14ac:dyDescent="0.3">
      <c r="A4065" t="s">
        <v>4729</v>
      </c>
      <c r="B4065" t="str">
        <f>"300265"</f>
        <v>300265</v>
      </c>
      <c r="C4065" t="s">
        <v>8475</v>
      </c>
      <c r="D4065" t="s">
        <v>1164</v>
      </c>
      <c r="F4065">
        <v>1307273253</v>
      </c>
      <c r="G4065">
        <v>1288125706</v>
      </c>
      <c r="H4065">
        <v>1020142363</v>
      </c>
      <c r="I4065">
        <v>993491936</v>
      </c>
      <c r="J4065">
        <v>961660096</v>
      </c>
      <c r="K4065">
        <v>936008190</v>
      </c>
      <c r="L4065">
        <v>858810724</v>
      </c>
      <c r="M4065">
        <v>781298830</v>
      </c>
      <c r="N4065">
        <v>763150591</v>
      </c>
      <c r="O4065">
        <v>733974165</v>
      </c>
      <c r="P4065">
        <v>162</v>
      </c>
      <c r="Q4065" t="s">
        <v>8476</v>
      </c>
    </row>
    <row r="4066" spans="1:17" x14ac:dyDescent="0.3">
      <c r="A4066" t="s">
        <v>4729</v>
      </c>
      <c r="B4066" t="str">
        <f>"300266"</f>
        <v>300266</v>
      </c>
      <c r="C4066" t="s">
        <v>8477</v>
      </c>
      <c r="D4066" t="s">
        <v>33</v>
      </c>
      <c r="F4066">
        <v>1848822311</v>
      </c>
      <c r="G4066">
        <v>1919683250</v>
      </c>
      <c r="H4066">
        <v>2505081285</v>
      </c>
      <c r="I4066">
        <v>2470534871</v>
      </c>
      <c r="J4066">
        <v>3771103915</v>
      </c>
      <c r="K4066">
        <v>2887217110</v>
      </c>
      <c r="L4066">
        <v>1138406070</v>
      </c>
      <c r="M4066">
        <v>1028640397</v>
      </c>
      <c r="N4066">
        <v>545822696</v>
      </c>
      <c r="O4066">
        <v>530493321</v>
      </c>
      <c r="P4066">
        <v>145</v>
      </c>
      <c r="Q4066" t="s">
        <v>8478</v>
      </c>
    </row>
    <row r="4067" spans="1:17" x14ac:dyDescent="0.3">
      <c r="A4067" t="s">
        <v>4729</v>
      </c>
      <c r="B4067" t="str">
        <f>"300267"</f>
        <v>300267</v>
      </c>
      <c r="C4067" t="s">
        <v>8479</v>
      </c>
      <c r="D4067" t="s">
        <v>496</v>
      </c>
      <c r="F4067">
        <v>4851211464</v>
      </c>
      <c r="G4067">
        <v>5766463091</v>
      </c>
      <c r="H4067">
        <v>5758877788</v>
      </c>
      <c r="I4067">
        <v>5598971556</v>
      </c>
      <c r="J4067">
        <v>5366689675</v>
      </c>
      <c r="K4067">
        <v>4934675887</v>
      </c>
      <c r="L4067">
        <v>4167802926</v>
      </c>
      <c r="M4067">
        <v>1621723439</v>
      </c>
      <c r="N4067">
        <v>1326746905</v>
      </c>
      <c r="O4067">
        <v>1157792683</v>
      </c>
      <c r="P4067">
        <v>237</v>
      </c>
      <c r="Q4067" t="s">
        <v>8480</v>
      </c>
    </row>
    <row r="4068" spans="1:17" x14ac:dyDescent="0.3">
      <c r="A4068" t="s">
        <v>4729</v>
      </c>
      <c r="B4068" t="str">
        <f>"300268"</f>
        <v>300268</v>
      </c>
      <c r="C4068" t="s">
        <v>8481</v>
      </c>
      <c r="D4068" t="s">
        <v>445</v>
      </c>
      <c r="F4068">
        <v>-668826891</v>
      </c>
      <c r="G4068">
        <v>-371573443</v>
      </c>
      <c r="H4068">
        <v>73395586</v>
      </c>
      <c r="I4068">
        <v>237846948</v>
      </c>
      <c r="J4068">
        <v>213354295</v>
      </c>
      <c r="K4068">
        <v>210900807</v>
      </c>
      <c r="L4068">
        <v>205021122</v>
      </c>
      <c r="M4068">
        <v>304464296</v>
      </c>
      <c r="N4068">
        <v>299356657</v>
      </c>
      <c r="O4068">
        <v>487125853</v>
      </c>
      <c r="P4068">
        <v>87</v>
      </c>
      <c r="Q4068" t="s">
        <v>8482</v>
      </c>
    </row>
    <row r="4069" spans="1:17" x14ac:dyDescent="0.3">
      <c r="A4069" t="s">
        <v>4729</v>
      </c>
      <c r="B4069" t="str">
        <f>"300269"</f>
        <v>300269</v>
      </c>
      <c r="C4069" t="s">
        <v>8483</v>
      </c>
      <c r="D4069" t="s">
        <v>207</v>
      </c>
      <c r="F4069">
        <v>167631042</v>
      </c>
      <c r="G4069">
        <v>113450576</v>
      </c>
      <c r="H4069">
        <v>558121728</v>
      </c>
      <c r="I4069">
        <v>2003390227</v>
      </c>
      <c r="J4069">
        <v>4901212264</v>
      </c>
      <c r="K4069">
        <v>5147230482</v>
      </c>
      <c r="L4069">
        <v>2571554625</v>
      </c>
      <c r="M4069">
        <v>1561382380</v>
      </c>
      <c r="N4069">
        <v>569846822</v>
      </c>
      <c r="O4069">
        <v>570908614</v>
      </c>
      <c r="P4069">
        <v>125</v>
      </c>
      <c r="Q4069" t="s">
        <v>8484</v>
      </c>
    </row>
    <row r="4070" spans="1:17" x14ac:dyDescent="0.3">
      <c r="A4070" t="s">
        <v>4729</v>
      </c>
      <c r="B4070" t="str">
        <f>"300270"</f>
        <v>300270</v>
      </c>
      <c r="C4070" t="s">
        <v>8485</v>
      </c>
      <c r="D4070" t="s">
        <v>2980</v>
      </c>
      <c r="F4070">
        <v>746478223</v>
      </c>
      <c r="G4070">
        <v>792645880</v>
      </c>
      <c r="H4070">
        <v>925440893</v>
      </c>
      <c r="I4070">
        <v>1031542338</v>
      </c>
      <c r="J4070">
        <v>679019338</v>
      </c>
      <c r="K4070">
        <v>626031349</v>
      </c>
      <c r="L4070">
        <v>577498873</v>
      </c>
      <c r="M4070">
        <v>524854131</v>
      </c>
      <c r="N4070">
        <v>475844177</v>
      </c>
      <c r="O4070">
        <v>472570905</v>
      </c>
      <c r="P4070">
        <v>136</v>
      </c>
      <c r="Q4070" t="s">
        <v>8486</v>
      </c>
    </row>
    <row r="4071" spans="1:17" x14ac:dyDescent="0.3">
      <c r="A4071" t="s">
        <v>4729</v>
      </c>
      <c r="B4071" t="str">
        <f>"300271"</f>
        <v>300271</v>
      </c>
      <c r="C4071" t="s">
        <v>8487</v>
      </c>
      <c r="D4071" t="s">
        <v>316</v>
      </c>
      <c r="F4071">
        <v>6684450743</v>
      </c>
      <c r="G4071">
        <v>6462671298</v>
      </c>
      <c r="H4071">
        <v>5936685096</v>
      </c>
      <c r="I4071">
        <v>4248149615</v>
      </c>
      <c r="J4071">
        <v>3703234762</v>
      </c>
      <c r="K4071">
        <v>1798104623</v>
      </c>
      <c r="L4071">
        <v>1521258345</v>
      </c>
      <c r="M4071">
        <v>1119207976</v>
      </c>
      <c r="N4071">
        <v>961984898</v>
      </c>
      <c r="O4071">
        <v>855957305</v>
      </c>
      <c r="P4071">
        <v>590</v>
      </c>
      <c r="Q4071" t="s">
        <v>8488</v>
      </c>
    </row>
    <row r="4072" spans="1:17" x14ac:dyDescent="0.3">
      <c r="A4072" t="s">
        <v>4729</v>
      </c>
      <c r="B4072" t="str">
        <f>"300272"</f>
        <v>300272</v>
      </c>
      <c r="C4072" t="s">
        <v>8489</v>
      </c>
      <c r="D4072" t="s">
        <v>5799</v>
      </c>
      <c r="F4072">
        <v>1202418915</v>
      </c>
      <c r="G4072">
        <v>1172657500</v>
      </c>
      <c r="H4072">
        <v>1195429058</v>
      </c>
      <c r="I4072">
        <v>1156439364</v>
      </c>
      <c r="J4072">
        <v>813759166</v>
      </c>
      <c r="K4072">
        <v>678689528</v>
      </c>
      <c r="L4072">
        <v>608664696</v>
      </c>
      <c r="M4072">
        <v>532507611</v>
      </c>
      <c r="N4072">
        <v>504207835</v>
      </c>
      <c r="O4072">
        <v>472465548</v>
      </c>
      <c r="P4072">
        <v>131</v>
      </c>
      <c r="Q4072" t="s">
        <v>8490</v>
      </c>
    </row>
    <row r="4073" spans="1:17" x14ac:dyDescent="0.3">
      <c r="A4073" t="s">
        <v>4729</v>
      </c>
      <c r="B4073" t="str">
        <f>"300273"</f>
        <v>300273</v>
      </c>
      <c r="C4073" t="s">
        <v>8491</v>
      </c>
      <c r="D4073" t="s">
        <v>122</v>
      </c>
      <c r="F4073">
        <v>2218053024</v>
      </c>
      <c r="G4073">
        <v>2597186075</v>
      </c>
      <c r="H4073">
        <v>2531367645</v>
      </c>
      <c r="I4073">
        <v>2496833857</v>
      </c>
      <c r="J4073">
        <v>2406445357</v>
      </c>
      <c r="K4073">
        <v>2326903490</v>
      </c>
      <c r="L4073">
        <v>2273468386</v>
      </c>
      <c r="M4073">
        <v>1213805376</v>
      </c>
      <c r="N4073">
        <v>1033870564</v>
      </c>
      <c r="O4073">
        <v>920232515</v>
      </c>
      <c r="P4073">
        <v>143</v>
      </c>
      <c r="Q4073" t="s">
        <v>8492</v>
      </c>
    </row>
    <row r="4074" spans="1:17" x14ac:dyDescent="0.3">
      <c r="A4074" t="s">
        <v>4729</v>
      </c>
      <c r="B4074" t="str">
        <f>"300274"</f>
        <v>300274</v>
      </c>
      <c r="C4074" t="s">
        <v>8493</v>
      </c>
      <c r="D4074" t="s">
        <v>3824</v>
      </c>
      <c r="F4074">
        <v>15655063486</v>
      </c>
      <c r="G4074">
        <v>10455904743</v>
      </c>
      <c r="H4074">
        <v>8594198037</v>
      </c>
      <c r="I4074">
        <v>7705933542</v>
      </c>
      <c r="J4074">
        <v>6943775882</v>
      </c>
      <c r="K4074">
        <v>5949438966</v>
      </c>
      <c r="L4074">
        <v>2814074093</v>
      </c>
      <c r="M4074">
        <v>2366511465</v>
      </c>
      <c r="N4074">
        <v>2048194321</v>
      </c>
      <c r="O4074">
        <v>1846463710</v>
      </c>
      <c r="P4074">
        <v>2195</v>
      </c>
      <c r="Q4074" t="s">
        <v>8494</v>
      </c>
    </row>
    <row r="4075" spans="1:17" x14ac:dyDescent="0.3">
      <c r="A4075" t="s">
        <v>4729</v>
      </c>
      <c r="B4075" t="str">
        <f>"300275"</f>
        <v>300275</v>
      </c>
      <c r="C4075" t="s">
        <v>8495</v>
      </c>
      <c r="D4075" t="s">
        <v>395</v>
      </c>
      <c r="F4075">
        <v>724265037</v>
      </c>
      <c r="G4075">
        <v>539269810</v>
      </c>
      <c r="H4075">
        <v>504737445</v>
      </c>
      <c r="I4075">
        <v>480944329</v>
      </c>
      <c r="J4075">
        <v>540600134</v>
      </c>
      <c r="K4075">
        <v>500527643</v>
      </c>
      <c r="L4075">
        <v>585321439</v>
      </c>
      <c r="M4075">
        <v>686589229</v>
      </c>
      <c r="N4075">
        <v>671863542</v>
      </c>
      <c r="O4075">
        <v>562850813</v>
      </c>
      <c r="P4075">
        <v>89</v>
      </c>
      <c r="Q4075" t="s">
        <v>8496</v>
      </c>
    </row>
    <row r="4076" spans="1:17" x14ac:dyDescent="0.3">
      <c r="A4076" t="s">
        <v>4729</v>
      </c>
      <c r="B4076" t="str">
        <f>"300276"</f>
        <v>300276</v>
      </c>
      <c r="C4076" t="s">
        <v>8497</v>
      </c>
      <c r="D4076" t="s">
        <v>2938</v>
      </c>
      <c r="F4076">
        <v>2409295112</v>
      </c>
      <c r="G4076">
        <v>2316763426</v>
      </c>
      <c r="H4076">
        <v>3643732032</v>
      </c>
      <c r="I4076">
        <v>3513606538</v>
      </c>
      <c r="J4076">
        <v>2357188862</v>
      </c>
      <c r="K4076">
        <v>604110832</v>
      </c>
      <c r="L4076">
        <v>592990281</v>
      </c>
      <c r="M4076">
        <v>572915768</v>
      </c>
      <c r="N4076">
        <v>545313154</v>
      </c>
      <c r="O4076">
        <v>529926605</v>
      </c>
      <c r="P4076">
        <v>138</v>
      </c>
      <c r="Q4076" t="s">
        <v>8498</v>
      </c>
    </row>
    <row r="4077" spans="1:17" x14ac:dyDescent="0.3">
      <c r="A4077" t="s">
        <v>4729</v>
      </c>
      <c r="B4077" t="str">
        <f>"300277"</f>
        <v>300277</v>
      </c>
      <c r="C4077" t="s">
        <v>8499</v>
      </c>
      <c r="D4077" t="s">
        <v>316</v>
      </c>
      <c r="F4077">
        <v>484990756</v>
      </c>
      <c r="G4077">
        <v>484102251</v>
      </c>
      <c r="H4077">
        <v>469233357</v>
      </c>
      <c r="I4077">
        <v>478767565</v>
      </c>
      <c r="J4077">
        <v>475774306</v>
      </c>
      <c r="K4077">
        <v>486853723</v>
      </c>
      <c r="L4077">
        <v>464752741</v>
      </c>
      <c r="M4077">
        <v>456035485</v>
      </c>
      <c r="N4077">
        <v>511631818</v>
      </c>
      <c r="O4077">
        <v>527081253</v>
      </c>
      <c r="P4077">
        <v>73</v>
      </c>
      <c r="Q4077" t="s">
        <v>8500</v>
      </c>
    </row>
    <row r="4078" spans="1:17" x14ac:dyDescent="0.3">
      <c r="A4078" t="s">
        <v>4729</v>
      </c>
      <c r="B4078" t="str">
        <f>"300278"</f>
        <v>300278</v>
      </c>
      <c r="C4078" t="s">
        <v>8501</v>
      </c>
      <c r="D4078" t="s">
        <v>2432</v>
      </c>
      <c r="F4078">
        <v>1615012063</v>
      </c>
      <c r="G4078">
        <v>-312869726</v>
      </c>
      <c r="H4078">
        <v>288163788</v>
      </c>
      <c r="I4078">
        <v>1697489260</v>
      </c>
      <c r="J4078">
        <v>1622027477</v>
      </c>
      <c r="K4078">
        <v>1560513978</v>
      </c>
      <c r="L4078">
        <v>1476350916</v>
      </c>
      <c r="M4078">
        <v>1376898352</v>
      </c>
      <c r="N4078">
        <v>547297130</v>
      </c>
      <c r="O4078">
        <v>533574982</v>
      </c>
      <c r="P4078">
        <v>98</v>
      </c>
      <c r="Q4078" t="s">
        <v>8502</v>
      </c>
    </row>
    <row r="4079" spans="1:17" x14ac:dyDescent="0.3">
      <c r="A4079" t="s">
        <v>4729</v>
      </c>
      <c r="B4079" t="str">
        <f>"300279"</f>
        <v>300279</v>
      </c>
      <c r="C4079" t="s">
        <v>8503</v>
      </c>
      <c r="D4079" t="s">
        <v>313</v>
      </c>
      <c r="F4079">
        <v>892373541</v>
      </c>
      <c r="G4079">
        <v>903261474</v>
      </c>
      <c r="H4079">
        <v>904581608</v>
      </c>
      <c r="I4079">
        <v>941893548</v>
      </c>
      <c r="J4079">
        <v>1677627927</v>
      </c>
      <c r="K4079">
        <v>1612146087</v>
      </c>
      <c r="L4079">
        <v>593744849</v>
      </c>
      <c r="M4079">
        <v>583620450</v>
      </c>
      <c r="N4079">
        <v>355134505</v>
      </c>
      <c r="O4079">
        <v>348238829</v>
      </c>
      <c r="P4079">
        <v>166</v>
      </c>
      <c r="Q4079" t="s">
        <v>8504</v>
      </c>
    </row>
    <row r="4080" spans="1:17" x14ac:dyDescent="0.3">
      <c r="A4080" t="s">
        <v>4729</v>
      </c>
      <c r="B4080" t="str">
        <f>"300280"</f>
        <v>300280</v>
      </c>
      <c r="C4080" t="s">
        <v>8505</v>
      </c>
      <c r="D4080" t="s">
        <v>5132</v>
      </c>
      <c r="F4080">
        <v>2203552659</v>
      </c>
      <c r="G4080">
        <v>1905673389</v>
      </c>
      <c r="H4080">
        <v>1808544991</v>
      </c>
      <c r="I4080">
        <v>1223951273</v>
      </c>
      <c r="J4080">
        <v>636710804</v>
      </c>
      <c r="K4080">
        <v>632978916</v>
      </c>
      <c r="L4080">
        <v>632898607</v>
      </c>
      <c r="M4080">
        <v>628418262</v>
      </c>
      <c r="N4080">
        <v>625877614</v>
      </c>
      <c r="O4080">
        <v>629910565</v>
      </c>
      <c r="P4080">
        <v>144</v>
      </c>
      <c r="Q4080" t="s">
        <v>8506</v>
      </c>
    </row>
    <row r="4081" spans="1:17" x14ac:dyDescent="0.3">
      <c r="A4081" t="s">
        <v>4729</v>
      </c>
      <c r="B4081" t="str">
        <f>"300281"</f>
        <v>300281</v>
      </c>
      <c r="C4081" t="s">
        <v>8507</v>
      </c>
      <c r="D4081" t="s">
        <v>741</v>
      </c>
      <c r="F4081">
        <v>1285350478</v>
      </c>
      <c r="G4081">
        <v>1258494264</v>
      </c>
      <c r="H4081">
        <v>1228756707</v>
      </c>
      <c r="I4081">
        <v>1210600911</v>
      </c>
      <c r="J4081">
        <v>1196601961</v>
      </c>
      <c r="K4081">
        <v>741196815</v>
      </c>
      <c r="L4081">
        <v>717095027</v>
      </c>
      <c r="M4081">
        <v>680108726</v>
      </c>
      <c r="N4081">
        <v>617165619</v>
      </c>
      <c r="O4081">
        <v>574085489</v>
      </c>
      <c r="P4081">
        <v>48</v>
      </c>
      <c r="Q4081" t="s">
        <v>8508</v>
      </c>
    </row>
    <row r="4082" spans="1:17" x14ac:dyDescent="0.3">
      <c r="A4082" t="s">
        <v>4729</v>
      </c>
      <c r="B4082" t="str">
        <f>"300282"</f>
        <v>300282</v>
      </c>
      <c r="C4082" t="s">
        <v>8509</v>
      </c>
      <c r="D4082" t="s">
        <v>1285</v>
      </c>
      <c r="F4082">
        <v>1579200471</v>
      </c>
      <c r="G4082">
        <v>1747238887</v>
      </c>
      <c r="H4082">
        <v>2482480292</v>
      </c>
      <c r="I4082">
        <v>2476443938</v>
      </c>
      <c r="J4082">
        <v>2364736078</v>
      </c>
      <c r="K4082">
        <v>1888279105</v>
      </c>
      <c r="L4082">
        <v>1233221572</v>
      </c>
      <c r="M4082">
        <v>1347524406</v>
      </c>
      <c r="N4082">
        <v>282372566</v>
      </c>
      <c r="O4082">
        <v>295680925</v>
      </c>
      <c r="P4082">
        <v>100</v>
      </c>
      <c r="Q4082" t="s">
        <v>8510</v>
      </c>
    </row>
    <row r="4083" spans="1:17" x14ac:dyDescent="0.3">
      <c r="A4083" t="s">
        <v>4729</v>
      </c>
      <c r="B4083" t="str">
        <f>"300283"</f>
        <v>300283</v>
      </c>
      <c r="C4083" t="s">
        <v>8511</v>
      </c>
      <c r="D4083" t="s">
        <v>657</v>
      </c>
      <c r="F4083">
        <v>819952478</v>
      </c>
      <c r="G4083">
        <v>763627804</v>
      </c>
      <c r="H4083">
        <v>614032196</v>
      </c>
      <c r="I4083">
        <v>584692336</v>
      </c>
      <c r="J4083">
        <v>565771090</v>
      </c>
      <c r="K4083">
        <v>563819572</v>
      </c>
      <c r="L4083">
        <v>544193092</v>
      </c>
      <c r="M4083">
        <v>559193640</v>
      </c>
      <c r="N4083">
        <v>536850982</v>
      </c>
      <c r="O4083">
        <v>539861353</v>
      </c>
      <c r="P4083">
        <v>58</v>
      </c>
      <c r="Q4083" t="s">
        <v>8512</v>
      </c>
    </row>
    <row r="4084" spans="1:17" x14ac:dyDescent="0.3">
      <c r="A4084" t="s">
        <v>4729</v>
      </c>
      <c r="B4084" t="str">
        <f>"300284"</f>
        <v>300284</v>
      </c>
      <c r="C4084" t="s">
        <v>8513</v>
      </c>
      <c r="D4084" t="s">
        <v>1272</v>
      </c>
      <c r="F4084">
        <v>7711207175</v>
      </c>
      <c r="G4084">
        <v>5098393657</v>
      </c>
      <c r="H4084">
        <v>4819734077</v>
      </c>
      <c r="I4084">
        <v>4242573290</v>
      </c>
      <c r="J4084">
        <v>3709433257</v>
      </c>
      <c r="K4084">
        <v>3019399633</v>
      </c>
      <c r="L4084">
        <v>2643195509</v>
      </c>
      <c r="M4084">
        <v>1978992118</v>
      </c>
      <c r="N4084">
        <v>1553016722</v>
      </c>
      <c r="O4084">
        <v>1402025372</v>
      </c>
      <c r="P4084">
        <v>274</v>
      </c>
      <c r="Q4084" t="s">
        <v>8514</v>
      </c>
    </row>
    <row r="4085" spans="1:17" x14ac:dyDescent="0.3">
      <c r="A4085" t="s">
        <v>4729</v>
      </c>
      <c r="B4085" t="str">
        <f>"300285"</f>
        <v>300285</v>
      </c>
      <c r="C4085" t="s">
        <v>8515</v>
      </c>
      <c r="D4085" t="s">
        <v>386</v>
      </c>
      <c r="F4085">
        <v>5724865185</v>
      </c>
      <c r="G4085">
        <v>4995224064</v>
      </c>
      <c r="H4085">
        <v>3652265871</v>
      </c>
      <c r="I4085">
        <v>3215925330</v>
      </c>
      <c r="J4085">
        <v>1903306661</v>
      </c>
      <c r="K4085">
        <v>1688403736</v>
      </c>
      <c r="L4085">
        <v>800118414</v>
      </c>
      <c r="M4085">
        <v>720061513</v>
      </c>
      <c r="N4085">
        <v>648441358</v>
      </c>
      <c r="O4085">
        <v>554305073</v>
      </c>
      <c r="P4085">
        <v>1537</v>
      </c>
      <c r="Q4085" t="s">
        <v>8516</v>
      </c>
    </row>
    <row r="4086" spans="1:17" x14ac:dyDescent="0.3">
      <c r="A4086" t="s">
        <v>4729</v>
      </c>
      <c r="B4086" t="str">
        <f>"300286"</f>
        <v>300286</v>
      </c>
      <c r="C4086" t="s">
        <v>8517</v>
      </c>
      <c r="D4086" t="s">
        <v>2180</v>
      </c>
      <c r="F4086">
        <v>979355824</v>
      </c>
      <c r="G4086">
        <v>816173138</v>
      </c>
      <c r="H4086">
        <v>758398212</v>
      </c>
      <c r="I4086">
        <v>738078569</v>
      </c>
      <c r="J4086">
        <v>673230186</v>
      </c>
      <c r="K4086">
        <v>593594598</v>
      </c>
      <c r="L4086">
        <v>537064907</v>
      </c>
      <c r="M4086">
        <v>490351532</v>
      </c>
      <c r="N4086">
        <v>459057427</v>
      </c>
      <c r="O4086">
        <v>391492527</v>
      </c>
      <c r="P4086">
        <v>272</v>
      </c>
      <c r="Q4086" t="s">
        <v>8518</v>
      </c>
    </row>
    <row r="4087" spans="1:17" x14ac:dyDescent="0.3">
      <c r="A4087" t="s">
        <v>4729</v>
      </c>
      <c r="B4087" t="str">
        <f>"300287"</f>
        <v>300287</v>
      </c>
      <c r="C4087" t="s">
        <v>8519</v>
      </c>
      <c r="D4087" t="s">
        <v>316</v>
      </c>
      <c r="F4087">
        <v>2131278335</v>
      </c>
      <c r="G4087">
        <v>2395154264</v>
      </c>
      <c r="H4087">
        <v>3807470689</v>
      </c>
      <c r="I4087">
        <v>3766587355</v>
      </c>
      <c r="J4087">
        <v>5807621159</v>
      </c>
      <c r="K4087">
        <v>5472462020</v>
      </c>
      <c r="L4087">
        <v>2956921537</v>
      </c>
      <c r="M4087">
        <v>1208027706</v>
      </c>
      <c r="N4087">
        <v>540579060</v>
      </c>
      <c r="O4087">
        <v>484676568</v>
      </c>
      <c r="P4087">
        <v>288</v>
      </c>
      <c r="Q4087" t="s">
        <v>8520</v>
      </c>
    </row>
    <row r="4088" spans="1:17" x14ac:dyDescent="0.3">
      <c r="A4088" t="s">
        <v>4729</v>
      </c>
      <c r="B4088" t="str">
        <f>"300288"</f>
        <v>300288</v>
      </c>
      <c r="C4088" t="s">
        <v>8521</v>
      </c>
      <c r="D4088" t="s">
        <v>316</v>
      </c>
      <c r="F4088">
        <v>1470057415</v>
      </c>
      <c r="G4088">
        <v>1411762775</v>
      </c>
      <c r="H4088">
        <v>1367083665</v>
      </c>
      <c r="I4088">
        <v>1318071368</v>
      </c>
      <c r="J4088">
        <v>1212028171</v>
      </c>
      <c r="K4088">
        <v>1130124648</v>
      </c>
      <c r="L4088">
        <v>980292020</v>
      </c>
      <c r="M4088">
        <v>879759407</v>
      </c>
      <c r="N4088">
        <v>525474696</v>
      </c>
      <c r="O4088">
        <v>485191057</v>
      </c>
      <c r="P4088">
        <v>221</v>
      </c>
      <c r="Q4088" t="s">
        <v>8522</v>
      </c>
    </row>
    <row r="4089" spans="1:17" x14ac:dyDescent="0.3">
      <c r="A4089" t="s">
        <v>4729</v>
      </c>
      <c r="B4089" t="str">
        <f>"300289"</f>
        <v>300289</v>
      </c>
      <c r="C4089" t="s">
        <v>8523</v>
      </c>
      <c r="D4089" t="s">
        <v>1305</v>
      </c>
      <c r="F4089">
        <v>1835030234</v>
      </c>
      <c r="G4089">
        <v>1261642033</v>
      </c>
      <c r="H4089">
        <v>1316803219</v>
      </c>
      <c r="I4089">
        <v>1310494035</v>
      </c>
      <c r="J4089">
        <v>1310131928</v>
      </c>
      <c r="K4089">
        <v>1241669101</v>
      </c>
      <c r="L4089">
        <v>1186955824</v>
      </c>
      <c r="M4089">
        <v>964511113</v>
      </c>
      <c r="N4089">
        <v>851123580</v>
      </c>
      <c r="O4089">
        <v>761019570</v>
      </c>
      <c r="P4089">
        <v>132</v>
      </c>
      <c r="Q4089" t="s">
        <v>8524</v>
      </c>
    </row>
    <row r="4090" spans="1:17" x14ac:dyDescent="0.3">
      <c r="A4090" t="s">
        <v>4729</v>
      </c>
      <c r="B4090" t="str">
        <f>"300290"</f>
        <v>300290</v>
      </c>
      <c r="C4090" t="s">
        <v>8525</v>
      </c>
      <c r="D4090" t="s">
        <v>316</v>
      </c>
      <c r="F4090">
        <v>1037189051</v>
      </c>
      <c r="G4090">
        <v>1365823220</v>
      </c>
      <c r="H4090">
        <v>1089816314</v>
      </c>
      <c r="I4090">
        <v>889734870</v>
      </c>
      <c r="J4090">
        <v>709654901</v>
      </c>
      <c r="K4090">
        <v>882124184</v>
      </c>
      <c r="L4090">
        <v>855317558</v>
      </c>
      <c r="M4090">
        <v>432593036</v>
      </c>
      <c r="N4090">
        <v>386504021</v>
      </c>
      <c r="O4090">
        <v>343539907</v>
      </c>
      <c r="P4090">
        <v>113</v>
      </c>
      <c r="Q4090" t="s">
        <v>8526</v>
      </c>
    </row>
    <row r="4091" spans="1:17" x14ac:dyDescent="0.3">
      <c r="A4091" t="s">
        <v>4729</v>
      </c>
      <c r="B4091" t="str">
        <f>"300291"</f>
        <v>300291</v>
      </c>
      <c r="C4091" t="s">
        <v>8527</v>
      </c>
      <c r="D4091" t="s">
        <v>113</v>
      </c>
      <c r="F4091">
        <v>3702941559</v>
      </c>
      <c r="G4091">
        <v>3604240736</v>
      </c>
      <c r="H4091">
        <v>3078119882</v>
      </c>
      <c r="I4091">
        <v>2958613112</v>
      </c>
      <c r="J4091">
        <v>6398822180</v>
      </c>
      <c r="K4091">
        <v>6369877875</v>
      </c>
      <c r="L4091">
        <v>3874945876</v>
      </c>
      <c r="M4091">
        <v>3643470550</v>
      </c>
      <c r="N4091">
        <v>1036914847</v>
      </c>
      <c r="O4091">
        <v>949549032</v>
      </c>
      <c r="P4091">
        <v>93</v>
      </c>
      <c r="Q4091" t="s">
        <v>8528</v>
      </c>
    </row>
    <row r="4092" spans="1:17" x14ac:dyDescent="0.3">
      <c r="A4092" t="s">
        <v>4729</v>
      </c>
      <c r="B4092" t="str">
        <f>"300292"</f>
        <v>300292</v>
      </c>
      <c r="C4092" t="s">
        <v>8529</v>
      </c>
      <c r="D4092" t="s">
        <v>5670</v>
      </c>
      <c r="F4092">
        <v>1245301191</v>
      </c>
      <c r="G4092">
        <v>1061298590</v>
      </c>
      <c r="H4092">
        <v>1570607104</v>
      </c>
      <c r="I4092">
        <v>1502923416</v>
      </c>
      <c r="J4092">
        <v>2721028061</v>
      </c>
      <c r="K4092">
        <v>2544824005</v>
      </c>
      <c r="L4092">
        <v>2393409957</v>
      </c>
      <c r="M4092">
        <v>983061438</v>
      </c>
      <c r="N4092">
        <v>468030339</v>
      </c>
      <c r="O4092">
        <v>331167029</v>
      </c>
      <c r="P4092">
        <v>205</v>
      </c>
      <c r="Q4092" t="s">
        <v>8530</v>
      </c>
    </row>
    <row r="4093" spans="1:17" x14ac:dyDescent="0.3">
      <c r="A4093" t="s">
        <v>4729</v>
      </c>
      <c r="B4093" t="str">
        <f>"300293"</f>
        <v>300293</v>
      </c>
      <c r="C4093" t="s">
        <v>8531</v>
      </c>
      <c r="D4093" t="s">
        <v>741</v>
      </c>
      <c r="F4093">
        <v>516855256</v>
      </c>
      <c r="G4093">
        <v>600415249</v>
      </c>
      <c r="H4093">
        <v>785935221</v>
      </c>
      <c r="I4093">
        <v>776204411</v>
      </c>
      <c r="J4093">
        <v>736535426</v>
      </c>
      <c r="K4093">
        <v>662828681</v>
      </c>
      <c r="L4093">
        <v>673438954</v>
      </c>
      <c r="M4093">
        <v>756188165</v>
      </c>
      <c r="N4093">
        <v>700312167</v>
      </c>
      <c r="O4093">
        <v>616937223</v>
      </c>
      <c r="P4093">
        <v>112</v>
      </c>
      <c r="Q4093" t="s">
        <v>8532</v>
      </c>
    </row>
    <row r="4094" spans="1:17" x14ac:dyDescent="0.3">
      <c r="A4094" t="s">
        <v>4729</v>
      </c>
      <c r="B4094" t="str">
        <f>"300294"</f>
        <v>300294</v>
      </c>
      <c r="C4094" t="s">
        <v>8533</v>
      </c>
      <c r="D4094" t="s">
        <v>378</v>
      </c>
      <c r="F4094">
        <v>6829074244</v>
      </c>
      <c r="G4094">
        <v>4107903651</v>
      </c>
      <c r="H4094">
        <v>3911734528</v>
      </c>
      <c r="I4094">
        <v>3704659616</v>
      </c>
      <c r="J4094">
        <v>2425746385</v>
      </c>
      <c r="K4094">
        <v>2093396642</v>
      </c>
      <c r="L4094">
        <v>1874831793</v>
      </c>
      <c r="M4094">
        <v>858386497</v>
      </c>
      <c r="N4094">
        <v>792106799</v>
      </c>
      <c r="O4094">
        <v>751603673</v>
      </c>
      <c r="P4094">
        <v>495</v>
      </c>
      <c r="Q4094" t="s">
        <v>8534</v>
      </c>
    </row>
    <row r="4095" spans="1:17" x14ac:dyDescent="0.3">
      <c r="A4095" t="s">
        <v>4729</v>
      </c>
      <c r="B4095" t="str">
        <f>"300295"</f>
        <v>300295</v>
      </c>
      <c r="C4095" t="s">
        <v>8535</v>
      </c>
      <c r="D4095" t="s">
        <v>522</v>
      </c>
      <c r="F4095">
        <v>1307320937</v>
      </c>
      <c r="G4095">
        <v>1285014127</v>
      </c>
      <c r="H4095">
        <v>1246728169</v>
      </c>
      <c r="I4095">
        <v>1189476090</v>
      </c>
      <c r="J4095">
        <v>1106852905</v>
      </c>
      <c r="K4095">
        <v>1025678492</v>
      </c>
      <c r="L4095">
        <v>916015291</v>
      </c>
      <c r="M4095">
        <v>789605841</v>
      </c>
      <c r="N4095">
        <v>735132136</v>
      </c>
      <c r="O4095">
        <v>674098141</v>
      </c>
      <c r="P4095">
        <v>100</v>
      </c>
      <c r="Q4095" t="s">
        <v>8536</v>
      </c>
    </row>
    <row r="4096" spans="1:17" x14ac:dyDescent="0.3">
      <c r="A4096" t="s">
        <v>4729</v>
      </c>
      <c r="B4096" t="str">
        <f>"300296"</f>
        <v>300296</v>
      </c>
      <c r="C4096" t="s">
        <v>8537</v>
      </c>
      <c r="D4096" t="s">
        <v>803</v>
      </c>
      <c r="F4096">
        <v>7773885644</v>
      </c>
      <c r="G4096">
        <v>7229013174</v>
      </c>
      <c r="H4096">
        <v>8384979735</v>
      </c>
      <c r="I4096">
        <v>7758843222</v>
      </c>
      <c r="J4096">
        <v>5619886784</v>
      </c>
      <c r="K4096">
        <v>4454030030</v>
      </c>
      <c r="L4096">
        <v>2368738999</v>
      </c>
      <c r="M4096">
        <v>1101558885</v>
      </c>
      <c r="N4096">
        <v>736004558</v>
      </c>
      <c r="O4096">
        <v>665054367</v>
      </c>
      <c r="P4096">
        <v>1699</v>
      </c>
      <c r="Q4096" t="s">
        <v>8538</v>
      </c>
    </row>
    <row r="4097" spans="1:17" x14ac:dyDescent="0.3">
      <c r="A4097" t="s">
        <v>4729</v>
      </c>
      <c r="B4097" t="str">
        <f>"300297"</f>
        <v>300297</v>
      </c>
      <c r="C4097" t="s">
        <v>8539</v>
      </c>
      <c r="D4097" t="s">
        <v>316</v>
      </c>
      <c r="F4097">
        <v>1172212291</v>
      </c>
      <c r="G4097">
        <v>2739103425</v>
      </c>
      <c r="H4097">
        <v>3831465388</v>
      </c>
      <c r="I4097">
        <v>4351603311</v>
      </c>
      <c r="J4097">
        <v>3982961122</v>
      </c>
      <c r="K4097">
        <v>3571638334</v>
      </c>
      <c r="L4097">
        <v>1242745945</v>
      </c>
      <c r="M4097">
        <v>713228490</v>
      </c>
      <c r="N4097">
        <v>680865700</v>
      </c>
      <c r="O4097">
        <v>654782418</v>
      </c>
      <c r="P4097">
        <v>342</v>
      </c>
      <c r="Q4097" t="s">
        <v>8540</v>
      </c>
    </row>
    <row r="4098" spans="1:17" x14ac:dyDescent="0.3">
      <c r="A4098" t="s">
        <v>4729</v>
      </c>
      <c r="B4098" t="str">
        <f>"300298"</f>
        <v>300298</v>
      </c>
      <c r="C4098" t="s">
        <v>8541</v>
      </c>
      <c r="D4098" t="s">
        <v>122</v>
      </c>
      <c r="F4098">
        <v>2661330677</v>
      </c>
      <c r="G4098">
        <v>2609461014</v>
      </c>
      <c r="H4098">
        <v>2648940899</v>
      </c>
      <c r="I4098">
        <v>2622996241</v>
      </c>
      <c r="J4098">
        <v>1389593624</v>
      </c>
      <c r="K4098">
        <v>1275231454</v>
      </c>
      <c r="L4098">
        <v>1236819027</v>
      </c>
      <c r="M4098">
        <v>1111273177</v>
      </c>
      <c r="N4098">
        <v>946011730</v>
      </c>
      <c r="O4098">
        <v>845175354</v>
      </c>
      <c r="P4098">
        <v>619</v>
      </c>
      <c r="Q4098" t="s">
        <v>8542</v>
      </c>
    </row>
    <row r="4099" spans="1:17" x14ac:dyDescent="0.3">
      <c r="A4099" t="s">
        <v>4729</v>
      </c>
      <c r="B4099" t="str">
        <f>"300299"</f>
        <v>300299</v>
      </c>
      <c r="C4099" t="s">
        <v>8543</v>
      </c>
      <c r="D4099" t="s">
        <v>517</v>
      </c>
      <c r="F4099">
        <v>524040333</v>
      </c>
      <c r="G4099">
        <v>449043530</v>
      </c>
      <c r="H4099">
        <v>499647489</v>
      </c>
      <c r="I4099">
        <v>1250717854</v>
      </c>
      <c r="J4099">
        <v>1244958060</v>
      </c>
      <c r="K4099">
        <v>1414204452</v>
      </c>
      <c r="L4099">
        <v>1323255328</v>
      </c>
      <c r="M4099">
        <v>405323720</v>
      </c>
      <c r="N4099">
        <v>392795204</v>
      </c>
      <c r="O4099">
        <v>386073278</v>
      </c>
      <c r="P4099">
        <v>187</v>
      </c>
      <c r="Q4099" t="s">
        <v>8544</v>
      </c>
    </row>
    <row r="4100" spans="1:17" x14ac:dyDescent="0.3">
      <c r="A4100" t="s">
        <v>4729</v>
      </c>
      <c r="B4100" t="str">
        <f>"300300"</f>
        <v>300300</v>
      </c>
      <c r="C4100" t="s">
        <v>8545</v>
      </c>
      <c r="D4100" t="s">
        <v>316</v>
      </c>
      <c r="F4100">
        <v>542378453</v>
      </c>
      <c r="G4100">
        <v>909408274</v>
      </c>
      <c r="H4100">
        <v>1523952080</v>
      </c>
      <c r="I4100">
        <v>2348035971</v>
      </c>
      <c r="J4100">
        <v>2144025573</v>
      </c>
      <c r="K4100">
        <v>2177521996</v>
      </c>
      <c r="L4100">
        <v>786795962</v>
      </c>
      <c r="M4100">
        <v>725778774</v>
      </c>
      <c r="N4100">
        <v>633381612</v>
      </c>
      <c r="O4100">
        <v>585069071</v>
      </c>
      <c r="P4100">
        <v>121</v>
      </c>
      <c r="Q4100" t="s">
        <v>8546</v>
      </c>
    </row>
    <row r="4101" spans="1:17" x14ac:dyDescent="0.3">
      <c r="A4101" t="s">
        <v>4729</v>
      </c>
      <c r="B4101" t="str">
        <f>"300301"</f>
        <v>300301</v>
      </c>
      <c r="C4101" t="s">
        <v>8547</v>
      </c>
      <c r="D4101" t="s">
        <v>803</v>
      </c>
      <c r="F4101">
        <v>786295402</v>
      </c>
      <c r="G4101">
        <v>1156305189</v>
      </c>
      <c r="H4101">
        <v>1191936026</v>
      </c>
      <c r="I4101">
        <v>1619443298</v>
      </c>
      <c r="J4101">
        <v>2165531815</v>
      </c>
      <c r="K4101">
        <v>2125742009</v>
      </c>
      <c r="L4101">
        <v>1406861562</v>
      </c>
      <c r="M4101">
        <v>787710605</v>
      </c>
      <c r="N4101">
        <v>757450784</v>
      </c>
      <c r="O4101">
        <v>716838158</v>
      </c>
      <c r="P4101">
        <v>75</v>
      </c>
      <c r="Q4101" t="s">
        <v>8548</v>
      </c>
    </row>
    <row r="4102" spans="1:17" x14ac:dyDescent="0.3">
      <c r="A4102" t="s">
        <v>4729</v>
      </c>
      <c r="B4102" t="str">
        <f>"300302"</f>
        <v>300302</v>
      </c>
      <c r="C4102" t="s">
        <v>8549</v>
      </c>
      <c r="D4102" t="s">
        <v>236</v>
      </c>
      <c r="F4102">
        <v>1502011397</v>
      </c>
      <c r="G4102">
        <v>1418504343</v>
      </c>
      <c r="H4102">
        <v>1170307973</v>
      </c>
      <c r="I4102">
        <v>816652110</v>
      </c>
      <c r="J4102">
        <v>769466683</v>
      </c>
      <c r="K4102">
        <v>719963021</v>
      </c>
      <c r="L4102">
        <v>573684558</v>
      </c>
      <c r="M4102">
        <v>505120077</v>
      </c>
      <c r="N4102">
        <v>482188440</v>
      </c>
      <c r="O4102">
        <v>467366691</v>
      </c>
      <c r="P4102">
        <v>146</v>
      </c>
      <c r="Q4102" t="s">
        <v>8550</v>
      </c>
    </row>
    <row r="4103" spans="1:17" x14ac:dyDescent="0.3">
      <c r="A4103" t="s">
        <v>4729</v>
      </c>
      <c r="B4103" t="str">
        <f>"300303"</f>
        <v>300303</v>
      </c>
      <c r="C4103" t="s">
        <v>8551</v>
      </c>
      <c r="D4103" t="s">
        <v>803</v>
      </c>
      <c r="F4103">
        <v>2843296615</v>
      </c>
      <c r="G4103">
        <v>2403562187</v>
      </c>
      <c r="H4103">
        <v>2205612964</v>
      </c>
      <c r="I4103">
        <v>1923103073</v>
      </c>
      <c r="J4103">
        <v>1825623100</v>
      </c>
      <c r="K4103">
        <v>1823203639</v>
      </c>
      <c r="L4103">
        <v>1698040977</v>
      </c>
      <c r="M4103">
        <v>1051351315</v>
      </c>
      <c r="N4103">
        <v>915893907</v>
      </c>
      <c r="O4103">
        <v>805358248</v>
      </c>
      <c r="P4103">
        <v>256</v>
      </c>
      <c r="Q4103" t="s">
        <v>8552</v>
      </c>
    </row>
    <row r="4104" spans="1:17" x14ac:dyDescent="0.3">
      <c r="A4104" t="s">
        <v>4729</v>
      </c>
      <c r="B4104" t="str">
        <f>"300304"</f>
        <v>300304</v>
      </c>
      <c r="C4104" t="s">
        <v>8553</v>
      </c>
      <c r="D4104" t="s">
        <v>1415</v>
      </c>
      <c r="F4104">
        <v>2373942284</v>
      </c>
      <c r="G4104">
        <v>2149909135</v>
      </c>
      <c r="H4104">
        <v>1978912975</v>
      </c>
      <c r="I4104">
        <v>1857381526</v>
      </c>
      <c r="J4104">
        <v>1713513614</v>
      </c>
      <c r="K4104">
        <v>1582256180</v>
      </c>
      <c r="L4104">
        <v>981762728</v>
      </c>
      <c r="M4104">
        <v>951086250</v>
      </c>
      <c r="N4104">
        <v>898312006</v>
      </c>
      <c r="O4104">
        <v>834386863</v>
      </c>
      <c r="P4104">
        <v>114</v>
      </c>
      <c r="Q4104" t="s">
        <v>8554</v>
      </c>
    </row>
    <row r="4105" spans="1:17" x14ac:dyDescent="0.3">
      <c r="A4105" t="s">
        <v>4729</v>
      </c>
      <c r="B4105" t="str">
        <f>"300305"</f>
        <v>300305</v>
      </c>
      <c r="C4105" t="s">
        <v>8555</v>
      </c>
      <c r="D4105" t="s">
        <v>324</v>
      </c>
      <c r="F4105">
        <v>1818017935</v>
      </c>
      <c r="G4105">
        <v>1673120540</v>
      </c>
      <c r="H4105">
        <v>1509602193</v>
      </c>
      <c r="I4105">
        <v>1482585759</v>
      </c>
      <c r="J4105">
        <v>1440492022</v>
      </c>
      <c r="K4105">
        <v>1399914345</v>
      </c>
      <c r="L4105">
        <v>1331604499</v>
      </c>
      <c r="M4105">
        <v>1248866698</v>
      </c>
      <c r="N4105">
        <v>1196083434</v>
      </c>
      <c r="O4105">
        <v>1164328046</v>
      </c>
      <c r="P4105">
        <v>147</v>
      </c>
      <c r="Q4105" t="s">
        <v>8556</v>
      </c>
    </row>
    <row r="4106" spans="1:17" x14ac:dyDescent="0.3">
      <c r="A4106" t="s">
        <v>4729</v>
      </c>
      <c r="B4106" t="str">
        <f>"300306"</f>
        <v>300306</v>
      </c>
      <c r="C4106" t="s">
        <v>8557</v>
      </c>
      <c r="D4106" t="s">
        <v>2566</v>
      </c>
      <c r="F4106">
        <v>1497129380</v>
      </c>
      <c r="G4106">
        <v>1426482263</v>
      </c>
      <c r="H4106">
        <v>1402570141</v>
      </c>
      <c r="I4106">
        <v>1420355994</v>
      </c>
      <c r="J4106">
        <v>1957477639</v>
      </c>
      <c r="K4106">
        <v>1854399195</v>
      </c>
      <c r="L4106">
        <v>1077117221</v>
      </c>
      <c r="M4106">
        <v>1044061113</v>
      </c>
      <c r="N4106">
        <v>975963715</v>
      </c>
      <c r="O4106">
        <v>884250613</v>
      </c>
      <c r="P4106">
        <v>169</v>
      </c>
      <c r="Q4106" t="s">
        <v>8558</v>
      </c>
    </row>
    <row r="4107" spans="1:17" x14ac:dyDescent="0.3">
      <c r="A4107" t="s">
        <v>4729</v>
      </c>
      <c r="B4107" t="str">
        <f>"300307"</f>
        <v>300307</v>
      </c>
      <c r="C4107" t="s">
        <v>8559</v>
      </c>
      <c r="D4107" t="s">
        <v>534</v>
      </c>
      <c r="F4107">
        <v>2647559973</v>
      </c>
      <c r="G4107">
        <v>2559489118</v>
      </c>
      <c r="H4107">
        <v>3188950932</v>
      </c>
      <c r="I4107">
        <v>4047371607</v>
      </c>
      <c r="J4107">
        <v>4053097941</v>
      </c>
      <c r="K4107">
        <v>3911780432</v>
      </c>
      <c r="L4107">
        <v>3850616853</v>
      </c>
      <c r="M4107">
        <v>3746310192</v>
      </c>
      <c r="N4107">
        <v>4176174863</v>
      </c>
      <c r="O4107">
        <v>3975090918</v>
      </c>
      <c r="P4107">
        <v>2981</v>
      </c>
      <c r="Q4107" t="s">
        <v>8560</v>
      </c>
    </row>
    <row r="4108" spans="1:17" x14ac:dyDescent="0.3">
      <c r="A4108" t="s">
        <v>4729</v>
      </c>
      <c r="B4108" t="str">
        <f>"300308"</f>
        <v>300308</v>
      </c>
      <c r="C4108" t="s">
        <v>8561</v>
      </c>
      <c r="D4108" t="s">
        <v>1019</v>
      </c>
      <c r="F4108">
        <v>11488951903</v>
      </c>
      <c r="G4108">
        <v>7889217845</v>
      </c>
      <c r="H4108">
        <v>6926216477</v>
      </c>
      <c r="I4108">
        <v>4776481631</v>
      </c>
      <c r="J4108">
        <v>4005858286</v>
      </c>
      <c r="K4108">
        <v>555782210</v>
      </c>
      <c r="L4108">
        <v>548207176</v>
      </c>
      <c r="M4108">
        <v>544957414</v>
      </c>
      <c r="N4108">
        <v>529337636</v>
      </c>
      <c r="O4108">
        <v>520917819</v>
      </c>
      <c r="P4108">
        <v>814</v>
      </c>
      <c r="Q4108" t="s">
        <v>8562</v>
      </c>
    </row>
    <row r="4109" spans="1:17" x14ac:dyDescent="0.3">
      <c r="A4109" t="s">
        <v>4729</v>
      </c>
      <c r="B4109" t="str">
        <f>"300309"</f>
        <v>300309</v>
      </c>
      <c r="C4109" t="s">
        <v>8563</v>
      </c>
      <c r="D4109" t="s">
        <v>116</v>
      </c>
      <c r="F4109">
        <v>-795881990</v>
      </c>
      <c r="G4109">
        <v>97792115</v>
      </c>
      <c r="H4109">
        <v>674816814</v>
      </c>
      <c r="I4109">
        <v>1876679260</v>
      </c>
      <c r="J4109">
        <v>1666853291</v>
      </c>
      <c r="K4109">
        <v>1390196915</v>
      </c>
      <c r="L4109">
        <v>1300621265</v>
      </c>
      <c r="M4109">
        <v>1304431230</v>
      </c>
      <c r="N4109">
        <v>1240645663</v>
      </c>
      <c r="O4109">
        <v>1184171674</v>
      </c>
      <c r="P4109">
        <v>108</v>
      </c>
      <c r="Q4109" t="s">
        <v>8564</v>
      </c>
    </row>
    <row r="4110" spans="1:17" x14ac:dyDescent="0.3">
      <c r="A4110" t="s">
        <v>4729</v>
      </c>
      <c r="B4110" t="str">
        <f>"300310"</f>
        <v>300310</v>
      </c>
      <c r="C4110" t="s">
        <v>8565</v>
      </c>
      <c r="D4110" t="s">
        <v>654</v>
      </c>
      <c r="F4110">
        <v>1781365171</v>
      </c>
      <c r="G4110">
        <v>1746283639</v>
      </c>
      <c r="H4110">
        <v>1757462911</v>
      </c>
      <c r="I4110">
        <v>1543586677</v>
      </c>
      <c r="J4110">
        <v>3560279713</v>
      </c>
      <c r="K4110">
        <v>2357357762</v>
      </c>
      <c r="L4110">
        <v>726921001</v>
      </c>
      <c r="M4110">
        <v>675775183</v>
      </c>
      <c r="N4110">
        <v>637056306</v>
      </c>
      <c r="O4110">
        <v>598524223</v>
      </c>
      <c r="P4110">
        <v>257</v>
      </c>
      <c r="Q4110" t="s">
        <v>8566</v>
      </c>
    </row>
    <row r="4111" spans="1:17" x14ac:dyDescent="0.3">
      <c r="A4111" t="s">
        <v>4729</v>
      </c>
      <c r="B4111" t="str">
        <f>"300311"</f>
        <v>300311</v>
      </c>
      <c r="C4111" t="s">
        <v>8567</v>
      </c>
      <c r="D4111" t="s">
        <v>1189</v>
      </c>
      <c r="F4111">
        <v>865772309</v>
      </c>
      <c r="G4111">
        <v>903049435</v>
      </c>
      <c r="H4111">
        <v>884540140</v>
      </c>
      <c r="I4111">
        <v>986763415</v>
      </c>
      <c r="J4111">
        <v>1223911172</v>
      </c>
      <c r="K4111">
        <v>1236960194</v>
      </c>
      <c r="L4111">
        <v>1117709700</v>
      </c>
      <c r="M4111">
        <v>456421703</v>
      </c>
      <c r="N4111">
        <v>418499479</v>
      </c>
      <c r="O4111">
        <v>405529804</v>
      </c>
      <c r="P4111">
        <v>161</v>
      </c>
      <c r="Q4111" t="s">
        <v>8568</v>
      </c>
    </row>
    <row r="4112" spans="1:17" x14ac:dyDescent="0.3">
      <c r="A4112" t="s">
        <v>4729</v>
      </c>
      <c r="B4112" t="str">
        <f>"300312"</f>
        <v>300312</v>
      </c>
      <c r="C4112" t="s">
        <v>8569</v>
      </c>
      <c r="D4112" t="s">
        <v>1019</v>
      </c>
      <c r="G4112">
        <v>-199891697</v>
      </c>
      <c r="H4112">
        <v>90744891</v>
      </c>
      <c r="I4112">
        <v>85566296</v>
      </c>
      <c r="J4112">
        <v>643818354</v>
      </c>
      <c r="K4112">
        <v>809115108</v>
      </c>
      <c r="L4112">
        <v>794088362</v>
      </c>
      <c r="M4112">
        <v>789156335</v>
      </c>
      <c r="N4112">
        <v>780169791</v>
      </c>
      <c r="O4112">
        <v>854566433</v>
      </c>
      <c r="P4112">
        <v>134</v>
      </c>
      <c r="Q4112" t="s">
        <v>8570</v>
      </c>
    </row>
    <row r="4113" spans="1:17" x14ac:dyDescent="0.3">
      <c r="A4113" t="s">
        <v>4729</v>
      </c>
      <c r="B4113" t="str">
        <f>"300313"</f>
        <v>300313</v>
      </c>
      <c r="C4113" t="s">
        <v>8571</v>
      </c>
      <c r="D4113" t="s">
        <v>1882</v>
      </c>
      <c r="F4113">
        <v>104129406</v>
      </c>
      <c r="G4113">
        <v>154968706</v>
      </c>
      <c r="H4113">
        <v>149217296</v>
      </c>
      <c r="I4113">
        <v>209009060</v>
      </c>
      <c r="J4113">
        <v>363562016</v>
      </c>
      <c r="K4113">
        <v>367653299</v>
      </c>
      <c r="L4113">
        <v>351310168</v>
      </c>
      <c r="M4113">
        <v>395245974</v>
      </c>
      <c r="N4113">
        <v>398983045</v>
      </c>
      <c r="O4113">
        <v>389366544</v>
      </c>
      <c r="P4113">
        <v>85</v>
      </c>
      <c r="Q4113" t="s">
        <v>8572</v>
      </c>
    </row>
    <row r="4114" spans="1:17" x14ac:dyDescent="0.3">
      <c r="A4114" t="s">
        <v>4729</v>
      </c>
      <c r="B4114" t="str">
        <f>"300314"</f>
        <v>300314</v>
      </c>
      <c r="C4114" t="s">
        <v>8573</v>
      </c>
      <c r="D4114" t="s">
        <v>122</v>
      </c>
      <c r="F4114">
        <v>990526683</v>
      </c>
      <c r="G4114">
        <v>953519992</v>
      </c>
      <c r="H4114">
        <v>828849617</v>
      </c>
      <c r="I4114">
        <v>792713024</v>
      </c>
      <c r="J4114">
        <v>778300385</v>
      </c>
      <c r="K4114">
        <v>748547216</v>
      </c>
      <c r="L4114">
        <v>697901288</v>
      </c>
      <c r="M4114">
        <v>668967086</v>
      </c>
      <c r="N4114">
        <v>628160511</v>
      </c>
      <c r="O4114">
        <v>592088782</v>
      </c>
      <c r="P4114">
        <v>196</v>
      </c>
      <c r="Q4114" t="s">
        <v>8574</v>
      </c>
    </row>
    <row r="4115" spans="1:17" x14ac:dyDescent="0.3">
      <c r="A4115" t="s">
        <v>4729</v>
      </c>
      <c r="B4115" t="str">
        <f>"300315"</f>
        <v>300315</v>
      </c>
      <c r="C4115" t="s">
        <v>8575</v>
      </c>
      <c r="D4115" t="s">
        <v>517</v>
      </c>
      <c r="F4115">
        <v>4190435141</v>
      </c>
      <c r="G4115">
        <v>5531401326</v>
      </c>
      <c r="H4115">
        <v>5548222625</v>
      </c>
      <c r="I4115">
        <v>5128642362</v>
      </c>
      <c r="J4115">
        <v>8532081855</v>
      </c>
      <c r="K4115">
        <v>8411956259</v>
      </c>
      <c r="L4115">
        <v>6384874475</v>
      </c>
      <c r="M4115">
        <v>3991981592</v>
      </c>
      <c r="N4115">
        <v>1524313335</v>
      </c>
      <c r="O4115">
        <v>881899595</v>
      </c>
      <c r="P4115">
        <v>456</v>
      </c>
      <c r="Q4115" t="s">
        <v>8576</v>
      </c>
    </row>
    <row r="4116" spans="1:17" x14ac:dyDescent="0.3">
      <c r="A4116" t="s">
        <v>4729</v>
      </c>
      <c r="B4116" t="str">
        <f>"300316"</f>
        <v>300316</v>
      </c>
      <c r="C4116" t="s">
        <v>8577</v>
      </c>
      <c r="D4116" t="s">
        <v>2671</v>
      </c>
      <c r="F4116">
        <v>6835114622</v>
      </c>
      <c r="G4116">
        <v>5239828146</v>
      </c>
      <c r="H4116">
        <v>4551083416</v>
      </c>
      <c r="I4116">
        <v>4057738949</v>
      </c>
      <c r="J4116">
        <v>3568778185</v>
      </c>
      <c r="K4116">
        <v>3283523624</v>
      </c>
      <c r="L4116">
        <v>1808730531</v>
      </c>
      <c r="M4116">
        <v>1721727448</v>
      </c>
      <c r="N4116">
        <v>1682586851</v>
      </c>
      <c r="O4116">
        <v>1679203426</v>
      </c>
      <c r="P4116">
        <v>1072</v>
      </c>
      <c r="Q4116" t="s">
        <v>8578</v>
      </c>
    </row>
    <row r="4117" spans="1:17" x14ac:dyDescent="0.3">
      <c r="A4117" t="s">
        <v>4729</v>
      </c>
      <c r="B4117" t="str">
        <f>"300317"</f>
        <v>300317</v>
      </c>
      <c r="C4117" t="s">
        <v>8579</v>
      </c>
      <c r="D4117" t="s">
        <v>86</v>
      </c>
      <c r="F4117">
        <v>1736979506</v>
      </c>
      <c r="G4117">
        <v>1946989123</v>
      </c>
      <c r="H4117">
        <v>1909546428</v>
      </c>
      <c r="I4117">
        <v>2987369290</v>
      </c>
      <c r="J4117">
        <v>4922075047</v>
      </c>
      <c r="K4117">
        <v>4552930858</v>
      </c>
      <c r="L4117">
        <v>2320161817</v>
      </c>
      <c r="M4117">
        <v>588199459</v>
      </c>
      <c r="N4117">
        <v>589407872</v>
      </c>
      <c r="O4117">
        <v>569964796</v>
      </c>
      <c r="P4117">
        <v>142</v>
      </c>
      <c r="Q4117" t="s">
        <v>8580</v>
      </c>
    </row>
    <row r="4118" spans="1:17" x14ac:dyDescent="0.3">
      <c r="A4118" t="s">
        <v>4729</v>
      </c>
      <c r="B4118" t="str">
        <f>"300318"</f>
        <v>300318</v>
      </c>
      <c r="C4118" t="s">
        <v>8581</v>
      </c>
      <c r="D4118" t="s">
        <v>1305</v>
      </c>
      <c r="F4118">
        <v>974752736</v>
      </c>
      <c r="G4118">
        <v>1299959538</v>
      </c>
      <c r="H4118">
        <v>1031395597</v>
      </c>
      <c r="I4118">
        <v>1173270706</v>
      </c>
      <c r="J4118">
        <v>1474242334</v>
      </c>
      <c r="K4118">
        <v>1419391868</v>
      </c>
      <c r="L4118">
        <v>1388428330</v>
      </c>
      <c r="M4118">
        <v>724126580</v>
      </c>
      <c r="N4118">
        <v>697456586</v>
      </c>
      <c r="O4118">
        <v>652439852</v>
      </c>
      <c r="P4118">
        <v>144</v>
      </c>
      <c r="Q4118" t="s">
        <v>8582</v>
      </c>
    </row>
    <row r="4119" spans="1:17" x14ac:dyDescent="0.3">
      <c r="A4119" t="s">
        <v>4729</v>
      </c>
      <c r="B4119" t="str">
        <f>"300319"</f>
        <v>300319</v>
      </c>
      <c r="C4119" t="s">
        <v>8583</v>
      </c>
      <c r="D4119" t="s">
        <v>546</v>
      </c>
      <c r="F4119">
        <v>3742354867</v>
      </c>
      <c r="G4119">
        <v>2094388834</v>
      </c>
      <c r="H4119">
        <v>2058671154</v>
      </c>
      <c r="I4119">
        <v>2013650954</v>
      </c>
      <c r="J4119">
        <v>1883728382</v>
      </c>
      <c r="K4119">
        <v>2213255990</v>
      </c>
      <c r="L4119">
        <v>1203266288</v>
      </c>
      <c r="M4119">
        <v>336054681</v>
      </c>
      <c r="N4119">
        <v>303170731</v>
      </c>
      <c r="O4119">
        <v>288892411</v>
      </c>
      <c r="P4119">
        <v>3161</v>
      </c>
      <c r="Q4119" t="s">
        <v>8584</v>
      </c>
    </row>
    <row r="4120" spans="1:17" x14ac:dyDescent="0.3">
      <c r="A4120" t="s">
        <v>4729</v>
      </c>
      <c r="B4120" t="str">
        <f>"300320"</f>
        <v>300320</v>
      </c>
      <c r="C4120" t="s">
        <v>8585</v>
      </c>
      <c r="D4120" t="s">
        <v>2469</v>
      </c>
      <c r="F4120">
        <v>1976969981</v>
      </c>
      <c r="G4120">
        <v>1851518095</v>
      </c>
      <c r="H4120">
        <v>1689679594</v>
      </c>
      <c r="I4120">
        <v>1498941458</v>
      </c>
      <c r="J4120">
        <v>910254989</v>
      </c>
      <c r="K4120">
        <v>835153716</v>
      </c>
      <c r="L4120">
        <v>764709588</v>
      </c>
      <c r="M4120">
        <v>715741704</v>
      </c>
      <c r="N4120">
        <v>649817834</v>
      </c>
      <c r="O4120">
        <v>595627617</v>
      </c>
      <c r="P4120">
        <v>151</v>
      </c>
      <c r="Q4120" t="s">
        <v>8586</v>
      </c>
    </row>
    <row r="4121" spans="1:17" x14ac:dyDescent="0.3">
      <c r="A4121" t="s">
        <v>4729</v>
      </c>
      <c r="B4121" t="str">
        <f>"300321"</f>
        <v>300321</v>
      </c>
      <c r="C4121" t="s">
        <v>8587</v>
      </c>
      <c r="D4121" t="s">
        <v>528</v>
      </c>
      <c r="F4121">
        <v>620632106</v>
      </c>
      <c r="G4121">
        <v>635219432</v>
      </c>
      <c r="H4121">
        <v>650458982</v>
      </c>
      <c r="I4121">
        <v>616323918</v>
      </c>
      <c r="J4121">
        <v>592853721</v>
      </c>
      <c r="K4121">
        <v>577249057</v>
      </c>
      <c r="L4121">
        <v>559870659</v>
      </c>
      <c r="M4121">
        <v>533136101</v>
      </c>
      <c r="N4121">
        <v>508947081</v>
      </c>
      <c r="O4121">
        <v>487479620</v>
      </c>
      <c r="P4121">
        <v>45</v>
      </c>
      <c r="Q4121" t="s">
        <v>8588</v>
      </c>
    </row>
    <row r="4122" spans="1:17" x14ac:dyDescent="0.3">
      <c r="A4122" t="s">
        <v>4729</v>
      </c>
      <c r="B4122" t="str">
        <f>"300322"</f>
        <v>300322</v>
      </c>
      <c r="C4122" t="s">
        <v>8589</v>
      </c>
      <c r="D4122" t="s">
        <v>313</v>
      </c>
      <c r="F4122">
        <v>1376713078</v>
      </c>
      <c r="G4122">
        <v>1343292822</v>
      </c>
      <c r="H4122">
        <v>656648581</v>
      </c>
      <c r="I4122">
        <v>576065963</v>
      </c>
      <c r="J4122">
        <v>606164016</v>
      </c>
      <c r="K4122">
        <v>589539389</v>
      </c>
      <c r="L4122">
        <v>491992307</v>
      </c>
      <c r="M4122">
        <v>583491645</v>
      </c>
      <c r="N4122">
        <v>527867761</v>
      </c>
      <c r="O4122">
        <v>499074928</v>
      </c>
      <c r="P4122">
        <v>387</v>
      </c>
      <c r="Q4122" t="s">
        <v>8590</v>
      </c>
    </row>
    <row r="4123" spans="1:17" x14ac:dyDescent="0.3">
      <c r="A4123" t="s">
        <v>4729</v>
      </c>
      <c r="B4123" t="str">
        <f>"300323"</f>
        <v>300323</v>
      </c>
      <c r="C4123" t="s">
        <v>8591</v>
      </c>
      <c r="D4123" t="s">
        <v>803</v>
      </c>
      <c r="F4123">
        <v>6427597961</v>
      </c>
      <c r="G4123">
        <v>6308428148</v>
      </c>
      <c r="H4123">
        <v>4809061164</v>
      </c>
      <c r="I4123">
        <v>5909302529</v>
      </c>
      <c r="J4123">
        <v>3924973869</v>
      </c>
      <c r="K4123">
        <v>3456333086</v>
      </c>
      <c r="L4123">
        <v>1669359667</v>
      </c>
      <c r="M4123">
        <v>1768151653</v>
      </c>
      <c r="N4123">
        <v>1677245472</v>
      </c>
      <c r="O4123">
        <v>1705862110</v>
      </c>
      <c r="P4123">
        <v>293</v>
      </c>
      <c r="Q4123" t="s">
        <v>8592</v>
      </c>
    </row>
    <row r="4124" spans="1:17" x14ac:dyDescent="0.3">
      <c r="A4124" t="s">
        <v>4729</v>
      </c>
      <c r="B4124" t="str">
        <f>"300324"</f>
        <v>300324</v>
      </c>
      <c r="C4124" t="s">
        <v>8593</v>
      </c>
      <c r="D4124" t="s">
        <v>236</v>
      </c>
      <c r="F4124">
        <v>3961263513</v>
      </c>
      <c r="G4124">
        <v>4040458216</v>
      </c>
      <c r="H4124">
        <v>5250136296</v>
      </c>
      <c r="I4124">
        <v>4888029749</v>
      </c>
      <c r="J4124">
        <v>5203626190</v>
      </c>
      <c r="K4124">
        <v>4832934339</v>
      </c>
      <c r="L4124">
        <v>1354852436</v>
      </c>
      <c r="M4124">
        <v>743423370</v>
      </c>
      <c r="N4124">
        <v>520524672</v>
      </c>
      <c r="O4124">
        <v>544122134</v>
      </c>
      <c r="P4124">
        <v>235</v>
      </c>
      <c r="Q4124" t="s">
        <v>8594</v>
      </c>
    </row>
    <row r="4125" spans="1:17" x14ac:dyDescent="0.3">
      <c r="A4125" t="s">
        <v>4729</v>
      </c>
      <c r="B4125" t="str">
        <f>"300325"</f>
        <v>300325</v>
      </c>
      <c r="C4125" t="s">
        <v>8595</v>
      </c>
      <c r="D4125" t="s">
        <v>1192</v>
      </c>
      <c r="F4125">
        <v>-489972557</v>
      </c>
      <c r="G4125">
        <v>82048965</v>
      </c>
      <c r="H4125">
        <v>792362535</v>
      </c>
      <c r="I4125">
        <v>1368997665</v>
      </c>
      <c r="J4125">
        <v>1474540361</v>
      </c>
      <c r="K4125">
        <v>1487085864</v>
      </c>
      <c r="L4125">
        <v>821649056</v>
      </c>
      <c r="M4125">
        <v>770716971</v>
      </c>
      <c r="N4125">
        <v>719981641</v>
      </c>
      <c r="O4125">
        <v>666114270</v>
      </c>
      <c r="P4125">
        <v>81</v>
      </c>
      <c r="Q4125" t="s">
        <v>8596</v>
      </c>
    </row>
    <row r="4126" spans="1:17" x14ac:dyDescent="0.3">
      <c r="A4126" t="s">
        <v>4729</v>
      </c>
      <c r="B4126" t="str">
        <f>"300326"</f>
        <v>300326</v>
      </c>
      <c r="C4126" t="s">
        <v>8597</v>
      </c>
      <c r="D4126" t="s">
        <v>1077</v>
      </c>
      <c r="F4126">
        <v>2733520373</v>
      </c>
      <c r="G4126">
        <v>2643042773</v>
      </c>
      <c r="H4126">
        <v>2748305114</v>
      </c>
      <c r="I4126">
        <v>2498692654</v>
      </c>
      <c r="J4126">
        <v>2026744568</v>
      </c>
      <c r="K4126">
        <v>1838828979</v>
      </c>
      <c r="L4126">
        <v>1167869488</v>
      </c>
      <c r="M4126">
        <v>1044174619</v>
      </c>
      <c r="N4126">
        <v>508969612</v>
      </c>
      <c r="O4126">
        <v>444919553</v>
      </c>
      <c r="P4126">
        <v>854</v>
      </c>
      <c r="Q4126" t="s">
        <v>8598</v>
      </c>
    </row>
    <row r="4127" spans="1:17" x14ac:dyDescent="0.3">
      <c r="A4127" t="s">
        <v>4729</v>
      </c>
      <c r="B4127" t="str">
        <f>"300327"</f>
        <v>300327</v>
      </c>
      <c r="C4127" t="s">
        <v>8599</v>
      </c>
      <c r="D4127" t="s">
        <v>461</v>
      </c>
      <c r="F4127">
        <v>1313100092</v>
      </c>
      <c r="G4127">
        <v>1059630832</v>
      </c>
      <c r="H4127">
        <v>966615678</v>
      </c>
      <c r="I4127">
        <v>860344375</v>
      </c>
      <c r="J4127">
        <v>780564647</v>
      </c>
      <c r="K4127">
        <v>696627084</v>
      </c>
      <c r="L4127">
        <v>614070631</v>
      </c>
      <c r="M4127">
        <v>578574001</v>
      </c>
      <c r="N4127">
        <v>575529845</v>
      </c>
      <c r="O4127">
        <v>574730527</v>
      </c>
      <c r="P4127">
        <v>4063</v>
      </c>
      <c r="Q4127" t="s">
        <v>8600</v>
      </c>
    </row>
    <row r="4128" spans="1:17" x14ac:dyDescent="0.3">
      <c r="A4128" t="s">
        <v>4729</v>
      </c>
      <c r="B4128" t="str">
        <f>"300328"</f>
        <v>300328</v>
      </c>
      <c r="C4128" t="s">
        <v>8601</v>
      </c>
      <c r="D4128" t="s">
        <v>636</v>
      </c>
      <c r="F4128">
        <v>1083155562</v>
      </c>
      <c r="G4128">
        <v>1290795903</v>
      </c>
      <c r="H4128">
        <v>1315537447</v>
      </c>
      <c r="I4128">
        <v>1234182378</v>
      </c>
      <c r="J4128">
        <v>765753627</v>
      </c>
      <c r="K4128">
        <v>728856456</v>
      </c>
      <c r="L4128">
        <v>671666051</v>
      </c>
      <c r="M4128">
        <v>625541257</v>
      </c>
      <c r="N4128">
        <v>580137259</v>
      </c>
      <c r="O4128">
        <v>591920523</v>
      </c>
      <c r="P4128">
        <v>232</v>
      </c>
      <c r="Q4128" t="s">
        <v>8602</v>
      </c>
    </row>
    <row r="4129" spans="1:17" x14ac:dyDescent="0.3">
      <c r="A4129" t="s">
        <v>4729</v>
      </c>
      <c r="B4129" t="str">
        <f>"300329"</f>
        <v>300329</v>
      </c>
      <c r="C4129" t="s">
        <v>8603</v>
      </c>
      <c r="D4129" t="s">
        <v>2931</v>
      </c>
      <c r="F4129">
        <v>914034836</v>
      </c>
      <c r="G4129">
        <v>996751960</v>
      </c>
      <c r="H4129">
        <v>969462385</v>
      </c>
      <c r="I4129">
        <v>889969340</v>
      </c>
      <c r="J4129">
        <v>834943695</v>
      </c>
      <c r="K4129">
        <v>800245430</v>
      </c>
      <c r="L4129">
        <v>772991564</v>
      </c>
      <c r="M4129">
        <v>540021669</v>
      </c>
      <c r="N4129">
        <v>520229930</v>
      </c>
      <c r="O4129">
        <v>508058130</v>
      </c>
      <c r="P4129">
        <v>96</v>
      </c>
      <c r="Q4129" t="s">
        <v>8604</v>
      </c>
    </row>
    <row r="4130" spans="1:17" x14ac:dyDescent="0.3">
      <c r="A4130" t="s">
        <v>4729</v>
      </c>
      <c r="B4130" t="str">
        <f>"300330"</f>
        <v>300330</v>
      </c>
      <c r="C4130" t="s">
        <v>8605</v>
      </c>
      <c r="D4130" t="s">
        <v>236</v>
      </c>
      <c r="F4130">
        <v>388177070</v>
      </c>
      <c r="G4130">
        <v>380622013</v>
      </c>
      <c r="H4130">
        <v>372128745</v>
      </c>
      <c r="I4130">
        <v>368616899</v>
      </c>
      <c r="J4130">
        <v>387922822</v>
      </c>
      <c r="K4130">
        <v>381973690</v>
      </c>
      <c r="L4130">
        <v>415795250</v>
      </c>
      <c r="M4130">
        <v>437069949</v>
      </c>
      <c r="N4130">
        <v>441563375</v>
      </c>
      <c r="O4130">
        <v>420512123</v>
      </c>
      <c r="P4130">
        <v>82</v>
      </c>
      <c r="Q4130" t="s">
        <v>8606</v>
      </c>
    </row>
    <row r="4131" spans="1:17" x14ac:dyDescent="0.3">
      <c r="A4131" t="s">
        <v>4729</v>
      </c>
      <c r="B4131" t="str">
        <f>"300331"</f>
        <v>300331</v>
      </c>
      <c r="C4131" t="s">
        <v>8607</v>
      </c>
      <c r="D4131" t="s">
        <v>1117</v>
      </c>
      <c r="F4131">
        <v>1997522483</v>
      </c>
      <c r="G4131">
        <v>1553864246</v>
      </c>
      <c r="H4131">
        <v>1514305335</v>
      </c>
      <c r="I4131">
        <v>1439233793</v>
      </c>
      <c r="J4131">
        <v>1395290608</v>
      </c>
      <c r="K4131">
        <v>1325348783</v>
      </c>
      <c r="L4131">
        <v>486591842</v>
      </c>
      <c r="M4131">
        <v>478276353</v>
      </c>
      <c r="N4131">
        <v>463582214</v>
      </c>
      <c r="O4131">
        <v>462027140</v>
      </c>
      <c r="P4131">
        <v>164</v>
      </c>
      <c r="Q4131" t="s">
        <v>8608</v>
      </c>
    </row>
    <row r="4132" spans="1:17" x14ac:dyDescent="0.3">
      <c r="A4132" t="s">
        <v>4729</v>
      </c>
      <c r="B4132" t="str">
        <f>"300332"</f>
        <v>300332</v>
      </c>
      <c r="C4132" t="s">
        <v>8609</v>
      </c>
      <c r="D4132" t="s">
        <v>749</v>
      </c>
      <c r="F4132">
        <v>3561214230</v>
      </c>
      <c r="G4132">
        <v>3462195768</v>
      </c>
      <c r="H4132">
        <v>3400209663</v>
      </c>
      <c r="I4132">
        <v>3466107135</v>
      </c>
      <c r="J4132">
        <v>3485458624</v>
      </c>
      <c r="K4132">
        <v>3327450806</v>
      </c>
      <c r="L4132">
        <v>2256551201</v>
      </c>
      <c r="M4132">
        <v>1380970363</v>
      </c>
      <c r="N4132">
        <v>1261005482</v>
      </c>
      <c r="O4132">
        <v>1164346197</v>
      </c>
      <c r="P4132">
        <v>117</v>
      </c>
      <c r="Q4132" t="s">
        <v>8610</v>
      </c>
    </row>
    <row r="4133" spans="1:17" x14ac:dyDescent="0.3">
      <c r="A4133" t="s">
        <v>4729</v>
      </c>
      <c r="B4133" t="str">
        <f>"300333"</f>
        <v>300333</v>
      </c>
      <c r="C4133" t="s">
        <v>8611</v>
      </c>
      <c r="D4133" t="s">
        <v>236</v>
      </c>
      <c r="F4133">
        <v>830734809</v>
      </c>
      <c r="G4133">
        <v>804155205</v>
      </c>
      <c r="H4133">
        <v>844350738</v>
      </c>
      <c r="I4133">
        <v>826800823</v>
      </c>
      <c r="J4133">
        <v>854900151</v>
      </c>
      <c r="K4133">
        <v>851075894</v>
      </c>
      <c r="L4133">
        <v>844576116</v>
      </c>
      <c r="M4133">
        <v>814145625</v>
      </c>
      <c r="N4133">
        <v>799518844</v>
      </c>
      <c r="O4133">
        <v>804656847</v>
      </c>
      <c r="P4133">
        <v>94</v>
      </c>
      <c r="Q4133" t="s">
        <v>8612</v>
      </c>
    </row>
    <row r="4134" spans="1:17" x14ac:dyDescent="0.3">
      <c r="A4134" t="s">
        <v>4729</v>
      </c>
      <c r="B4134" t="str">
        <f>"300334"</f>
        <v>300334</v>
      </c>
      <c r="C4134" t="s">
        <v>8613</v>
      </c>
      <c r="D4134" t="s">
        <v>33</v>
      </c>
      <c r="F4134">
        <v>770486831</v>
      </c>
      <c r="G4134">
        <v>742191155</v>
      </c>
      <c r="H4134">
        <v>832482437</v>
      </c>
      <c r="I4134">
        <v>1679446069</v>
      </c>
      <c r="J4134">
        <v>1613500813</v>
      </c>
      <c r="K4134">
        <v>1326044359</v>
      </c>
      <c r="L4134">
        <v>1284169305</v>
      </c>
      <c r="M4134">
        <v>857068162</v>
      </c>
      <c r="N4134">
        <v>780336692</v>
      </c>
      <c r="O4134">
        <v>711503697</v>
      </c>
      <c r="P4134">
        <v>80</v>
      </c>
      <c r="Q4134" t="s">
        <v>8614</v>
      </c>
    </row>
    <row r="4135" spans="1:17" x14ac:dyDescent="0.3">
      <c r="A4135" t="s">
        <v>4729</v>
      </c>
      <c r="B4135" t="str">
        <f>"300335"</f>
        <v>300335</v>
      </c>
      <c r="C4135" t="s">
        <v>8615</v>
      </c>
      <c r="D4135" t="s">
        <v>351</v>
      </c>
      <c r="F4135">
        <v>1244211477</v>
      </c>
      <c r="G4135">
        <v>1385807001</v>
      </c>
      <c r="H4135">
        <v>1373272102</v>
      </c>
      <c r="I4135">
        <v>1358996846</v>
      </c>
      <c r="J4135">
        <v>1265091481</v>
      </c>
      <c r="K4135">
        <v>1058047798</v>
      </c>
      <c r="L4135">
        <v>1548834993</v>
      </c>
      <c r="M4135">
        <v>784430350</v>
      </c>
      <c r="N4135">
        <v>785706668</v>
      </c>
      <c r="O4135">
        <v>744715573</v>
      </c>
      <c r="P4135">
        <v>231</v>
      </c>
      <c r="Q4135" t="s">
        <v>8616</v>
      </c>
    </row>
    <row r="4136" spans="1:17" x14ac:dyDescent="0.3">
      <c r="A4136" t="s">
        <v>4729</v>
      </c>
      <c r="B4136" t="str">
        <f>"300336"</f>
        <v>300336</v>
      </c>
      <c r="C4136" t="s">
        <v>8617</v>
      </c>
      <c r="D4136" t="s">
        <v>5132</v>
      </c>
      <c r="F4136">
        <v>-394210849</v>
      </c>
      <c r="G4136">
        <v>333105669</v>
      </c>
      <c r="H4136">
        <v>2025282621</v>
      </c>
      <c r="I4136">
        <v>2982408083</v>
      </c>
      <c r="J4136">
        <v>2997265314</v>
      </c>
      <c r="K4136">
        <v>2817501191</v>
      </c>
      <c r="L4136">
        <v>2648453639</v>
      </c>
      <c r="M4136">
        <v>1035674033</v>
      </c>
      <c r="N4136">
        <v>924832001</v>
      </c>
      <c r="O4136">
        <v>856471032</v>
      </c>
      <c r="P4136">
        <v>98</v>
      </c>
      <c r="Q4136" t="s">
        <v>8618</v>
      </c>
    </row>
    <row r="4137" spans="1:17" x14ac:dyDescent="0.3">
      <c r="A4137" t="s">
        <v>4729</v>
      </c>
      <c r="B4137" t="str">
        <f>"300337"</f>
        <v>300337</v>
      </c>
      <c r="C4137" t="s">
        <v>8619</v>
      </c>
      <c r="D4137" t="s">
        <v>504</v>
      </c>
      <c r="F4137">
        <v>1518842922</v>
      </c>
      <c r="G4137">
        <v>1482708908</v>
      </c>
      <c r="H4137">
        <v>1475526849</v>
      </c>
      <c r="I4137">
        <v>1458842332</v>
      </c>
      <c r="J4137">
        <v>1538100290</v>
      </c>
      <c r="K4137">
        <v>1533249097</v>
      </c>
      <c r="L4137">
        <v>1523740813</v>
      </c>
      <c r="M4137">
        <v>1727705695</v>
      </c>
      <c r="N4137">
        <v>1690983207</v>
      </c>
      <c r="O4137">
        <v>1634023776</v>
      </c>
      <c r="P4137">
        <v>142</v>
      </c>
      <c r="Q4137" t="s">
        <v>8620</v>
      </c>
    </row>
    <row r="4138" spans="1:17" x14ac:dyDescent="0.3">
      <c r="A4138" t="s">
        <v>4729</v>
      </c>
      <c r="B4138" t="str">
        <f>"300338"</f>
        <v>300338</v>
      </c>
      <c r="C4138" t="s">
        <v>8621</v>
      </c>
      <c r="D4138" t="s">
        <v>1336</v>
      </c>
      <c r="F4138">
        <v>32341360</v>
      </c>
      <c r="G4138">
        <v>504050505</v>
      </c>
      <c r="H4138">
        <v>1430150830</v>
      </c>
      <c r="I4138">
        <v>2203861021</v>
      </c>
      <c r="J4138">
        <v>2109536091</v>
      </c>
      <c r="K4138">
        <v>755531413</v>
      </c>
      <c r="L4138">
        <v>750799358</v>
      </c>
      <c r="M4138">
        <v>757668463</v>
      </c>
      <c r="N4138">
        <v>742702054</v>
      </c>
      <c r="O4138">
        <v>722874183</v>
      </c>
      <c r="P4138">
        <v>118</v>
      </c>
      <c r="Q4138" t="s">
        <v>8622</v>
      </c>
    </row>
    <row r="4139" spans="1:17" x14ac:dyDescent="0.3">
      <c r="A4139" t="s">
        <v>4729</v>
      </c>
      <c r="B4139" t="str">
        <f>"300339"</f>
        <v>300339</v>
      </c>
      <c r="C4139" t="s">
        <v>8623</v>
      </c>
      <c r="D4139" t="s">
        <v>316</v>
      </c>
      <c r="F4139">
        <v>3057995602</v>
      </c>
      <c r="G4139">
        <v>2875379901</v>
      </c>
      <c r="H4139">
        <v>2820718103</v>
      </c>
      <c r="I4139">
        <v>4625746475</v>
      </c>
      <c r="J4139">
        <v>3733194510</v>
      </c>
      <c r="K4139">
        <v>3523469827</v>
      </c>
      <c r="L4139">
        <v>3190044543</v>
      </c>
      <c r="M4139">
        <v>1459458041</v>
      </c>
      <c r="N4139">
        <v>712588129</v>
      </c>
      <c r="O4139">
        <v>654740877</v>
      </c>
      <c r="P4139">
        <v>332</v>
      </c>
      <c r="Q4139" t="s">
        <v>8624</v>
      </c>
    </row>
    <row r="4140" spans="1:17" x14ac:dyDescent="0.3">
      <c r="A4140" t="s">
        <v>4729</v>
      </c>
      <c r="B4140" t="str">
        <f>"300340"</f>
        <v>300340</v>
      </c>
      <c r="C4140" t="s">
        <v>8625</v>
      </c>
      <c r="D4140" t="s">
        <v>1790</v>
      </c>
      <c r="F4140">
        <v>705033318</v>
      </c>
      <c r="G4140">
        <v>693607814</v>
      </c>
      <c r="H4140">
        <v>1449249697</v>
      </c>
      <c r="I4140">
        <v>1440902070</v>
      </c>
      <c r="J4140">
        <v>1421057071</v>
      </c>
      <c r="K4140">
        <v>1285788107</v>
      </c>
      <c r="L4140">
        <v>794576581</v>
      </c>
      <c r="M4140">
        <v>869256625</v>
      </c>
      <c r="N4140">
        <v>919442081</v>
      </c>
      <c r="O4140">
        <v>925991929</v>
      </c>
      <c r="P4140">
        <v>96</v>
      </c>
      <c r="Q4140" t="s">
        <v>8626</v>
      </c>
    </row>
    <row r="4141" spans="1:17" x14ac:dyDescent="0.3">
      <c r="A4141" t="s">
        <v>4729</v>
      </c>
      <c r="B4141" t="str">
        <f>"300341"</f>
        <v>300341</v>
      </c>
      <c r="C4141" t="s">
        <v>8627</v>
      </c>
      <c r="D4141" t="s">
        <v>210</v>
      </c>
      <c r="F4141">
        <v>1251194710</v>
      </c>
      <c r="G4141">
        <v>1082726958</v>
      </c>
      <c r="H4141">
        <v>982249733</v>
      </c>
      <c r="I4141">
        <v>864881118</v>
      </c>
      <c r="J4141">
        <v>1089565762</v>
      </c>
      <c r="K4141">
        <v>991307756</v>
      </c>
      <c r="L4141">
        <v>898085741</v>
      </c>
      <c r="M4141">
        <v>547873289</v>
      </c>
      <c r="N4141">
        <v>519301885</v>
      </c>
      <c r="O4141">
        <v>485236939</v>
      </c>
      <c r="P4141">
        <v>142</v>
      </c>
      <c r="Q4141" t="s">
        <v>8628</v>
      </c>
    </row>
    <row r="4142" spans="1:17" x14ac:dyDescent="0.3">
      <c r="A4142" t="s">
        <v>4729</v>
      </c>
      <c r="B4142" t="str">
        <f>"300342"</f>
        <v>300342</v>
      </c>
      <c r="C4142" t="s">
        <v>8629</v>
      </c>
      <c r="D4142" t="s">
        <v>1253</v>
      </c>
      <c r="F4142">
        <v>1535005602</v>
      </c>
      <c r="G4142">
        <v>1500792414</v>
      </c>
      <c r="H4142">
        <v>1422667035</v>
      </c>
      <c r="I4142">
        <v>1326856789</v>
      </c>
      <c r="J4142">
        <v>1352301985</v>
      </c>
      <c r="K4142">
        <v>1222808305</v>
      </c>
      <c r="L4142">
        <v>858926059</v>
      </c>
      <c r="M4142">
        <v>791274292</v>
      </c>
      <c r="N4142">
        <v>749985695</v>
      </c>
      <c r="O4142">
        <v>688729635</v>
      </c>
      <c r="P4142">
        <v>181</v>
      </c>
      <c r="Q4142" t="s">
        <v>8630</v>
      </c>
    </row>
    <row r="4143" spans="1:17" x14ac:dyDescent="0.3">
      <c r="A4143" t="s">
        <v>4729</v>
      </c>
      <c r="B4143" t="str">
        <f>"300343"</f>
        <v>300343</v>
      </c>
      <c r="C4143" t="s">
        <v>8631</v>
      </c>
      <c r="D4143" t="s">
        <v>207</v>
      </c>
      <c r="F4143">
        <v>996994496</v>
      </c>
      <c r="G4143">
        <v>718122687</v>
      </c>
      <c r="H4143">
        <v>852852057</v>
      </c>
      <c r="I4143">
        <v>2295193949</v>
      </c>
      <c r="J4143">
        <v>4338613973</v>
      </c>
      <c r="K4143">
        <v>4025357106</v>
      </c>
      <c r="L4143">
        <v>1673177470</v>
      </c>
      <c r="M4143">
        <v>467462852</v>
      </c>
      <c r="N4143">
        <v>477482568</v>
      </c>
      <c r="O4143">
        <v>433999307</v>
      </c>
      <c r="P4143">
        <v>155</v>
      </c>
      <c r="Q4143" t="s">
        <v>8632</v>
      </c>
    </row>
    <row r="4144" spans="1:17" x14ac:dyDescent="0.3">
      <c r="A4144" t="s">
        <v>4729</v>
      </c>
      <c r="B4144" t="str">
        <f>"300344"</f>
        <v>300344</v>
      </c>
      <c r="C4144" t="s">
        <v>8633</v>
      </c>
      <c r="D4144" t="s">
        <v>945</v>
      </c>
      <c r="F4144">
        <v>635222997</v>
      </c>
      <c r="G4144">
        <v>52285410</v>
      </c>
      <c r="H4144">
        <v>599422043</v>
      </c>
      <c r="I4144">
        <v>524613242</v>
      </c>
      <c r="J4144">
        <v>620623780</v>
      </c>
      <c r="K4144">
        <v>656009225</v>
      </c>
      <c r="L4144">
        <v>630320187</v>
      </c>
      <c r="M4144">
        <v>695642485</v>
      </c>
      <c r="N4144">
        <v>719753208</v>
      </c>
      <c r="O4144">
        <v>702990564</v>
      </c>
      <c r="P4144">
        <v>64</v>
      </c>
      <c r="Q4144" t="s">
        <v>8634</v>
      </c>
    </row>
    <row r="4145" spans="1:17" x14ac:dyDescent="0.3">
      <c r="A4145" t="s">
        <v>4729</v>
      </c>
      <c r="B4145" t="str">
        <f>"300345"</f>
        <v>300345</v>
      </c>
      <c r="C4145" t="s">
        <v>8635</v>
      </c>
      <c r="D4145" t="s">
        <v>404</v>
      </c>
      <c r="F4145">
        <v>504372845</v>
      </c>
      <c r="G4145">
        <v>499654579</v>
      </c>
      <c r="H4145">
        <v>494489704</v>
      </c>
      <c r="I4145">
        <v>446520154</v>
      </c>
      <c r="J4145">
        <v>731816677</v>
      </c>
      <c r="K4145">
        <v>794954354</v>
      </c>
      <c r="L4145">
        <v>796170036</v>
      </c>
      <c r="M4145">
        <v>623269433</v>
      </c>
      <c r="N4145">
        <v>621560483</v>
      </c>
      <c r="O4145">
        <v>628142184</v>
      </c>
      <c r="P4145">
        <v>53</v>
      </c>
      <c r="Q4145" t="s">
        <v>8636</v>
      </c>
    </row>
    <row r="4146" spans="1:17" x14ac:dyDescent="0.3">
      <c r="A4146" t="s">
        <v>4729</v>
      </c>
      <c r="B4146" t="str">
        <f>"300346"</f>
        <v>300346</v>
      </c>
      <c r="C4146" t="s">
        <v>8637</v>
      </c>
      <c r="D4146" t="s">
        <v>2408</v>
      </c>
      <c r="F4146">
        <v>1916957841</v>
      </c>
      <c r="G4146">
        <v>1318874866</v>
      </c>
      <c r="H4146">
        <v>1219720241</v>
      </c>
      <c r="I4146">
        <v>1186629549</v>
      </c>
      <c r="J4146">
        <v>1212890957</v>
      </c>
      <c r="K4146">
        <v>1188703664</v>
      </c>
      <c r="L4146">
        <v>1197241385</v>
      </c>
      <c r="M4146">
        <v>1172477902</v>
      </c>
      <c r="N4146">
        <v>1141644603</v>
      </c>
      <c r="O4146">
        <v>1099155743</v>
      </c>
      <c r="P4146">
        <v>447</v>
      </c>
      <c r="Q4146" t="s">
        <v>8638</v>
      </c>
    </row>
    <row r="4147" spans="1:17" x14ac:dyDescent="0.3">
      <c r="A4147" t="s">
        <v>4729</v>
      </c>
      <c r="B4147" t="str">
        <f>"300347"</f>
        <v>300347</v>
      </c>
      <c r="C4147" t="s">
        <v>8639</v>
      </c>
      <c r="D4147" t="s">
        <v>1461</v>
      </c>
      <c r="F4147">
        <v>18123626117</v>
      </c>
      <c r="G4147">
        <v>16118568008</v>
      </c>
      <c r="H4147">
        <v>4225457957</v>
      </c>
      <c r="I4147">
        <v>2668584135</v>
      </c>
      <c r="J4147">
        <v>2503535618</v>
      </c>
      <c r="K4147">
        <v>1626817793</v>
      </c>
      <c r="L4147">
        <v>1002354761</v>
      </c>
      <c r="M4147">
        <v>863541697</v>
      </c>
      <c r="N4147">
        <v>743975358</v>
      </c>
      <c r="O4147">
        <v>690058611</v>
      </c>
      <c r="P4147">
        <v>3109</v>
      </c>
      <c r="Q4147" t="s">
        <v>8640</v>
      </c>
    </row>
    <row r="4148" spans="1:17" x14ac:dyDescent="0.3">
      <c r="A4148" t="s">
        <v>4729</v>
      </c>
      <c r="B4148" t="str">
        <f>"300348"</f>
        <v>300348</v>
      </c>
      <c r="C4148" t="s">
        <v>8641</v>
      </c>
      <c r="D4148" t="s">
        <v>945</v>
      </c>
      <c r="F4148">
        <v>1486104155</v>
      </c>
      <c r="G4148">
        <v>1372346713</v>
      </c>
      <c r="H4148">
        <v>1487329627</v>
      </c>
      <c r="I4148">
        <v>1230671815</v>
      </c>
      <c r="J4148">
        <v>1079309624</v>
      </c>
      <c r="K4148">
        <v>813099230</v>
      </c>
      <c r="L4148">
        <v>703158627</v>
      </c>
      <c r="M4148">
        <v>482997826</v>
      </c>
      <c r="N4148">
        <v>420972853</v>
      </c>
      <c r="O4148">
        <v>414735671</v>
      </c>
      <c r="P4148">
        <v>364</v>
      </c>
      <c r="Q4148" t="s">
        <v>8642</v>
      </c>
    </row>
    <row r="4149" spans="1:17" x14ac:dyDescent="0.3">
      <c r="A4149" t="s">
        <v>4729</v>
      </c>
      <c r="B4149" t="str">
        <f>"300349"</f>
        <v>300349</v>
      </c>
      <c r="C4149" t="s">
        <v>8643</v>
      </c>
      <c r="D4149" t="s">
        <v>2566</v>
      </c>
      <c r="F4149">
        <v>3674721644</v>
      </c>
      <c r="G4149">
        <v>3561244649</v>
      </c>
      <c r="H4149">
        <v>3684573349</v>
      </c>
      <c r="I4149">
        <v>3484933375</v>
      </c>
      <c r="J4149">
        <v>3009774437</v>
      </c>
      <c r="K4149">
        <v>2705761647</v>
      </c>
      <c r="L4149">
        <v>933605481</v>
      </c>
      <c r="M4149">
        <v>869253688</v>
      </c>
      <c r="N4149">
        <v>744932684</v>
      </c>
      <c r="O4149">
        <v>633819179</v>
      </c>
      <c r="P4149">
        <v>395</v>
      </c>
      <c r="Q4149" t="s">
        <v>8644</v>
      </c>
    </row>
    <row r="4150" spans="1:17" x14ac:dyDescent="0.3">
      <c r="A4150" t="s">
        <v>4729</v>
      </c>
      <c r="B4150" t="str">
        <f>"300350"</f>
        <v>300350</v>
      </c>
      <c r="C4150" t="s">
        <v>8645</v>
      </c>
      <c r="D4150" t="s">
        <v>3125</v>
      </c>
      <c r="F4150">
        <v>867776699</v>
      </c>
      <c r="G4150">
        <v>431629899</v>
      </c>
      <c r="H4150">
        <v>446948564</v>
      </c>
      <c r="I4150">
        <v>975795415</v>
      </c>
      <c r="J4150">
        <v>1879774200</v>
      </c>
      <c r="K4150">
        <v>1847824858</v>
      </c>
      <c r="L4150">
        <v>1730168329</v>
      </c>
      <c r="M4150">
        <v>426157068</v>
      </c>
      <c r="N4150">
        <v>404590234</v>
      </c>
      <c r="O4150">
        <v>380927720</v>
      </c>
      <c r="P4150">
        <v>106</v>
      </c>
      <c r="Q4150" t="s">
        <v>8646</v>
      </c>
    </row>
    <row r="4151" spans="1:17" x14ac:dyDescent="0.3">
      <c r="A4151" t="s">
        <v>4729</v>
      </c>
      <c r="B4151" t="str">
        <f>"300351"</f>
        <v>300351</v>
      </c>
      <c r="C4151" t="s">
        <v>8647</v>
      </c>
      <c r="D4151" t="s">
        <v>1012</v>
      </c>
      <c r="F4151">
        <v>2103704292</v>
      </c>
      <c r="G4151">
        <v>1984877602</v>
      </c>
      <c r="H4151">
        <v>1880069721</v>
      </c>
      <c r="I4151">
        <v>2325036600</v>
      </c>
      <c r="J4151">
        <v>2812778634</v>
      </c>
      <c r="K4151">
        <v>2664996064</v>
      </c>
      <c r="L4151">
        <v>1072123787</v>
      </c>
      <c r="M4151">
        <v>995658014</v>
      </c>
      <c r="N4151">
        <v>901939338</v>
      </c>
      <c r="O4151">
        <v>891878016</v>
      </c>
      <c r="P4151">
        <v>234</v>
      </c>
      <c r="Q4151" t="s">
        <v>8648</v>
      </c>
    </row>
    <row r="4152" spans="1:17" x14ac:dyDescent="0.3">
      <c r="A4152" t="s">
        <v>4729</v>
      </c>
      <c r="B4152" t="str">
        <f>"300352"</f>
        <v>300352</v>
      </c>
      <c r="C4152" t="s">
        <v>8649</v>
      </c>
      <c r="D4152" t="s">
        <v>945</v>
      </c>
      <c r="F4152">
        <v>1738402820</v>
      </c>
      <c r="G4152">
        <v>2186042008</v>
      </c>
      <c r="H4152">
        <v>2249910729</v>
      </c>
      <c r="I4152">
        <v>2264965240</v>
      </c>
      <c r="J4152">
        <v>2212720654</v>
      </c>
      <c r="K4152">
        <v>2144254191</v>
      </c>
      <c r="L4152">
        <v>837645081</v>
      </c>
      <c r="M4152">
        <v>701394740</v>
      </c>
      <c r="N4152">
        <v>647646789</v>
      </c>
      <c r="O4152">
        <v>592195549</v>
      </c>
      <c r="P4152">
        <v>255</v>
      </c>
      <c r="Q4152" t="s">
        <v>8650</v>
      </c>
    </row>
    <row r="4153" spans="1:17" x14ac:dyDescent="0.3">
      <c r="A4153" t="s">
        <v>4729</v>
      </c>
      <c r="B4153" t="str">
        <f>"300353"</f>
        <v>300353</v>
      </c>
      <c r="C4153" t="s">
        <v>8651</v>
      </c>
      <c r="D4153" t="s">
        <v>595</v>
      </c>
      <c r="F4153">
        <v>970277513</v>
      </c>
      <c r="G4153">
        <v>806644722</v>
      </c>
      <c r="H4153">
        <v>1719572583</v>
      </c>
      <c r="I4153">
        <v>2242564536</v>
      </c>
      <c r="J4153">
        <v>2216549303</v>
      </c>
      <c r="K4153">
        <v>2067790583</v>
      </c>
      <c r="L4153">
        <v>1098465097</v>
      </c>
      <c r="M4153">
        <v>422326412</v>
      </c>
      <c r="N4153">
        <v>411519494</v>
      </c>
      <c r="O4153">
        <v>387780410</v>
      </c>
      <c r="P4153">
        <v>3033</v>
      </c>
      <c r="Q4153" t="s">
        <v>8652</v>
      </c>
    </row>
    <row r="4154" spans="1:17" x14ac:dyDescent="0.3">
      <c r="A4154" t="s">
        <v>4729</v>
      </c>
      <c r="B4154" t="str">
        <f>"300354"</f>
        <v>300354</v>
      </c>
      <c r="C4154" t="s">
        <v>8653</v>
      </c>
      <c r="D4154" t="s">
        <v>2566</v>
      </c>
      <c r="F4154">
        <v>494682998</v>
      </c>
      <c r="G4154">
        <v>427483445</v>
      </c>
      <c r="H4154">
        <v>384042811</v>
      </c>
      <c r="I4154">
        <v>357765214</v>
      </c>
      <c r="J4154">
        <v>347900966</v>
      </c>
      <c r="K4154">
        <v>345179467</v>
      </c>
      <c r="L4154">
        <v>340375912</v>
      </c>
      <c r="M4154">
        <v>331922032</v>
      </c>
      <c r="N4154">
        <v>331192534</v>
      </c>
      <c r="O4154">
        <v>332035094</v>
      </c>
      <c r="P4154">
        <v>139</v>
      </c>
      <c r="Q4154" t="s">
        <v>8654</v>
      </c>
    </row>
    <row r="4155" spans="1:17" x14ac:dyDescent="0.3">
      <c r="A4155" t="s">
        <v>4729</v>
      </c>
      <c r="B4155" t="str">
        <f>"300355"</f>
        <v>300355</v>
      </c>
      <c r="C4155" t="s">
        <v>8655</v>
      </c>
      <c r="D4155" t="s">
        <v>2417</v>
      </c>
      <c r="F4155">
        <v>4214786364</v>
      </c>
      <c r="G4155">
        <v>4026627753</v>
      </c>
      <c r="H4155">
        <v>3666356025</v>
      </c>
      <c r="I4155">
        <v>3665901770</v>
      </c>
      <c r="J4155">
        <v>3602336650</v>
      </c>
      <c r="K4155">
        <v>2818322326</v>
      </c>
      <c r="L4155">
        <v>2056377979</v>
      </c>
      <c r="M4155">
        <v>1441330236</v>
      </c>
      <c r="N4155">
        <v>898867193</v>
      </c>
      <c r="O4155">
        <v>815833074</v>
      </c>
      <c r="P4155">
        <v>406</v>
      </c>
      <c r="Q4155" t="s">
        <v>8656</v>
      </c>
    </row>
    <row r="4156" spans="1:17" x14ac:dyDescent="0.3">
      <c r="A4156" t="s">
        <v>4729</v>
      </c>
      <c r="B4156" t="str">
        <f>"300356"</f>
        <v>300356</v>
      </c>
      <c r="C4156" t="s">
        <v>8657</v>
      </c>
      <c r="D4156" t="s">
        <v>2180</v>
      </c>
      <c r="F4156">
        <v>780658217</v>
      </c>
      <c r="G4156">
        <v>980809103</v>
      </c>
      <c r="H4156">
        <v>1078497175</v>
      </c>
      <c r="I4156">
        <v>1053187340</v>
      </c>
      <c r="J4156">
        <v>1034354565</v>
      </c>
      <c r="K4156">
        <v>1409322456</v>
      </c>
      <c r="L4156">
        <v>1329231619</v>
      </c>
      <c r="M4156">
        <v>1296153783</v>
      </c>
      <c r="N4156">
        <v>679014182</v>
      </c>
      <c r="O4156">
        <v>657678376</v>
      </c>
      <c r="P4156">
        <v>67</v>
      </c>
      <c r="Q4156" t="s">
        <v>8658</v>
      </c>
    </row>
    <row r="4157" spans="1:17" x14ac:dyDescent="0.3">
      <c r="A4157" t="s">
        <v>4729</v>
      </c>
      <c r="B4157" t="str">
        <f>"300357"</f>
        <v>300357</v>
      </c>
      <c r="C4157" t="s">
        <v>8659</v>
      </c>
      <c r="D4157" t="s">
        <v>1379</v>
      </c>
      <c r="F4157">
        <v>1736067935</v>
      </c>
      <c r="G4157">
        <v>1455908680</v>
      </c>
      <c r="H4157">
        <v>1270995838</v>
      </c>
      <c r="I4157">
        <v>969517290</v>
      </c>
      <c r="J4157">
        <v>801257930</v>
      </c>
      <c r="K4157">
        <v>655576730</v>
      </c>
      <c r="L4157">
        <v>582913455</v>
      </c>
      <c r="M4157">
        <v>513550188</v>
      </c>
      <c r="N4157">
        <v>251909851</v>
      </c>
      <c r="O4157">
        <v>181357205</v>
      </c>
      <c r="P4157">
        <v>31270</v>
      </c>
      <c r="Q4157" t="s">
        <v>8660</v>
      </c>
    </row>
    <row r="4158" spans="1:17" x14ac:dyDescent="0.3">
      <c r="A4158" t="s">
        <v>4729</v>
      </c>
      <c r="B4158" t="str">
        <f>"300358"</f>
        <v>300358</v>
      </c>
      <c r="C4158" t="s">
        <v>8661</v>
      </c>
      <c r="D4158" t="s">
        <v>122</v>
      </c>
      <c r="F4158">
        <v>3592518973</v>
      </c>
      <c r="G4158">
        <v>2803846372</v>
      </c>
      <c r="H4158">
        <v>2383352669</v>
      </c>
      <c r="I4158">
        <v>2357336461</v>
      </c>
      <c r="J4158">
        <v>2318724501</v>
      </c>
      <c r="K4158">
        <v>1647838972</v>
      </c>
      <c r="L4158">
        <v>1519401890</v>
      </c>
      <c r="M4158">
        <v>832975885</v>
      </c>
      <c r="N4158">
        <v>455299376</v>
      </c>
      <c r="O4158">
        <v>320323683</v>
      </c>
      <c r="P4158">
        <v>185</v>
      </c>
      <c r="Q4158" t="s">
        <v>8662</v>
      </c>
    </row>
    <row r="4159" spans="1:17" x14ac:dyDescent="0.3">
      <c r="A4159" t="s">
        <v>4729</v>
      </c>
      <c r="B4159" t="str">
        <f>"300359"</f>
        <v>300359</v>
      </c>
      <c r="C4159" t="s">
        <v>8663</v>
      </c>
      <c r="D4159" t="s">
        <v>1336</v>
      </c>
      <c r="F4159">
        <v>667165424</v>
      </c>
      <c r="G4159">
        <v>675741884</v>
      </c>
      <c r="H4159">
        <v>623977263</v>
      </c>
      <c r="I4159">
        <v>1349923235</v>
      </c>
      <c r="J4159">
        <v>2069232492</v>
      </c>
      <c r="K4159">
        <v>2015881620</v>
      </c>
      <c r="L4159">
        <v>1925245414</v>
      </c>
      <c r="M4159">
        <v>371183043</v>
      </c>
      <c r="N4159">
        <v>214763112</v>
      </c>
      <c r="O4159">
        <v>184771006</v>
      </c>
      <c r="P4159">
        <v>166</v>
      </c>
      <c r="Q4159" t="s">
        <v>8664</v>
      </c>
    </row>
    <row r="4160" spans="1:17" x14ac:dyDescent="0.3">
      <c r="A4160" t="s">
        <v>4729</v>
      </c>
      <c r="B4160" t="str">
        <f>"300360"</f>
        <v>300360</v>
      </c>
      <c r="C4160" t="s">
        <v>8665</v>
      </c>
      <c r="D4160" t="s">
        <v>2180</v>
      </c>
      <c r="F4160">
        <v>2638035205</v>
      </c>
      <c r="G4160">
        <v>2396282197</v>
      </c>
      <c r="H4160">
        <v>2180452944</v>
      </c>
      <c r="I4160">
        <v>2157900550</v>
      </c>
      <c r="J4160">
        <v>2053126273</v>
      </c>
      <c r="K4160">
        <v>1304758210</v>
      </c>
      <c r="L4160">
        <v>1081290295</v>
      </c>
      <c r="M4160">
        <v>862481353</v>
      </c>
      <c r="N4160">
        <v>475111567</v>
      </c>
      <c r="O4160">
        <v>378292029</v>
      </c>
      <c r="P4160">
        <v>958</v>
      </c>
      <c r="Q4160" t="s">
        <v>8666</v>
      </c>
    </row>
    <row r="4161" spans="1:17" x14ac:dyDescent="0.3">
      <c r="A4161" t="s">
        <v>4729</v>
      </c>
      <c r="B4161" t="str">
        <f>"300361"</f>
        <v>300361</v>
      </c>
      <c r="C4161" t="s">
        <v>7298</v>
      </c>
      <c r="D4161" t="s">
        <v>143</v>
      </c>
      <c r="P4161">
        <v>8</v>
      </c>
      <c r="Q4161" t="s">
        <v>8667</v>
      </c>
    </row>
    <row r="4162" spans="1:17" x14ac:dyDescent="0.3">
      <c r="A4162" t="s">
        <v>4729</v>
      </c>
      <c r="B4162" t="str">
        <f>"300362"</f>
        <v>300362</v>
      </c>
      <c r="C4162" t="s">
        <v>8668</v>
      </c>
      <c r="G4162">
        <v>40968971</v>
      </c>
      <c r="H4162">
        <v>-1699661848</v>
      </c>
      <c r="I4162">
        <v>131836790</v>
      </c>
      <c r="J4162">
        <v>1808509289</v>
      </c>
      <c r="K4162">
        <v>1738212408</v>
      </c>
      <c r="L4162">
        <v>1625223526</v>
      </c>
      <c r="M4162">
        <v>613802619</v>
      </c>
      <c r="N4162">
        <v>331208231</v>
      </c>
      <c r="O4162">
        <v>299052390</v>
      </c>
      <c r="P4162">
        <v>87</v>
      </c>
      <c r="Q4162" t="s">
        <v>8669</v>
      </c>
    </row>
    <row r="4163" spans="1:17" x14ac:dyDescent="0.3">
      <c r="A4163" t="s">
        <v>4729</v>
      </c>
      <c r="B4163" t="str">
        <f>"300363"</f>
        <v>300363</v>
      </c>
      <c r="C4163" t="s">
        <v>8670</v>
      </c>
      <c r="D4163" t="s">
        <v>1461</v>
      </c>
      <c r="F4163">
        <v>3981557111</v>
      </c>
      <c r="G4163">
        <v>3391430127</v>
      </c>
      <c r="H4163">
        <v>3066684115</v>
      </c>
      <c r="I4163">
        <v>2883151788</v>
      </c>
      <c r="J4163">
        <v>1375538510</v>
      </c>
      <c r="K4163">
        <v>1283526764</v>
      </c>
      <c r="L4163">
        <v>1119470419</v>
      </c>
      <c r="M4163">
        <v>810810796</v>
      </c>
      <c r="N4163">
        <v>428528060</v>
      </c>
      <c r="O4163">
        <v>328446646</v>
      </c>
      <c r="P4163">
        <v>542</v>
      </c>
      <c r="Q4163" t="s">
        <v>8671</v>
      </c>
    </row>
    <row r="4164" spans="1:17" x14ac:dyDescent="0.3">
      <c r="A4164" t="s">
        <v>4729</v>
      </c>
      <c r="B4164" t="str">
        <f>"300364"</f>
        <v>300364</v>
      </c>
      <c r="C4164" t="s">
        <v>8672</v>
      </c>
      <c r="D4164" t="s">
        <v>525</v>
      </c>
      <c r="F4164">
        <v>1562827086</v>
      </c>
      <c r="G4164">
        <v>1453573020</v>
      </c>
      <c r="H4164">
        <v>1415848334</v>
      </c>
      <c r="I4164">
        <v>2179595711</v>
      </c>
      <c r="J4164">
        <v>2664011406</v>
      </c>
      <c r="K4164">
        <v>2537550086</v>
      </c>
      <c r="L4164">
        <v>511808589</v>
      </c>
      <c r="M4164">
        <v>301206282</v>
      </c>
      <c r="N4164">
        <v>263336539</v>
      </c>
      <c r="O4164">
        <v>230034512</v>
      </c>
      <c r="P4164">
        <v>153</v>
      </c>
      <c r="Q4164" t="s">
        <v>8673</v>
      </c>
    </row>
    <row r="4165" spans="1:17" x14ac:dyDescent="0.3">
      <c r="A4165" t="s">
        <v>4729</v>
      </c>
      <c r="B4165" t="str">
        <f>"300365"</f>
        <v>300365</v>
      </c>
      <c r="C4165" t="s">
        <v>8674</v>
      </c>
      <c r="D4165" t="s">
        <v>945</v>
      </c>
      <c r="F4165">
        <v>2166188476</v>
      </c>
      <c r="G4165">
        <v>2088855347</v>
      </c>
      <c r="H4165">
        <v>2142631643</v>
      </c>
      <c r="I4165">
        <v>1818294691</v>
      </c>
      <c r="J4165">
        <v>1551713636</v>
      </c>
      <c r="K4165">
        <v>729245405</v>
      </c>
      <c r="L4165">
        <v>629607947</v>
      </c>
      <c r="M4165">
        <v>524367994</v>
      </c>
      <c r="N4165">
        <v>237410675</v>
      </c>
      <c r="O4165">
        <v>177915108</v>
      </c>
      <c r="P4165">
        <v>334</v>
      </c>
      <c r="Q4165" t="s">
        <v>8675</v>
      </c>
    </row>
    <row r="4166" spans="1:17" x14ac:dyDescent="0.3">
      <c r="A4166" t="s">
        <v>4729</v>
      </c>
      <c r="B4166" t="str">
        <f>"300366"</f>
        <v>300366</v>
      </c>
      <c r="C4166" t="s">
        <v>8676</v>
      </c>
      <c r="D4166" t="s">
        <v>945</v>
      </c>
      <c r="F4166">
        <v>2349788114</v>
      </c>
      <c r="G4166">
        <v>1680310512</v>
      </c>
      <c r="H4166">
        <v>2459279680</v>
      </c>
      <c r="I4166">
        <v>2395337900</v>
      </c>
      <c r="J4166">
        <v>2956934133</v>
      </c>
      <c r="K4166">
        <v>2810392255</v>
      </c>
      <c r="L4166">
        <v>1320743758</v>
      </c>
      <c r="M4166">
        <v>343705024</v>
      </c>
      <c r="N4166">
        <v>204350203</v>
      </c>
      <c r="O4166">
        <v>178059832</v>
      </c>
      <c r="P4166">
        <v>222</v>
      </c>
      <c r="Q4166" t="s">
        <v>8677</v>
      </c>
    </row>
    <row r="4167" spans="1:17" x14ac:dyDescent="0.3">
      <c r="A4167" t="s">
        <v>4729</v>
      </c>
      <c r="B4167" t="str">
        <f>"300367"</f>
        <v>300367</v>
      </c>
      <c r="C4167" t="s">
        <v>8678</v>
      </c>
      <c r="D4167" t="s">
        <v>2980</v>
      </c>
      <c r="F4167">
        <v>-1523829091</v>
      </c>
      <c r="G4167">
        <v>204865419</v>
      </c>
      <c r="H4167">
        <v>741628946</v>
      </c>
      <c r="I4167">
        <v>3969665135</v>
      </c>
      <c r="J4167">
        <v>3615565227</v>
      </c>
      <c r="K4167">
        <v>3444446257</v>
      </c>
      <c r="L4167">
        <v>1963491852</v>
      </c>
      <c r="M4167">
        <v>835077094</v>
      </c>
      <c r="N4167">
        <v>365368355</v>
      </c>
      <c r="O4167">
        <v>263497472</v>
      </c>
      <c r="P4167">
        <v>196</v>
      </c>
      <c r="Q4167" t="s">
        <v>8679</v>
      </c>
    </row>
    <row r="4168" spans="1:17" x14ac:dyDescent="0.3">
      <c r="A4168" t="s">
        <v>4729</v>
      </c>
      <c r="B4168" t="str">
        <f>"300368"</f>
        <v>300368</v>
      </c>
      <c r="C4168" t="s">
        <v>8680</v>
      </c>
      <c r="D4168" t="s">
        <v>236</v>
      </c>
      <c r="F4168">
        <v>904691924</v>
      </c>
      <c r="G4168">
        <v>914493360</v>
      </c>
      <c r="H4168">
        <v>873969269</v>
      </c>
      <c r="I4168">
        <v>830774126</v>
      </c>
      <c r="J4168">
        <v>912538107</v>
      </c>
      <c r="K4168">
        <v>1087075162</v>
      </c>
      <c r="L4168">
        <v>1031550584</v>
      </c>
      <c r="M4168">
        <v>525596633</v>
      </c>
      <c r="N4168">
        <v>312265471</v>
      </c>
      <c r="O4168">
        <v>257270645</v>
      </c>
      <c r="P4168">
        <v>119</v>
      </c>
      <c r="Q4168" t="s">
        <v>8681</v>
      </c>
    </row>
    <row r="4169" spans="1:17" x14ac:dyDescent="0.3">
      <c r="A4169" t="s">
        <v>4729</v>
      </c>
      <c r="B4169" t="str">
        <f>"300369"</f>
        <v>300369</v>
      </c>
      <c r="C4169" t="s">
        <v>8682</v>
      </c>
      <c r="D4169" t="s">
        <v>1189</v>
      </c>
      <c r="F4169">
        <v>3636090709</v>
      </c>
      <c r="G4169">
        <v>3496691687</v>
      </c>
      <c r="H4169">
        <v>3383111966</v>
      </c>
      <c r="I4169">
        <v>3108855355</v>
      </c>
      <c r="J4169">
        <v>2865854851</v>
      </c>
      <c r="K4169">
        <v>1919265179</v>
      </c>
      <c r="L4169">
        <v>1690104745</v>
      </c>
      <c r="M4169">
        <v>970308157</v>
      </c>
      <c r="N4169">
        <v>467375076</v>
      </c>
      <c r="O4169">
        <v>357890333</v>
      </c>
      <c r="P4169">
        <v>418</v>
      </c>
      <c r="Q4169" t="s">
        <v>8683</v>
      </c>
    </row>
    <row r="4170" spans="1:17" x14ac:dyDescent="0.3">
      <c r="A4170" t="s">
        <v>4729</v>
      </c>
      <c r="B4170" t="str">
        <f>"300370"</f>
        <v>300370</v>
      </c>
      <c r="C4170" t="s">
        <v>8684</v>
      </c>
      <c r="D4170" t="s">
        <v>2566</v>
      </c>
      <c r="F4170">
        <v>-406851985</v>
      </c>
      <c r="G4170">
        <v>426345796</v>
      </c>
      <c r="H4170">
        <v>837641311</v>
      </c>
      <c r="I4170">
        <v>846073714</v>
      </c>
      <c r="J4170">
        <v>1401941909</v>
      </c>
      <c r="K4170">
        <v>1272430019</v>
      </c>
      <c r="L4170">
        <v>815328695</v>
      </c>
      <c r="M4170">
        <v>436498416</v>
      </c>
      <c r="N4170">
        <v>243840656</v>
      </c>
      <c r="O4170">
        <v>194158620</v>
      </c>
      <c r="P4170">
        <v>103</v>
      </c>
      <c r="Q4170" t="s">
        <v>8685</v>
      </c>
    </row>
    <row r="4171" spans="1:17" x14ac:dyDescent="0.3">
      <c r="A4171" t="s">
        <v>4729</v>
      </c>
      <c r="B4171" t="str">
        <f>"300371"</f>
        <v>300371</v>
      </c>
      <c r="C4171" t="s">
        <v>8686</v>
      </c>
      <c r="D4171" t="s">
        <v>2566</v>
      </c>
      <c r="F4171">
        <v>936896158</v>
      </c>
      <c r="G4171">
        <v>813884516</v>
      </c>
      <c r="H4171">
        <v>715160604</v>
      </c>
      <c r="I4171">
        <v>620850348</v>
      </c>
      <c r="J4171">
        <v>601934209</v>
      </c>
      <c r="K4171">
        <v>547493081</v>
      </c>
      <c r="L4171">
        <v>514972432</v>
      </c>
      <c r="M4171">
        <v>460501941</v>
      </c>
      <c r="N4171">
        <v>186948646</v>
      </c>
      <c r="O4171">
        <v>176861703</v>
      </c>
      <c r="P4171">
        <v>288</v>
      </c>
      <c r="Q4171" t="s">
        <v>8687</v>
      </c>
    </row>
    <row r="4172" spans="1:17" x14ac:dyDescent="0.3">
      <c r="A4172" t="s">
        <v>4729</v>
      </c>
      <c r="B4172" t="str">
        <f>"300372"</f>
        <v>300372</v>
      </c>
      <c r="C4172" t="s">
        <v>8688</v>
      </c>
      <c r="K4172">
        <v>530011300</v>
      </c>
      <c r="L4172">
        <v>630258217.75</v>
      </c>
      <c r="M4172">
        <v>637488463.01999998</v>
      </c>
      <c r="N4172">
        <v>406029869.25999999</v>
      </c>
      <c r="O4172">
        <v>343105029.60000002</v>
      </c>
      <c r="P4172">
        <v>5</v>
      </c>
      <c r="Q4172" t="s">
        <v>8689</v>
      </c>
    </row>
    <row r="4173" spans="1:17" x14ac:dyDescent="0.3">
      <c r="A4173" t="s">
        <v>4729</v>
      </c>
      <c r="B4173" t="str">
        <f>"300373"</f>
        <v>300373</v>
      </c>
      <c r="C4173" t="s">
        <v>8690</v>
      </c>
      <c r="D4173" t="s">
        <v>795</v>
      </c>
      <c r="F4173">
        <v>5083019416</v>
      </c>
      <c r="G4173">
        <v>2904021817</v>
      </c>
      <c r="H4173">
        <v>2543425835</v>
      </c>
      <c r="I4173">
        <v>2403202240</v>
      </c>
      <c r="J4173">
        <v>2268652847</v>
      </c>
      <c r="K4173">
        <v>2021109058</v>
      </c>
      <c r="L4173">
        <v>844660394</v>
      </c>
      <c r="M4173">
        <v>720946745</v>
      </c>
      <c r="N4173">
        <v>385053695</v>
      </c>
      <c r="O4173">
        <v>285362194</v>
      </c>
      <c r="P4173">
        <v>4305</v>
      </c>
      <c r="Q4173" t="s">
        <v>8691</v>
      </c>
    </row>
    <row r="4174" spans="1:17" x14ac:dyDescent="0.3">
      <c r="A4174" t="s">
        <v>4729</v>
      </c>
      <c r="B4174" t="str">
        <f>"300374"</f>
        <v>300374</v>
      </c>
      <c r="C4174" t="s">
        <v>8692</v>
      </c>
      <c r="D4174" t="s">
        <v>5922</v>
      </c>
      <c r="F4174">
        <v>1171695895</v>
      </c>
      <c r="G4174">
        <v>1535179675</v>
      </c>
      <c r="H4174">
        <v>1532394984</v>
      </c>
      <c r="I4174">
        <v>1472362999</v>
      </c>
      <c r="J4174">
        <v>1431677419</v>
      </c>
      <c r="K4174">
        <v>805777749</v>
      </c>
      <c r="L4174">
        <v>762335500</v>
      </c>
      <c r="M4174">
        <v>447536746</v>
      </c>
      <c r="N4174">
        <v>388390689</v>
      </c>
      <c r="O4174">
        <v>328610161</v>
      </c>
      <c r="P4174">
        <v>61</v>
      </c>
      <c r="Q4174" t="s">
        <v>8693</v>
      </c>
    </row>
    <row r="4175" spans="1:17" x14ac:dyDescent="0.3">
      <c r="A4175" t="s">
        <v>4729</v>
      </c>
      <c r="B4175" t="str">
        <f>"300375"</f>
        <v>300375</v>
      </c>
      <c r="C4175" t="s">
        <v>8694</v>
      </c>
      <c r="D4175" t="s">
        <v>348</v>
      </c>
      <c r="F4175">
        <v>2098604748</v>
      </c>
      <c r="G4175">
        <v>2036209710</v>
      </c>
      <c r="H4175">
        <v>2237437634</v>
      </c>
      <c r="I4175">
        <v>1602673766</v>
      </c>
      <c r="J4175">
        <v>1594931318</v>
      </c>
      <c r="K4175">
        <v>1269007692</v>
      </c>
      <c r="L4175">
        <v>1128708024</v>
      </c>
      <c r="M4175">
        <v>920944170</v>
      </c>
      <c r="N4175">
        <v>594656434</v>
      </c>
      <c r="O4175">
        <v>498790494</v>
      </c>
      <c r="P4175">
        <v>99</v>
      </c>
      <c r="Q4175" t="s">
        <v>8695</v>
      </c>
    </row>
    <row r="4176" spans="1:17" x14ac:dyDescent="0.3">
      <c r="A4176" t="s">
        <v>4729</v>
      </c>
      <c r="B4176" t="str">
        <f>"300376"</f>
        <v>300376</v>
      </c>
      <c r="C4176" t="s">
        <v>8696</v>
      </c>
      <c r="D4176" t="s">
        <v>880</v>
      </c>
      <c r="F4176">
        <v>6071836714</v>
      </c>
      <c r="G4176">
        <v>5718938707</v>
      </c>
      <c r="H4176">
        <v>5255572446</v>
      </c>
      <c r="I4176">
        <v>4857245820</v>
      </c>
      <c r="J4176">
        <v>4350610455</v>
      </c>
      <c r="K4176">
        <v>3663934527</v>
      </c>
      <c r="L4176">
        <v>1332338353</v>
      </c>
      <c r="M4176">
        <v>1083950922</v>
      </c>
      <c r="N4176">
        <v>763759381</v>
      </c>
      <c r="O4176">
        <v>605321479</v>
      </c>
      <c r="P4176">
        <v>849</v>
      </c>
      <c r="Q4176" t="s">
        <v>8697</v>
      </c>
    </row>
    <row r="4177" spans="1:17" x14ac:dyDescent="0.3">
      <c r="A4177" t="s">
        <v>4729</v>
      </c>
      <c r="B4177" t="str">
        <f>"300377"</f>
        <v>300377</v>
      </c>
      <c r="C4177" t="s">
        <v>8698</v>
      </c>
      <c r="D4177" t="s">
        <v>945</v>
      </c>
      <c r="F4177">
        <v>2983399673</v>
      </c>
      <c r="G4177">
        <v>2759756570</v>
      </c>
      <c r="H4177">
        <v>2808647112</v>
      </c>
      <c r="I4177">
        <v>2713651912</v>
      </c>
      <c r="J4177">
        <v>2698048074</v>
      </c>
      <c r="K4177">
        <v>2567355553</v>
      </c>
      <c r="L4177">
        <v>457601591</v>
      </c>
      <c r="M4177">
        <v>426858579</v>
      </c>
      <c r="N4177">
        <v>198700666</v>
      </c>
      <c r="O4177">
        <v>158343333</v>
      </c>
      <c r="P4177">
        <v>3125</v>
      </c>
      <c r="Q4177" t="s">
        <v>8699</v>
      </c>
    </row>
    <row r="4178" spans="1:17" x14ac:dyDescent="0.3">
      <c r="A4178" t="s">
        <v>4729</v>
      </c>
      <c r="B4178" t="str">
        <f>"300378"</f>
        <v>300378</v>
      </c>
      <c r="C4178" t="s">
        <v>8700</v>
      </c>
      <c r="D4178" t="s">
        <v>1189</v>
      </c>
      <c r="F4178">
        <v>1667632440</v>
      </c>
      <c r="G4178">
        <v>1520889077</v>
      </c>
      <c r="H4178">
        <v>1401929569</v>
      </c>
      <c r="I4178">
        <v>1320382341</v>
      </c>
      <c r="J4178">
        <v>1221839311</v>
      </c>
      <c r="K4178">
        <v>1168105380</v>
      </c>
      <c r="L4178">
        <v>1127942231</v>
      </c>
      <c r="M4178">
        <v>1146697233</v>
      </c>
      <c r="N4178">
        <v>633299451</v>
      </c>
      <c r="O4178">
        <v>553597954</v>
      </c>
      <c r="P4178">
        <v>195</v>
      </c>
      <c r="Q4178" t="s">
        <v>8701</v>
      </c>
    </row>
    <row r="4179" spans="1:17" x14ac:dyDescent="0.3">
      <c r="A4179" t="s">
        <v>4729</v>
      </c>
      <c r="B4179" t="str">
        <f>"300379"</f>
        <v>300379</v>
      </c>
      <c r="C4179" t="s">
        <v>8702</v>
      </c>
      <c r="D4179" t="s">
        <v>945</v>
      </c>
      <c r="F4179">
        <v>2265446015</v>
      </c>
      <c r="G4179">
        <v>2042155950</v>
      </c>
      <c r="H4179">
        <v>1655302099</v>
      </c>
      <c r="I4179">
        <v>1422317277</v>
      </c>
      <c r="J4179">
        <v>1447441844</v>
      </c>
      <c r="K4179">
        <v>1774382011</v>
      </c>
      <c r="L4179">
        <v>840977976</v>
      </c>
      <c r="M4179">
        <v>781298884</v>
      </c>
      <c r="N4179">
        <v>201989297</v>
      </c>
      <c r="O4179">
        <v>156513371</v>
      </c>
      <c r="P4179">
        <v>395</v>
      </c>
      <c r="Q4179" t="s">
        <v>8703</v>
      </c>
    </row>
    <row r="4180" spans="1:17" x14ac:dyDescent="0.3">
      <c r="A4180" t="s">
        <v>4729</v>
      </c>
      <c r="B4180" t="str">
        <f>"300380"</f>
        <v>300380</v>
      </c>
      <c r="C4180" t="s">
        <v>8704</v>
      </c>
      <c r="D4180" t="s">
        <v>945</v>
      </c>
      <c r="F4180">
        <v>478733605</v>
      </c>
      <c r="G4180">
        <v>478261622</v>
      </c>
      <c r="H4180">
        <v>448004941</v>
      </c>
      <c r="I4180">
        <v>430407627</v>
      </c>
      <c r="J4180">
        <v>403939543</v>
      </c>
      <c r="K4180">
        <v>391161858</v>
      </c>
      <c r="L4180">
        <v>424398470</v>
      </c>
      <c r="M4180">
        <v>416752763</v>
      </c>
      <c r="N4180">
        <v>222410595</v>
      </c>
      <c r="O4180">
        <v>189112109</v>
      </c>
      <c r="P4180">
        <v>85</v>
      </c>
      <c r="Q4180" t="s">
        <v>8705</v>
      </c>
    </row>
    <row r="4181" spans="1:17" x14ac:dyDescent="0.3">
      <c r="A4181" t="s">
        <v>4729</v>
      </c>
      <c r="B4181" t="str">
        <f>"300381"</f>
        <v>300381</v>
      </c>
      <c r="C4181" t="s">
        <v>8706</v>
      </c>
      <c r="D4181" t="s">
        <v>496</v>
      </c>
      <c r="F4181">
        <v>2784145435</v>
      </c>
      <c r="G4181">
        <v>2969423152</v>
      </c>
      <c r="H4181">
        <v>2403185113</v>
      </c>
      <c r="I4181">
        <v>2035886941</v>
      </c>
      <c r="J4181">
        <v>1938648669</v>
      </c>
      <c r="K4181">
        <v>1899598870</v>
      </c>
      <c r="L4181">
        <v>1295918686</v>
      </c>
      <c r="M4181">
        <v>663100471</v>
      </c>
      <c r="N4181">
        <v>305174907</v>
      </c>
      <c r="O4181">
        <v>242040113</v>
      </c>
      <c r="P4181">
        <v>160</v>
      </c>
      <c r="Q4181" t="s">
        <v>8707</v>
      </c>
    </row>
    <row r="4182" spans="1:17" x14ac:dyDescent="0.3">
      <c r="A4182" t="s">
        <v>4729</v>
      </c>
      <c r="B4182" t="str">
        <f>"300382"</f>
        <v>300382</v>
      </c>
      <c r="C4182" t="s">
        <v>8708</v>
      </c>
      <c r="D4182" t="s">
        <v>741</v>
      </c>
      <c r="F4182">
        <v>1294732773</v>
      </c>
      <c r="G4182">
        <v>1019183236</v>
      </c>
      <c r="H4182">
        <v>969396717</v>
      </c>
      <c r="I4182">
        <v>1020809512</v>
      </c>
      <c r="J4182">
        <v>1055591499</v>
      </c>
      <c r="K4182">
        <v>1033261246</v>
      </c>
      <c r="L4182">
        <v>639316118</v>
      </c>
      <c r="M4182">
        <v>619857791</v>
      </c>
      <c r="N4182">
        <v>316973339</v>
      </c>
      <c r="O4182">
        <v>219139515</v>
      </c>
      <c r="P4182">
        <v>182</v>
      </c>
      <c r="Q4182" t="s">
        <v>8709</v>
      </c>
    </row>
    <row r="4183" spans="1:17" x14ac:dyDescent="0.3">
      <c r="A4183" t="s">
        <v>4729</v>
      </c>
      <c r="B4183" t="str">
        <f>"300383"</f>
        <v>300383</v>
      </c>
      <c r="C4183" t="s">
        <v>8710</v>
      </c>
      <c r="D4183" t="s">
        <v>316</v>
      </c>
      <c r="F4183">
        <v>13024508819</v>
      </c>
      <c r="G4183">
        <v>9242810903</v>
      </c>
      <c r="H4183">
        <v>8348403918</v>
      </c>
      <c r="I4183">
        <v>7500643483</v>
      </c>
      <c r="J4183">
        <v>6431051380</v>
      </c>
      <c r="K4183">
        <v>6055783300</v>
      </c>
      <c r="L4183">
        <v>762050985</v>
      </c>
      <c r="M4183">
        <v>697584575</v>
      </c>
      <c r="N4183">
        <v>307965940</v>
      </c>
      <c r="O4183">
        <v>250960530</v>
      </c>
      <c r="P4183">
        <v>2115</v>
      </c>
      <c r="Q4183" t="s">
        <v>8711</v>
      </c>
    </row>
    <row r="4184" spans="1:17" x14ac:dyDescent="0.3">
      <c r="A4184" t="s">
        <v>4729</v>
      </c>
      <c r="B4184" t="str">
        <f>"300384"</f>
        <v>300384</v>
      </c>
      <c r="C4184" t="s">
        <v>8712</v>
      </c>
      <c r="D4184" t="s">
        <v>2025</v>
      </c>
      <c r="F4184">
        <v>2145529286</v>
      </c>
      <c r="G4184">
        <v>2031386217</v>
      </c>
      <c r="H4184">
        <v>1849695860</v>
      </c>
      <c r="I4184">
        <v>1633717989</v>
      </c>
      <c r="J4184">
        <v>1602343423</v>
      </c>
      <c r="K4184">
        <v>822462979</v>
      </c>
      <c r="L4184">
        <v>770605834</v>
      </c>
      <c r="M4184">
        <v>708861994</v>
      </c>
      <c r="N4184">
        <v>248450286</v>
      </c>
      <c r="O4184">
        <v>176433390</v>
      </c>
      <c r="P4184">
        <v>164</v>
      </c>
      <c r="Q4184" t="s">
        <v>8713</v>
      </c>
    </row>
    <row r="4185" spans="1:17" x14ac:dyDescent="0.3">
      <c r="A4185" t="s">
        <v>4729</v>
      </c>
      <c r="B4185" t="str">
        <f>"300385"</f>
        <v>300385</v>
      </c>
      <c r="C4185" t="s">
        <v>8714</v>
      </c>
      <c r="D4185" t="s">
        <v>663</v>
      </c>
      <c r="F4185">
        <v>983447998</v>
      </c>
      <c r="G4185">
        <v>861602351</v>
      </c>
      <c r="H4185">
        <v>1219306157</v>
      </c>
      <c r="I4185">
        <v>1138575138</v>
      </c>
      <c r="J4185">
        <v>1104364240</v>
      </c>
      <c r="K4185">
        <v>775182439</v>
      </c>
      <c r="L4185">
        <v>698671488</v>
      </c>
      <c r="M4185">
        <v>649915844</v>
      </c>
      <c r="N4185">
        <v>345793780</v>
      </c>
      <c r="O4185">
        <v>289647407</v>
      </c>
      <c r="P4185">
        <v>92</v>
      </c>
      <c r="Q4185" t="s">
        <v>8715</v>
      </c>
    </row>
    <row r="4186" spans="1:17" x14ac:dyDescent="0.3">
      <c r="A4186" t="s">
        <v>4729</v>
      </c>
      <c r="B4186" t="str">
        <f>"300386"</f>
        <v>300386</v>
      </c>
      <c r="C4186" t="s">
        <v>8716</v>
      </c>
      <c r="D4186" t="s">
        <v>236</v>
      </c>
      <c r="F4186">
        <v>1813891902</v>
      </c>
      <c r="G4186">
        <v>1877244632</v>
      </c>
      <c r="H4186">
        <v>1834141990</v>
      </c>
      <c r="I4186">
        <v>1751262706</v>
      </c>
      <c r="J4186">
        <v>1653927029</v>
      </c>
      <c r="K4186">
        <v>1570620432</v>
      </c>
      <c r="L4186">
        <v>1500990079</v>
      </c>
      <c r="M4186">
        <v>1389853347</v>
      </c>
      <c r="N4186">
        <v>506995551</v>
      </c>
      <c r="O4186">
        <v>305819678</v>
      </c>
      <c r="P4186">
        <v>188</v>
      </c>
      <c r="Q4186" t="s">
        <v>8717</v>
      </c>
    </row>
    <row r="4187" spans="1:17" x14ac:dyDescent="0.3">
      <c r="A4187" t="s">
        <v>4729</v>
      </c>
      <c r="B4187" t="str">
        <f>"300387"</f>
        <v>300387</v>
      </c>
      <c r="C4187" t="s">
        <v>8718</v>
      </c>
      <c r="D4187" t="s">
        <v>5562</v>
      </c>
      <c r="F4187">
        <v>1190339370</v>
      </c>
      <c r="G4187">
        <v>1230420906</v>
      </c>
      <c r="H4187">
        <v>1178527641</v>
      </c>
      <c r="I4187">
        <v>1120256494</v>
      </c>
      <c r="J4187">
        <v>783930132</v>
      </c>
      <c r="K4187">
        <v>716265035</v>
      </c>
      <c r="L4187">
        <v>621460463</v>
      </c>
      <c r="M4187">
        <v>566537028</v>
      </c>
      <c r="N4187">
        <v>291403009</v>
      </c>
      <c r="O4187">
        <v>231380734</v>
      </c>
      <c r="P4187">
        <v>89</v>
      </c>
      <c r="Q4187" t="s">
        <v>8719</v>
      </c>
    </row>
    <row r="4188" spans="1:17" x14ac:dyDescent="0.3">
      <c r="A4188" t="s">
        <v>4729</v>
      </c>
      <c r="B4188" t="str">
        <f>"300388"</f>
        <v>300388</v>
      </c>
      <c r="C4188" t="s">
        <v>8720</v>
      </c>
      <c r="D4188" t="s">
        <v>33</v>
      </c>
      <c r="F4188">
        <v>3581831172</v>
      </c>
      <c r="G4188">
        <v>3836431190</v>
      </c>
      <c r="H4188">
        <v>3351139907</v>
      </c>
      <c r="I4188">
        <v>2103189715</v>
      </c>
      <c r="J4188">
        <v>1797509221</v>
      </c>
      <c r="K4188">
        <v>1511258905</v>
      </c>
      <c r="L4188">
        <v>827954751</v>
      </c>
      <c r="M4188">
        <v>761672326</v>
      </c>
      <c r="N4188">
        <v>479700583</v>
      </c>
      <c r="O4188">
        <v>440432423</v>
      </c>
      <c r="P4188">
        <v>225</v>
      </c>
      <c r="Q4188" t="s">
        <v>8721</v>
      </c>
    </row>
    <row r="4189" spans="1:17" x14ac:dyDescent="0.3">
      <c r="A4189" t="s">
        <v>4729</v>
      </c>
      <c r="B4189" t="str">
        <f>"300389"</f>
        <v>300389</v>
      </c>
      <c r="C4189" t="s">
        <v>8722</v>
      </c>
      <c r="D4189" t="s">
        <v>803</v>
      </c>
      <c r="F4189">
        <v>1218593636</v>
      </c>
      <c r="G4189">
        <v>1192964224</v>
      </c>
      <c r="H4189">
        <v>1279021659</v>
      </c>
      <c r="I4189">
        <v>1270738822</v>
      </c>
      <c r="J4189">
        <v>1042317867</v>
      </c>
      <c r="K4189">
        <v>974308281</v>
      </c>
      <c r="L4189">
        <v>856409342</v>
      </c>
      <c r="M4189">
        <v>737550550</v>
      </c>
      <c r="N4189">
        <v>347839288</v>
      </c>
      <c r="O4189">
        <v>263822855</v>
      </c>
      <c r="P4189">
        <v>198</v>
      </c>
      <c r="Q4189" t="s">
        <v>8723</v>
      </c>
    </row>
    <row r="4190" spans="1:17" x14ac:dyDescent="0.3">
      <c r="A4190" t="s">
        <v>4729</v>
      </c>
      <c r="B4190" t="str">
        <f>"300390"</f>
        <v>300390</v>
      </c>
      <c r="C4190" t="s">
        <v>8724</v>
      </c>
      <c r="D4190" t="s">
        <v>651</v>
      </c>
      <c r="F4190">
        <v>3243441652</v>
      </c>
      <c r="G4190">
        <v>1213098003</v>
      </c>
      <c r="H4190">
        <v>881147806</v>
      </c>
      <c r="I4190">
        <v>870992110</v>
      </c>
      <c r="J4190">
        <v>831090195</v>
      </c>
      <c r="K4190">
        <v>799573135</v>
      </c>
      <c r="L4190">
        <v>810679450</v>
      </c>
      <c r="M4190">
        <v>330503084</v>
      </c>
      <c r="N4190">
        <v>198263129</v>
      </c>
      <c r="O4190">
        <v>170782635</v>
      </c>
      <c r="P4190">
        <v>460</v>
      </c>
      <c r="Q4190" t="s">
        <v>8725</v>
      </c>
    </row>
    <row r="4191" spans="1:17" x14ac:dyDescent="0.3">
      <c r="A4191" t="s">
        <v>4729</v>
      </c>
      <c r="B4191" t="str">
        <f>"300391"</f>
        <v>300391</v>
      </c>
      <c r="C4191" t="s">
        <v>8726</v>
      </c>
      <c r="D4191" t="s">
        <v>348</v>
      </c>
      <c r="F4191">
        <v>826282706</v>
      </c>
      <c r="G4191">
        <v>776694643</v>
      </c>
      <c r="H4191">
        <v>757855933</v>
      </c>
      <c r="I4191">
        <v>1435132253</v>
      </c>
      <c r="J4191">
        <v>935014813</v>
      </c>
      <c r="K4191">
        <v>361955325</v>
      </c>
      <c r="L4191">
        <v>361067686</v>
      </c>
      <c r="M4191">
        <v>364706788</v>
      </c>
      <c r="N4191">
        <v>197502584</v>
      </c>
      <c r="O4191">
        <v>172544040</v>
      </c>
      <c r="P4191">
        <v>80</v>
      </c>
      <c r="Q4191" t="s">
        <v>8727</v>
      </c>
    </row>
    <row r="4192" spans="1:17" x14ac:dyDescent="0.3">
      <c r="A4192" t="s">
        <v>4729</v>
      </c>
      <c r="B4192" t="str">
        <f>"300392"</f>
        <v>300392</v>
      </c>
      <c r="C4192" t="s">
        <v>8728</v>
      </c>
      <c r="D4192" t="s">
        <v>207</v>
      </c>
      <c r="F4192">
        <v>318343005</v>
      </c>
      <c r="G4192">
        <v>418826476</v>
      </c>
      <c r="H4192">
        <v>523921287</v>
      </c>
      <c r="I4192">
        <v>489658357</v>
      </c>
      <c r="J4192">
        <v>473841008</v>
      </c>
      <c r="K4192">
        <v>611249999</v>
      </c>
      <c r="L4192">
        <v>899348776</v>
      </c>
      <c r="M4192">
        <v>765597834</v>
      </c>
      <c r="N4192">
        <v>327102590</v>
      </c>
      <c r="O4192">
        <v>259286006</v>
      </c>
      <c r="P4192">
        <v>66</v>
      </c>
      <c r="Q4192" t="s">
        <v>8729</v>
      </c>
    </row>
    <row r="4193" spans="1:17" x14ac:dyDescent="0.3">
      <c r="A4193" t="s">
        <v>4729</v>
      </c>
      <c r="B4193" t="str">
        <f>"300393"</f>
        <v>300393</v>
      </c>
      <c r="C4193" t="s">
        <v>8730</v>
      </c>
      <c r="D4193" t="s">
        <v>356</v>
      </c>
      <c r="F4193">
        <v>3388176100</v>
      </c>
      <c r="G4193">
        <v>3662274454</v>
      </c>
      <c r="H4193">
        <v>2632396112</v>
      </c>
      <c r="I4193">
        <v>2511731326</v>
      </c>
      <c r="J4193">
        <v>2594135631</v>
      </c>
      <c r="K4193">
        <v>966912425</v>
      </c>
      <c r="L4193">
        <v>834269431</v>
      </c>
      <c r="M4193">
        <v>741475851</v>
      </c>
      <c r="N4193">
        <v>274002471</v>
      </c>
      <c r="O4193">
        <v>185298202</v>
      </c>
      <c r="P4193">
        <v>304</v>
      </c>
      <c r="Q4193" t="s">
        <v>8731</v>
      </c>
    </row>
    <row r="4194" spans="1:17" x14ac:dyDescent="0.3">
      <c r="A4194" t="s">
        <v>4729</v>
      </c>
      <c r="B4194" t="str">
        <f>"300394"</f>
        <v>300394</v>
      </c>
      <c r="C4194" t="s">
        <v>8732</v>
      </c>
      <c r="D4194" t="s">
        <v>1019</v>
      </c>
      <c r="F4194">
        <v>2333109174</v>
      </c>
      <c r="G4194">
        <v>1371470237</v>
      </c>
      <c r="H4194">
        <v>1169563008</v>
      </c>
      <c r="I4194">
        <v>1070662096</v>
      </c>
      <c r="J4194">
        <v>808907111</v>
      </c>
      <c r="K4194">
        <v>757089392</v>
      </c>
      <c r="L4194">
        <v>677142049</v>
      </c>
      <c r="M4194">
        <v>325532839</v>
      </c>
      <c r="N4194">
        <v>253405498</v>
      </c>
      <c r="O4194">
        <v>206137004</v>
      </c>
      <c r="P4194">
        <v>802</v>
      </c>
      <c r="Q4194" t="s">
        <v>8733</v>
      </c>
    </row>
    <row r="4195" spans="1:17" x14ac:dyDescent="0.3">
      <c r="A4195" t="s">
        <v>4729</v>
      </c>
      <c r="B4195" t="str">
        <f>"300395"</f>
        <v>300395</v>
      </c>
      <c r="C4195" t="s">
        <v>8734</v>
      </c>
      <c r="D4195" t="s">
        <v>98</v>
      </c>
      <c r="F4195">
        <v>2462903114</v>
      </c>
      <c r="G4195">
        <v>2080590961</v>
      </c>
      <c r="H4195">
        <v>1895823681</v>
      </c>
      <c r="I4195">
        <v>1056952048</v>
      </c>
      <c r="J4195">
        <v>906440914</v>
      </c>
      <c r="K4195">
        <v>815890298</v>
      </c>
      <c r="L4195">
        <v>719579975</v>
      </c>
      <c r="M4195">
        <v>648881299</v>
      </c>
      <c r="N4195">
        <v>320811140</v>
      </c>
      <c r="O4195">
        <v>263764584</v>
      </c>
      <c r="P4195">
        <v>553</v>
      </c>
      <c r="Q4195" t="s">
        <v>8735</v>
      </c>
    </row>
    <row r="4196" spans="1:17" x14ac:dyDescent="0.3">
      <c r="A4196" t="s">
        <v>4729</v>
      </c>
      <c r="B4196" t="str">
        <f>"300396"</f>
        <v>300396</v>
      </c>
      <c r="C4196" t="s">
        <v>8736</v>
      </c>
      <c r="D4196" t="s">
        <v>1305</v>
      </c>
      <c r="F4196">
        <v>1876348953</v>
      </c>
      <c r="G4196">
        <v>1654500366</v>
      </c>
      <c r="H4196">
        <v>1524884729</v>
      </c>
      <c r="I4196">
        <v>1381152915</v>
      </c>
      <c r="J4196">
        <v>1236213236</v>
      </c>
      <c r="K4196">
        <v>1092401262</v>
      </c>
      <c r="L4196">
        <v>997430365</v>
      </c>
      <c r="M4196">
        <v>919822316</v>
      </c>
      <c r="N4196">
        <v>399076986</v>
      </c>
      <c r="O4196">
        <v>335829162</v>
      </c>
      <c r="P4196">
        <v>360</v>
      </c>
      <c r="Q4196" t="s">
        <v>8737</v>
      </c>
    </row>
    <row r="4197" spans="1:17" x14ac:dyDescent="0.3">
      <c r="A4197" t="s">
        <v>4729</v>
      </c>
      <c r="B4197" t="str">
        <f>"300397"</f>
        <v>300397</v>
      </c>
      <c r="C4197" t="s">
        <v>8738</v>
      </c>
      <c r="D4197" t="s">
        <v>98</v>
      </c>
      <c r="F4197">
        <v>1977440510</v>
      </c>
      <c r="G4197">
        <v>1240529239</v>
      </c>
      <c r="H4197">
        <v>1136174492</v>
      </c>
      <c r="I4197">
        <v>1050212822</v>
      </c>
      <c r="J4197">
        <v>1223926290</v>
      </c>
      <c r="K4197">
        <v>1153809663</v>
      </c>
      <c r="L4197">
        <v>1224544970</v>
      </c>
      <c r="M4197">
        <v>1295136213</v>
      </c>
      <c r="N4197">
        <v>576906706</v>
      </c>
      <c r="O4197">
        <v>531728210</v>
      </c>
      <c r="P4197">
        <v>232</v>
      </c>
      <c r="Q4197" t="s">
        <v>8739</v>
      </c>
    </row>
    <row r="4198" spans="1:17" x14ac:dyDescent="0.3">
      <c r="A4198" t="s">
        <v>4729</v>
      </c>
      <c r="B4198" t="str">
        <f>"300398"</f>
        <v>300398</v>
      </c>
      <c r="C4198" t="s">
        <v>8740</v>
      </c>
      <c r="D4198" t="s">
        <v>2408</v>
      </c>
      <c r="F4198">
        <v>2963312716</v>
      </c>
      <c r="G4198">
        <v>2642273551</v>
      </c>
      <c r="H4198">
        <v>2412457181</v>
      </c>
      <c r="I4198">
        <v>2185375206</v>
      </c>
      <c r="J4198">
        <v>1921251566</v>
      </c>
      <c r="K4198">
        <v>781107556</v>
      </c>
      <c r="L4198">
        <v>733786447</v>
      </c>
      <c r="M4198">
        <v>644390535</v>
      </c>
      <c r="N4198">
        <v>240276766</v>
      </c>
      <c r="O4198">
        <v>184474150</v>
      </c>
      <c r="P4198">
        <v>244</v>
      </c>
      <c r="Q4198" t="s">
        <v>8741</v>
      </c>
    </row>
    <row r="4199" spans="1:17" x14ac:dyDescent="0.3">
      <c r="A4199" t="s">
        <v>4729</v>
      </c>
      <c r="B4199" t="str">
        <f>"300399"</f>
        <v>300399</v>
      </c>
      <c r="C4199" t="s">
        <v>8742</v>
      </c>
      <c r="D4199" t="s">
        <v>316</v>
      </c>
      <c r="F4199">
        <v>472615088</v>
      </c>
      <c r="G4199">
        <v>470793904</v>
      </c>
      <c r="H4199">
        <v>447221500</v>
      </c>
      <c r="I4199">
        <v>432545889</v>
      </c>
      <c r="J4199">
        <v>404026588</v>
      </c>
      <c r="K4199">
        <v>434864447</v>
      </c>
      <c r="L4199">
        <v>426043080</v>
      </c>
      <c r="M4199">
        <v>463003910</v>
      </c>
      <c r="N4199">
        <v>261689657</v>
      </c>
      <c r="O4199">
        <v>222070028</v>
      </c>
      <c r="P4199">
        <v>80</v>
      </c>
      <c r="Q4199" t="s">
        <v>8743</v>
      </c>
    </row>
    <row r="4200" spans="1:17" x14ac:dyDescent="0.3">
      <c r="A4200" t="s">
        <v>4729</v>
      </c>
      <c r="B4200" t="str">
        <f>"300400"</f>
        <v>300400</v>
      </c>
      <c r="C4200" t="s">
        <v>8744</v>
      </c>
      <c r="D4200" t="s">
        <v>3477</v>
      </c>
      <c r="F4200">
        <v>747809853</v>
      </c>
      <c r="G4200">
        <v>673487062</v>
      </c>
      <c r="H4200">
        <v>537004508</v>
      </c>
      <c r="I4200">
        <v>602242664</v>
      </c>
      <c r="J4200">
        <v>494850216</v>
      </c>
      <c r="K4200">
        <v>429513416</v>
      </c>
      <c r="L4200">
        <v>383405251</v>
      </c>
      <c r="M4200">
        <v>359366385</v>
      </c>
      <c r="N4200">
        <v>207439384</v>
      </c>
      <c r="O4200">
        <v>181914125</v>
      </c>
      <c r="P4200">
        <v>273</v>
      </c>
      <c r="Q4200" t="s">
        <v>8745</v>
      </c>
    </row>
    <row r="4201" spans="1:17" x14ac:dyDescent="0.3">
      <c r="A4201" t="s">
        <v>4729</v>
      </c>
      <c r="B4201" t="str">
        <f>"300401"</f>
        <v>300401</v>
      </c>
      <c r="C4201" t="s">
        <v>8746</v>
      </c>
      <c r="D4201" t="s">
        <v>496</v>
      </c>
      <c r="F4201">
        <v>2278749932</v>
      </c>
      <c r="G4201">
        <v>2909810863</v>
      </c>
      <c r="H4201">
        <v>1743033011</v>
      </c>
      <c r="I4201">
        <v>1561685782</v>
      </c>
      <c r="J4201">
        <v>1281117281</v>
      </c>
      <c r="K4201">
        <v>753076717</v>
      </c>
      <c r="L4201">
        <v>712024931</v>
      </c>
      <c r="M4201">
        <v>709020231</v>
      </c>
      <c r="N4201">
        <v>550252660</v>
      </c>
      <c r="O4201">
        <v>513819773</v>
      </c>
      <c r="P4201">
        <v>476</v>
      </c>
      <c r="Q4201" t="s">
        <v>8747</v>
      </c>
    </row>
    <row r="4202" spans="1:17" x14ac:dyDescent="0.3">
      <c r="A4202" t="s">
        <v>4729</v>
      </c>
      <c r="B4202" t="str">
        <f>"300402"</f>
        <v>300402</v>
      </c>
      <c r="C4202" t="s">
        <v>8748</v>
      </c>
      <c r="D4202" t="s">
        <v>274</v>
      </c>
      <c r="F4202">
        <v>633689918</v>
      </c>
      <c r="G4202">
        <v>681774581</v>
      </c>
      <c r="H4202">
        <v>647583153</v>
      </c>
      <c r="I4202">
        <v>618126983</v>
      </c>
      <c r="J4202">
        <v>605711297</v>
      </c>
      <c r="K4202">
        <v>595173061</v>
      </c>
      <c r="L4202">
        <v>696808146</v>
      </c>
      <c r="M4202">
        <v>701121973</v>
      </c>
      <c r="N4202">
        <v>455237811</v>
      </c>
      <c r="O4202">
        <v>397856658</v>
      </c>
      <c r="P4202">
        <v>101</v>
      </c>
      <c r="Q4202" t="s">
        <v>8749</v>
      </c>
    </row>
    <row r="4203" spans="1:17" x14ac:dyDescent="0.3">
      <c r="A4203" t="s">
        <v>4729</v>
      </c>
      <c r="B4203" t="str">
        <f>"300403"</f>
        <v>300403</v>
      </c>
      <c r="C4203" t="s">
        <v>8750</v>
      </c>
      <c r="D4203" t="s">
        <v>1253</v>
      </c>
      <c r="F4203">
        <v>1672939906</v>
      </c>
      <c r="G4203">
        <v>1504461434</v>
      </c>
      <c r="H4203">
        <v>1374344014</v>
      </c>
      <c r="I4203">
        <v>1330818536</v>
      </c>
      <c r="J4203">
        <v>1471905612</v>
      </c>
      <c r="K4203">
        <v>1339466219</v>
      </c>
      <c r="L4203">
        <v>1223037332</v>
      </c>
      <c r="M4203">
        <v>1142232272</v>
      </c>
      <c r="N4203">
        <v>441331189</v>
      </c>
      <c r="O4203">
        <v>347794396</v>
      </c>
      <c r="P4203">
        <v>253</v>
      </c>
      <c r="Q4203" t="s">
        <v>8751</v>
      </c>
    </row>
    <row r="4204" spans="1:17" x14ac:dyDescent="0.3">
      <c r="A4204" t="s">
        <v>4729</v>
      </c>
      <c r="B4204" t="str">
        <f>"300404"</f>
        <v>300404</v>
      </c>
      <c r="C4204" t="s">
        <v>8752</v>
      </c>
      <c r="D4204" t="s">
        <v>1461</v>
      </c>
      <c r="F4204">
        <v>813994073</v>
      </c>
      <c r="G4204">
        <v>444239449</v>
      </c>
      <c r="H4204">
        <v>422651741</v>
      </c>
      <c r="I4204">
        <v>412547767</v>
      </c>
      <c r="J4204">
        <v>404231120</v>
      </c>
      <c r="K4204">
        <v>428103716</v>
      </c>
      <c r="L4204">
        <v>432683630</v>
      </c>
      <c r="M4204">
        <v>218483709</v>
      </c>
      <c r="N4204">
        <v>205520134</v>
      </c>
      <c r="O4204">
        <v>170356474</v>
      </c>
      <c r="P4204">
        <v>150</v>
      </c>
      <c r="Q4204" t="s">
        <v>8753</v>
      </c>
    </row>
    <row r="4205" spans="1:17" x14ac:dyDescent="0.3">
      <c r="A4205" t="s">
        <v>4729</v>
      </c>
      <c r="B4205" t="str">
        <f>"300405"</f>
        <v>300405</v>
      </c>
      <c r="C4205" t="s">
        <v>8754</v>
      </c>
      <c r="D4205" t="s">
        <v>386</v>
      </c>
      <c r="F4205">
        <v>766322225</v>
      </c>
      <c r="G4205">
        <v>754646589</v>
      </c>
      <c r="H4205">
        <v>816030050</v>
      </c>
      <c r="I4205">
        <v>839089377</v>
      </c>
      <c r="J4205">
        <v>948979304</v>
      </c>
      <c r="K4205">
        <v>926415668</v>
      </c>
      <c r="L4205">
        <v>582622601</v>
      </c>
      <c r="M4205">
        <v>624211482</v>
      </c>
      <c r="N4205">
        <v>335242875</v>
      </c>
      <c r="O4205">
        <v>281512519</v>
      </c>
      <c r="P4205">
        <v>59</v>
      </c>
      <c r="Q4205" t="s">
        <v>8755</v>
      </c>
    </row>
    <row r="4206" spans="1:17" x14ac:dyDescent="0.3">
      <c r="A4206" t="s">
        <v>4729</v>
      </c>
      <c r="B4206" t="str">
        <f>"300406"</f>
        <v>300406</v>
      </c>
      <c r="C4206" t="s">
        <v>8756</v>
      </c>
      <c r="D4206" t="s">
        <v>1305</v>
      </c>
      <c r="F4206">
        <v>2874365714</v>
      </c>
      <c r="G4206">
        <v>3197523554</v>
      </c>
      <c r="H4206">
        <v>1970946575</v>
      </c>
      <c r="I4206">
        <v>1702202536</v>
      </c>
      <c r="J4206">
        <v>1530027909</v>
      </c>
      <c r="K4206">
        <v>1388025102</v>
      </c>
      <c r="L4206">
        <v>1175205047</v>
      </c>
      <c r="M4206">
        <v>987026943</v>
      </c>
      <c r="N4206">
        <v>476306024</v>
      </c>
      <c r="O4206">
        <v>385668642</v>
      </c>
      <c r="P4206">
        <v>14630</v>
      </c>
      <c r="Q4206" t="s">
        <v>8757</v>
      </c>
    </row>
    <row r="4207" spans="1:17" x14ac:dyDescent="0.3">
      <c r="A4207" t="s">
        <v>4729</v>
      </c>
      <c r="B4207" t="str">
        <f>"300407"</f>
        <v>300407</v>
      </c>
      <c r="C4207" t="s">
        <v>8758</v>
      </c>
      <c r="D4207" t="s">
        <v>610</v>
      </c>
      <c r="F4207">
        <v>1416126744</v>
      </c>
      <c r="G4207">
        <v>1408973611</v>
      </c>
      <c r="H4207">
        <v>1312508956</v>
      </c>
      <c r="I4207">
        <v>1001548030</v>
      </c>
      <c r="J4207">
        <v>977788112</v>
      </c>
      <c r="K4207">
        <v>912028439</v>
      </c>
      <c r="L4207">
        <v>791500430</v>
      </c>
      <c r="M4207">
        <v>732026554</v>
      </c>
      <c r="N4207">
        <v>320336132</v>
      </c>
      <c r="O4207">
        <v>275818904</v>
      </c>
      <c r="P4207">
        <v>132</v>
      </c>
      <c r="Q4207" t="s">
        <v>8759</v>
      </c>
    </row>
    <row r="4208" spans="1:17" x14ac:dyDescent="0.3">
      <c r="A4208" t="s">
        <v>4729</v>
      </c>
      <c r="B4208" t="str">
        <f>"300408"</f>
        <v>300408</v>
      </c>
      <c r="C4208" t="s">
        <v>8760</v>
      </c>
      <c r="D4208" t="s">
        <v>546</v>
      </c>
      <c r="F4208">
        <v>16190296604</v>
      </c>
      <c r="G4208">
        <v>10813404793</v>
      </c>
      <c r="H4208">
        <v>7509920113</v>
      </c>
      <c r="I4208">
        <v>6991943237</v>
      </c>
      <c r="J4208">
        <v>5897598322</v>
      </c>
      <c r="K4208">
        <v>5114032231</v>
      </c>
      <c r="L4208">
        <v>4278992437</v>
      </c>
      <c r="M4208">
        <v>3610305415</v>
      </c>
      <c r="N4208">
        <v>1766771754</v>
      </c>
      <c r="O4208">
        <v>1427792418</v>
      </c>
      <c r="P4208">
        <v>1510</v>
      </c>
      <c r="Q4208" t="s">
        <v>8761</v>
      </c>
    </row>
    <row r="4209" spans="1:17" x14ac:dyDescent="0.3">
      <c r="A4209" t="s">
        <v>4729</v>
      </c>
      <c r="B4209" t="str">
        <f>"300409"</f>
        <v>300409</v>
      </c>
      <c r="C4209" t="s">
        <v>8762</v>
      </c>
      <c r="D4209" t="s">
        <v>1790</v>
      </c>
      <c r="F4209">
        <v>4492026552</v>
      </c>
      <c r="G4209">
        <v>2414099803</v>
      </c>
      <c r="H4209">
        <v>2405507154</v>
      </c>
      <c r="I4209">
        <v>2224915668</v>
      </c>
      <c r="J4209">
        <v>1313077873</v>
      </c>
      <c r="K4209">
        <v>1171134217</v>
      </c>
      <c r="L4209">
        <v>582841954</v>
      </c>
      <c r="M4209">
        <v>564429973</v>
      </c>
      <c r="N4209">
        <v>253950702</v>
      </c>
      <c r="O4209">
        <v>205900298</v>
      </c>
      <c r="P4209">
        <v>240</v>
      </c>
      <c r="Q4209" t="s">
        <v>8763</v>
      </c>
    </row>
    <row r="4210" spans="1:17" x14ac:dyDescent="0.3">
      <c r="A4210" t="s">
        <v>4729</v>
      </c>
      <c r="B4210" t="str">
        <f>"300410"</f>
        <v>300410</v>
      </c>
      <c r="C4210" t="s">
        <v>8764</v>
      </c>
      <c r="D4210" t="s">
        <v>2566</v>
      </c>
      <c r="F4210">
        <v>741986249</v>
      </c>
      <c r="G4210">
        <v>616034757</v>
      </c>
      <c r="H4210">
        <v>939300119</v>
      </c>
      <c r="I4210">
        <v>2028675483</v>
      </c>
      <c r="J4210">
        <v>2024131782</v>
      </c>
      <c r="K4210">
        <v>1149693730</v>
      </c>
      <c r="L4210">
        <v>427366222</v>
      </c>
      <c r="M4210">
        <v>382497978</v>
      </c>
      <c r="N4210">
        <v>220989066</v>
      </c>
      <c r="O4210">
        <v>188223892</v>
      </c>
      <c r="P4210">
        <v>215</v>
      </c>
      <c r="Q4210" t="s">
        <v>8765</v>
      </c>
    </row>
    <row r="4211" spans="1:17" x14ac:dyDescent="0.3">
      <c r="A4211" t="s">
        <v>4729</v>
      </c>
      <c r="B4211" t="str">
        <f>"300411"</f>
        <v>300411</v>
      </c>
      <c r="C4211" t="s">
        <v>8766</v>
      </c>
      <c r="D4211" t="s">
        <v>741</v>
      </c>
      <c r="F4211">
        <v>890762114</v>
      </c>
      <c r="G4211">
        <v>1555080412</v>
      </c>
      <c r="H4211">
        <v>1525189230</v>
      </c>
      <c r="I4211">
        <v>1632016361</v>
      </c>
      <c r="J4211">
        <v>3402720341</v>
      </c>
      <c r="K4211">
        <v>581650115</v>
      </c>
      <c r="L4211">
        <v>546995123</v>
      </c>
      <c r="M4211">
        <v>511894906</v>
      </c>
      <c r="N4211">
        <v>252507100</v>
      </c>
      <c r="O4211">
        <v>205340350</v>
      </c>
      <c r="P4211">
        <v>73</v>
      </c>
      <c r="Q4211" t="s">
        <v>8767</v>
      </c>
    </row>
    <row r="4212" spans="1:17" x14ac:dyDescent="0.3">
      <c r="A4212" t="s">
        <v>4729</v>
      </c>
      <c r="B4212" t="str">
        <f>"300412"</f>
        <v>300412</v>
      </c>
      <c r="C4212" t="s">
        <v>8768</v>
      </c>
      <c r="D4212" t="s">
        <v>741</v>
      </c>
      <c r="F4212">
        <v>1131882953</v>
      </c>
      <c r="G4212">
        <v>837871258</v>
      </c>
      <c r="H4212">
        <v>796183440</v>
      </c>
      <c r="I4212">
        <v>784845839</v>
      </c>
      <c r="J4212">
        <v>775731218</v>
      </c>
      <c r="K4212">
        <v>739635463</v>
      </c>
      <c r="L4212">
        <v>392901324</v>
      </c>
      <c r="M4212">
        <v>357467072</v>
      </c>
      <c r="N4212">
        <v>169663605</v>
      </c>
      <c r="O4212">
        <v>141744179</v>
      </c>
      <c r="P4212">
        <v>96</v>
      </c>
      <c r="Q4212" t="s">
        <v>8769</v>
      </c>
    </row>
    <row r="4213" spans="1:17" x14ac:dyDescent="0.3">
      <c r="A4213" t="s">
        <v>4729</v>
      </c>
      <c r="B4213" t="str">
        <f>"300413"</f>
        <v>300413</v>
      </c>
      <c r="C4213" t="s">
        <v>8770</v>
      </c>
      <c r="D4213" t="s">
        <v>1294</v>
      </c>
      <c r="F4213">
        <v>16966400358</v>
      </c>
      <c r="G4213">
        <v>10587978185</v>
      </c>
      <c r="H4213">
        <v>8783859219</v>
      </c>
      <c r="I4213">
        <v>5639373296</v>
      </c>
      <c r="J4213">
        <v>1678939963</v>
      </c>
      <c r="K4213">
        <v>1620016636</v>
      </c>
      <c r="L4213">
        <v>1578350554</v>
      </c>
      <c r="M4213">
        <v>961961119</v>
      </c>
      <c r="N4213">
        <v>857766292</v>
      </c>
      <c r="O4213">
        <v>727305045</v>
      </c>
      <c r="P4213">
        <v>1145</v>
      </c>
      <c r="Q4213" t="s">
        <v>8771</v>
      </c>
    </row>
    <row r="4214" spans="1:17" x14ac:dyDescent="0.3">
      <c r="A4214" t="s">
        <v>4729</v>
      </c>
      <c r="B4214" t="str">
        <f>"300414"</f>
        <v>300414</v>
      </c>
      <c r="C4214" t="s">
        <v>8772</v>
      </c>
      <c r="D4214" t="s">
        <v>595</v>
      </c>
      <c r="F4214">
        <v>938076536</v>
      </c>
      <c r="G4214">
        <v>901611706</v>
      </c>
      <c r="H4214">
        <v>881778874</v>
      </c>
      <c r="I4214">
        <v>844862000</v>
      </c>
      <c r="J4214">
        <v>804950344</v>
      </c>
      <c r="K4214">
        <v>715148135</v>
      </c>
      <c r="L4214">
        <v>677598187</v>
      </c>
      <c r="M4214">
        <v>317813148</v>
      </c>
      <c r="N4214">
        <v>231909814</v>
      </c>
      <c r="O4214">
        <v>192949455</v>
      </c>
      <c r="P4214">
        <v>219</v>
      </c>
      <c r="Q4214" t="s">
        <v>8773</v>
      </c>
    </row>
    <row r="4215" spans="1:17" x14ac:dyDescent="0.3">
      <c r="A4215" t="s">
        <v>4729</v>
      </c>
      <c r="B4215" t="str">
        <f>"300415"</f>
        <v>300415</v>
      </c>
      <c r="C4215" t="s">
        <v>8774</v>
      </c>
      <c r="D4215" t="s">
        <v>741</v>
      </c>
      <c r="F4215">
        <v>2185638092</v>
      </c>
      <c r="G4215">
        <v>1559701691</v>
      </c>
      <c r="H4215">
        <v>1278607943</v>
      </c>
      <c r="I4215">
        <v>1135396693</v>
      </c>
      <c r="J4215">
        <v>1070421568</v>
      </c>
      <c r="K4215">
        <v>839869932</v>
      </c>
      <c r="L4215">
        <v>765445735</v>
      </c>
      <c r="M4215">
        <v>380987191</v>
      </c>
      <c r="N4215">
        <v>303978128</v>
      </c>
      <c r="O4215">
        <v>245351653</v>
      </c>
      <c r="P4215">
        <v>547</v>
      </c>
      <c r="Q4215" t="s">
        <v>8775</v>
      </c>
    </row>
    <row r="4216" spans="1:17" x14ac:dyDescent="0.3">
      <c r="A4216" t="s">
        <v>4729</v>
      </c>
      <c r="B4216" t="str">
        <f>"300416"</f>
        <v>300416</v>
      </c>
      <c r="C4216" t="s">
        <v>8776</v>
      </c>
      <c r="D4216" t="s">
        <v>2566</v>
      </c>
      <c r="F4216">
        <v>1656699721</v>
      </c>
      <c r="G4216">
        <v>965255258</v>
      </c>
      <c r="H4216">
        <v>844627599</v>
      </c>
      <c r="I4216">
        <v>795831226</v>
      </c>
      <c r="J4216">
        <v>532390538</v>
      </c>
      <c r="K4216">
        <v>485884155</v>
      </c>
      <c r="L4216">
        <v>444470336</v>
      </c>
      <c r="M4216">
        <v>265701393</v>
      </c>
      <c r="N4216">
        <v>226070538</v>
      </c>
      <c r="O4216">
        <v>189423924</v>
      </c>
      <c r="P4216">
        <v>305</v>
      </c>
      <c r="Q4216" t="s">
        <v>8777</v>
      </c>
    </row>
    <row r="4217" spans="1:17" x14ac:dyDescent="0.3">
      <c r="A4217" t="s">
        <v>4729</v>
      </c>
      <c r="B4217" t="str">
        <f>"300417"</f>
        <v>300417</v>
      </c>
      <c r="C4217" t="s">
        <v>8778</v>
      </c>
      <c r="D4217" t="s">
        <v>2566</v>
      </c>
      <c r="F4217">
        <v>497991085</v>
      </c>
      <c r="G4217">
        <v>519416662</v>
      </c>
      <c r="H4217">
        <v>516491881</v>
      </c>
      <c r="I4217">
        <v>402303931</v>
      </c>
      <c r="J4217">
        <v>404353051</v>
      </c>
      <c r="K4217">
        <v>388277901</v>
      </c>
      <c r="L4217">
        <v>356022106</v>
      </c>
      <c r="M4217">
        <v>189336935</v>
      </c>
      <c r="N4217">
        <v>159268804</v>
      </c>
      <c r="O4217">
        <v>130537651</v>
      </c>
      <c r="P4217">
        <v>196</v>
      </c>
      <c r="Q4217" t="s">
        <v>8779</v>
      </c>
    </row>
    <row r="4218" spans="1:17" x14ac:dyDescent="0.3">
      <c r="A4218" t="s">
        <v>4729</v>
      </c>
      <c r="B4218" t="str">
        <f>"300418"</f>
        <v>300418</v>
      </c>
      <c r="C4218" t="s">
        <v>8780</v>
      </c>
      <c r="D4218" t="s">
        <v>517</v>
      </c>
      <c r="F4218">
        <v>10380735476</v>
      </c>
      <c r="G4218">
        <v>9676967894</v>
      </c>
      <c r="H4218">
        <v>4691436638</v>
      </c>
      <c r="I4218">
        <v>5155491235</v>
      </c>
      <c r="J4218">
        <v>8709730697</v>
      </c>
      <c r="K4218">
        <v>3152027893</v>
      </c>
      <c r="L4218">
        <v>2680018954</v>
      </c>
      <c r="M4218">
        <v>1011905565</v>
      </c>
      <c r="N4218">
        <v>853432785</v>
      </c>
      <c r="O4218">
        <v>699139645</v>
      </c>
      <c r="P4218">
        <v>17528</v>
      </c>
      <c r="Q4218" t="s">
        <v>8781</v>
      </c>
    </row>
    <row r="4219" spans="1:17" x14ac:dyDescent="0.3">
      <c r="A4219" t="s">
        <v>4729</v>
      </c>
      <c r="B4219" t="str">
        <f>"300419"</f>
        <v>300419</v>
      </c>
      <c r="C4219" t="s">
        <v>8782</v>
      </c>
      <c r="D4219" t="s">
        <v>316</v>
      </c>
      <c r="F4219">
        <v>798625279</v>
      </c>
      <c r="G4219">
        <v>833451910</v>
      </c>
      <c r="H4219">
        <v>811169603</v>
      </c>
      <c r="I4219">
        <v>840774145</v>
      </c>
      <c r="J4219">
        <v>1482505607</v>
      </c>
      <c r="K4219">
        <v>1458175861</v>
      </c>
      <c r="L4219">
        <v>1296458291</v>
      </c>
      <c r="M4219">
        <v>241654135</v>
      </c>
      <c r="N4219">
        <v>198723516</v>
      </c>
      <c r="O4219">
        <v>156376224</v>
      </c>
      <c r="P4219">
        <v>89</v>
      </c>
      <c r="Q4219" t="s">
        <v>8783</v>
      </c>
    </row>
    <row r="4220" spans="1:17" x14ac:dyDescent="0.3">
      <c r="A4220" t="s">
        <v>4729</v>
      </c>
      <c r="B4220" t="str">
        <f>"300420"</f>
        <v>300420</v>
      </c>
      <c r="C4220" t="s">
        <v>8784</v>
      </c>
      <c r="D4220" t="s">
        <v>560</v>
      </c>
      <c r="F4220">
        <v>2360061914</v>
      </c>
      <c r="G4220">
        <v>2577290880</v>
      </c>
      <c r="H4220">
        <v>1677228034</v>
      </c>
      <c r="I4220">
        <v>1548308536</v>
      </c>
      <c r="J4220">
        <v>1446874168</v>
      </c>
      <c r="K4220">
        <v>1118379798</v>
      </c>
      <c r="L4220">
        <v>768774435</v>
      </c>
      <c r="M4220">
        <v>250537215</v>
      </c>
      <c r="N4220">
        <v>219559495</v>
      </c>
      <c r="O4220">
        <v>189209835</v>
      </c>
      <c r="P4220">
        <v>146</v>
      </c>
      <c r="Q4220" t="s">
        <v>8785</v>
      </c>
    </row>
    <row r="4221" spans="1:17" x14ac:dyDescent="0.3">
      <c r="A4221" t="s">
        <v>4729</v>
      </c>
      <c r="B4221" t="str">
        <f>"300421"</f>
        <v>300421</v>
      </c>
      <c r="C4221" t="s">
        <v>8786</v>
      </c>
      <c r="D4221" t="s">
        <v>274</v>
      </c>
      <c r="F4221">
        <v>1231850175</v>
      </c>
      <c r="G4221">
        <v>1157180588</v>
      </c>
      <c r="H4221">
        <v>1124620036</v>
      </c>
      <c r="I4221">
        <v>1134657808</v>
      </c>
      <c r="J4221">
        <v>1171027614</v>
      </c>
      <c r="K4221">
        <v>1150979570</v>
      </c>
      <c r="L4221">
        <v>579892437</v>
      </c>
      <c r="M4221">
        <v>321643680</v>
      </c>
      <c r="N4221">
        <v>302644108</v>
      </c>
      <c r="O4221">
        <v>278069265</v>
      </c>
      <c r="P4221">
        <v>108</v>
      </c>
      <c r="Q4221" t="s">
        <v>8787</v>
      </c>
    </row>
    <row r="4222" spans="1:17" x14ac:dyDescent="0.3">
      <c r="A4222" t="s">
        <v>4729</v>
      </c>
      <c r="B4222" t="str">
        <f>"300422"</f>
        <v>300422</v>
      </c>
      <c r="C4222" t="s">
        <v>8788</v>
      </c>
      <c r="D4222" t="s">
        <v>33</v>
      </c>
      <c r="F4222">
        <v>2596934628</v>
      </c>
      <c r="G4222">
        <v>2383340482</v>
      </c>
      <c r="H4222">
        <v>1661222305</v>
      </c>
      <c r="I4222">
        <v>1402419089</v>
      </c>
      <c r="J4222">
        <v>1160797686</v>
      </c>
      <c r="K4222">
        <v>997128485</v>
      </c>
      <c r="L4222">
        <v>369207173</v>
      </c>
      <c r="M4222">
        <v>204486212</v>
      </c>
      <c r="N4222">
        <v>177873931</v>
      </c>
      <c r="O4222">
        <v>154517888</v>
      </c>
      <c r="P4222">
        <v>331</v>
      </c>
      <c r="Q4222" t="s">
        <v>8789</v>
      </c>
    </row>
    <row r="4223" spans="1:17" x14ac:dyDescent="0.3">
      <c r="A4223" t="s">
        <v>4729</v>
      </c>
      <c r="B4223" t="str">
        <f>"300423"</f>
        <v>300423</v>
      </c>
      <c r="C4223" t="s">
        <v>8790</v>
      </c>
      <c r="D4223" t="s">
        <v>210</v>
      </c>
      <c r="F4223">
        <v>4184836636</v>
      </c>
      <c r="G4223">
        <v>4038050530</v>
      </c>
      <c r="H4223">
        <v>3464365317</v>
      </c>
      <c r="I4223">
        <v>2883825262</v>
      </c>
      <c r="J4223">
        <v>485058530</v>
      </c>
      <c r="K4223">
        <v>457693404</v>
      </c>
      <c r="L4223">
        <v>440274717</v>
      </c>
      <c r="M4223">
        <v>214837260</v>
      </c>
      <c r="N4223">
        <v>172018330</v>
      </c>
      <c r="O4223">
        <v>138988574</v>
      </c>
      <c r="P4223">
        <v>156</v>
      </c>
      <c r="Q4223" t="s">
        <v>8791</v>
      </c>
    </row>
    <row r="4224" spans="1:17" x14ac:dyDescent="0.3">
      <c r="A4224" t="s">
        <v>4729</v>
      </c>
      <c r="B4224" t="str">
        <f>"300424"</f>
        <v>300424</v>
      </c>
      <c r="C4224" t="s">
        <v>8792</v>
      </c>
      <c r="D4224" t="s">
        <v>98</v>
      </c>
      <c r="F4224">
        <v>689133676</v>
      </c>
      <c r="G4224">
        <v>654931429</v>
      </c>
      <c r="H4224">
        <v>1022581986</v>
      </c>
      <c r="I4224">
        <v>954562195</v>
      </c>
      <c r="J4224">
        <v>902321632</v>
      </c>
      <c r="K4224">
        <v>875035873</v>
      </c>
      <c r="L4224">
        <v>818047277</v>
      </c>
      <c r="M4224">
        <v>450059525</v>
      </c>
      <c r="N4224">
        <v>384141023</v>
      </c>
      <c r="O4224">
        <v>317883361</v>
      </c>
      <c r="P4224">
        <v>133</v>
      </c>
      <c r="Q4224" t="s">
        <v>8793</v>
      </c>
    </row>
    <row r="4225" spans="1:17" x14ac:dyDescent="0.3">
      <c r="A4225" t="s">
        <v>4729</v>
      </c>
      <c r="B4225" t="str">
        <f>"300425"</f>
        <v>300425</v>
      </c>
      <c r="C4225" t="s">
        <v>8794</v>
      </c>
      <c r="D4225" t="s">
        <v>33</v>
      </c>
      <c r="F4225">
        <v>2003044840</v>
      </c>
      <c r="G4225">
        <v>1859437179</v>
      </c>
      <c r="H4225">
        <v>1701853201</v>
      </c>
      <c r="I4225">
        <v>1557745462</v>
      </c>
      <c r="J4225">
        <v>1473592829</v>
      </c>
      <c r="K4225">
        <v>1397454688</v>
      </c>
      <c r="L4225">
        <v>1073016859</v>
      </c>
      <c r="M4225">
        <v>406964585</v>
      </c>
      <c r="N4225">
        <v>366554294</v>
      </c>
      <c r="O4225">
        <v>314339798</v>
      </c>
      <c r="P4225">
        <v>121</v>
      </c>
      <c r="Q4225" t="s">
        <v>8795</v>
      </c>
    </row>
    <row r="4226" spans="1:17" x14ac:dyDescent="0.3">
      <c r="A4226" t="s">
        <v>4729</v>
      </c>
      <c r="B4226" t="str">
        <f>"300426"</f>
        <v>300426</v>
      </c>
      <c r="C4226" t="s">
        <v>8796</v>
      </c>
      <c r="D4226" t="s">
        <v>113</v>
      </c>
      <c r="F4226">
        <v>94886218</v>
      </c>
      <c r="G4226">
        <v>84188457</v>
      </c>
      <c r="H4226">
        <v>158846552</v>
      </c>
      <c r="I4226">
        <v>259861978</v>
      </c>
      <c r="J4226">
        <v>1207975121</v>
      </c>
      <c r="K4226">
        <v>1034893582</v>
      </c>
      <c r="L4226">
        <v>868007365</v>
      </c>
      <c r="M4226">
        <v>346285016</v>
      </c>
      <c r="N4226">
        <v>260507272</v>
      </c>
      <c r="O4226">
        <v>197208908</v>
      </c>
      <c r="P4226">
        <v>130</v>
      </c>
      <c r="Q4226" t="s">
        <v>8797</v>
      </c>
    </row>
    <row r="4227" spans="1:17" x14ac:dyDescent="0.3">
      <c r="A4227" t="s">
        <v>4729</v>
      </c>
      <c r="B4227" t="str">
        <f>"300427"</f>
        <v>300427</v>
      </c>
      <c r="C4227" t="s">
        <v>8798</v>
      </c>
      <c r="D4227" t="s">
        <v>610</v>
      </c>
      <c r="F4227">
        <v>1625668593</v>
      </c>
      <c r="G4227">
        <v>2315857677</v>
      </c>
      <c r="H4227">
        <v>2234397770</v>
      </c>
      <c r="I4227">
        <v>2076353502</v>
      </c>
      <c r="J4227">
        <v>1872649302</v>
      </c>
      <c r="K4227">
        <v>620940854</v>
      </c>
      <c r="L4227">
        <v>564009974</v>
      </c>
      <c r="M4227">
        <v>322313909</v>
      </c>
      <c r="N4227">
        <v>280801031</v>
      </c>
      <c r="O4227">
        <v>242847379</v>
      </c>
      <c r="P4227">
        <v>249</v>
      </c>
      <c r="Q4227" t="s">
        <v>8799</v>
      </c>
    </row>
    <row r="4228" spans="1:17" x14ac:dyDescent="0.3">
      <c r="A4228" t="s">
        <v>4729</v>
      </c>
      <c r="B4228" t="str">
        <f>"300428"</f>
        <v>300428</v>
      </c>
      <c r="C4228" t="s">
        <v>8800</v>
      </c>
      <c r="D4228" t="s">
        <v>422</v>
      </c>
      <c r="F4228">
        <v>5067632999</v>
      </c>
      <c r="G4228">
        <v>4176660207</v>
      </c>
      <c r="H4228">
        <v>3828142372</v>
      </c>
      <c r="I4228">
        <v>2903809980</v>
      </c>
      <c r="J4228">
        <v>710595139</v>
      </c>
      <c r="K4228">
        <v>624905058</v>
      </c>
      <c r="L4228">
        <v>631021634</v>
      </c>
      <c r="M4228">
        <v>295903969</v>
      </c>
      <c r="N4228">
        <v>234628948</v>
      </c>
      <c r="O4228">
        <v>187900322</v>
      </c>
      <c r="P4228">
        <v>171</v>
      </c>
      <c r="Q4228" t="s">
        <v>8801</v>
      </c>
    </row>
    <row r="4229" spans="1:17" x14ac:dyDescent="0.3">
      <c r="A4229" t="s">
        <v>4729</v>
      </c>
      <c r="B4229" t="str">
        <f>"300429"</f>
        <v>300429</v>
      </c>
      <c r="C4229" t="s">
        <v>8802</v>
      </c>
      <c r="D4229" t="s">
        <v>2408</v>
      </c>
      <c r="F4229">
        <v>1829329272</v>
      </c>
      <c r="G4229">
        <v>1734923290</v>
      </c>
      <c r="H4229">
        <v>1675242744</v>
      </c>
      <c r="I4229">
        <v>1561898021</v>
      </c>
      <c r="J4229">
        <v>1061151954</v>
      </c>
      <c r="K4229">
        <v>961683973</v>
      </c>
      <c r="L4229">
        <v>601853839</v>
      </c>
      <c r="M4229">
        <v>262158048</v>
      </c>
      <c r="N4229">
        <v>203139420</v>
      </c>
      <c r="O4229">
        <v>157835513</v>
      </c>
      <c r="P4229">
        <v>261</v>
      </c>
      <c r="Q4229" t="s">
        <v>8803</v>
      </c>
    </row>
    <row r="4230" spans="1:17" x14ac:dyDescent="0.3">
      <c r="A4230" t="s">
        <v>4729</v>
      </c>
      <c r="B4230" t="str">
        <f>"300430"</f>
        <v>300430</v>
      </c>
      <c r="C4230" t="s">
        <v>8804</v>
      </c>
      <c r="D4230" t="s">
        <v>560</v>
      </c>
      <c r="F4230">
        <v>1842222327</v>
      </c>
      <c r="G4230">
        <v>1764492691</v>
      </c>
      <c r="H4230">
        <v>1705079474</v>
      </c>
      <c r="I4230">
        <v>1624616637</v>
      </c>
      <c r="J4230">
        <v>1532466691</v>
      </c>
      <c r="K4230">
        <v>654686917</v>
      </c>
      <c r="L4230">
        <v>611747281</v>
      </c>
      <c r="M4230">
        <v>311622848</v>
      </c>
      <c r="N4230">
        <v>259544883</v>
      </c>
      <c r="O4230">
        <v>210831103</v>
      </c>
      <c r="P4230">
        <v>95</v>
      </c>
      <c r="Q4230" t="s">
        <v>8805</v>
      </c>
    </row>
    <row r="4231" spans="1:17" x14ac:dyDescent="0.3">
      <c r="A4231" t="s">
        <v>4729</v>
      </c>
      <c r="B4231" t="str">
        <f>"300431"</f>
        <v>300431</v>
      </c>
      <c r="C4231" t="s">
        <v>8806</v>
      </c>
      <c r="I4231">
        <v>24234484</v>
      </c>
      <c r="J4231">
        <v>1066684361</v>
      </c>
      <c r="K4231">
        <v>907248969</v>
      </c>
      <c r="L4231">
        <v>641115971</v>
      </c>
      <c r="M4231">
        <v>286789493</v>
      </c>
      <c r="N4231">
        <v>244847960</v>
      </c>
      <c r="O4231">
        <v>206310444</v>
      </c>
      <c r="P4231">
        <v>145</v>
      </c>
      <c r="Q4231" t="s">
        <v>8807</v>
      </c>
    </row>
    <row r="4232" spans="1:17" x14ac:dyDescent="0.3">
      <c r="A4232" t="s">
        <v>4729</v>
      </c>
      <c r="B4232" t="str">
        <f>"300432"</f>
        <v>300432</v>
      </c>
      <c r="C4232" t="s">
        <v>8808</v>
      </c>
      <c r="D4232" t="s">
        <v>348</v>
      </c>
      <c r="F4232">
        <v>2534473851</v>
      </c>
      <c r="G4232">
        <v>2080171865</v>
      </c>
      <c r="H4232">
        <v>1749772042</v>
      </c>
      <c r="I4232">
        <v>1647399642</v>
      </c>
      <c r="J4232">
        <v>4025724057</v>
      </c>
      <c r="K4232">
        <v>3484801943</v>
      </c>
      <c r="L4232">
        <v>909134576</v>
      </c>
      <c r="M4232">
        <v>398506182</v>
      </c>
      <c r="N4232">
        <v>272979704</v>
      </c>
      <c r="O4232">
        <v>179511680</v>
      </c>
      <c r="P4232">
        <v>304</v>
      </c>
      <c r="Q4232" t="s">
        <v>8809</v>
      </c>
    </row>
    <row r="4233" spans="1:17" x14ac:dyDescent="0.3">
      <c r="A4233" t="s">
        <v>4729</v>
      </c>
      <c r="B4233" t="str">
        <f>"300433"</f>
        <v>300433</v>
      </c>
      <c r="C4233" t="s">
        <v>8810</v>
      </c>
      <c r="D4233" t="s">
        <v>313</v>
      </c>
      <c r="F4233">
        <v>42631332661</v>
      </c>
      <c r="G4233">
        <v>42181424612</v>
      </c>
      <c r="H4233">
        <v>22084583356</v>
      </c>
      <c r="I4233">
        <v>16121958912</v>
      </c>
      <c r="J4233">
        <v>15796814710</v>
      </c>
      <c r="K4233">
        <v>14001350674</v>
      </c>
      <c r="L4233">
        <v>10425833520</v>
      </c>
      <c r="M4233">
        <v>7410589322</v>
      </c>
      <c r="N4233">
        <v>6221294791</v>
      </c>
      <c r="O4233">
        <v>3752818278</v>
      </c>
      <c r="P4233">
        <v>1652</v>
      </c>
      <c r="Q4233" t="s">
        <v>8811</v>
      </c>
    </row>
    <row r="4234" spans="1:17" x14ac:dyDescent="0.3">
      <c r="A4234" t="s">
        <v>4729</v>
      </c>
      <c r="B4234" t="str">
        <f>"300434"</f>
        <v>300434</v>
      </c>
      <c r="C4234" t="s">
        <v>8812</v>
      </c>
      <c r="D4234" t="s">
        <v>143</v>
      </c>
      <c r="F4234">
        <v>2083751255</v>
      </c>
      <c r="G4234">
        <v>2017270469</v>
      </c>
      <c r="H4234">
        <v>2732504697</v>
      </c>
      <c r="I4234">
        <v>2644309829</v>
      </c>
      <c r="J4234">
        <v>2519465867</v>
      </c>
      <c r="K4234">
        <v>402430610</v>
      </c>
      <c r="L4234">
        <v>383704100</v>
      </c>
      <c r="M4234">
        <v>221587768</v>
      </c>
      <c r="N4234">
        <v>199681791</v>
      </c>
      <c r="O4234">
        <v>162511080</v>
      </c>
      <c r="P4234">
        <v>96</v>
      </c>
      <c r="Q4234" t="s">
        <v>8813</v>
      </c>
    </row>
    <row r="4235" spans="1:17" x14ac:dyDescent="0.3">
      <c r="A4235" t="s">
        <v>4729</v>
      </c>
      <c r="B4235" t="str">
        <f>"300435"</f>
        <v>300435</v>
      </c>
      <c r="C4235" t="s">
        <v>8814</v>
      </c>
      <c r="D4235" t="s">
        <v>749</v>
      </c>
      <c r="F4235">
        <v>2521639101</v>
      </c>
      <c r="G4235">
        <v>2294418441</v>
      </c>
      <c r="H4235">
        <v>2107715538</v>
      </c>
      <c r="I4235">
        <v>813642806</v>
      </c>
      <c r="J4235">
        <v>764774519</v>
      </c>
      <c r="K4235">
        <v>699062274</v>
      </c>
      <c r="L4235">
        <v>640542250</v>
      </c>
      <c r="M4235">
        <v>297365290</v>
      </c>
      <c r="N4235">
        <v>237371065</v>
      </c>
      <c r="O4235">
        <v>171218495</v>
      </c>
      <c r="P4235">
        <v>111</v>
      </c>
      <c r="Q4235" t="s">
        <v>8815</v>
      </c>
    </row>
    <row r="4236" spans="1:17" x14ac:dyDescent="0.3">
      <c r="A4236" t="s">
        <v>4729</v>
      </c>
      <c r="B4236" t="str">
        <f>"300436"</f>
        <v>300436</v>
      </c>
      <c r="C4236" t="s">
        <v>8816</v>
      </c>
      <c r="D4236" t="s">
        <v>143</v>
      </c>
      <c r="F4236">
        <v>1043355058</v>
      </c>
      <c r="G4236">
        <v>576597504</v>
      </c>
      <c r="H4236">
        <v>565575599</v>
      </c>
      <c r="I4236">
        <v>553879649</v>
      </c>
      <c r="J4236">
        <v>552048100</v>
      </c>
      <c r="K4236">
        <v>552361357</v>
      </c>
      <c r="L4236">
        <v>519195948</v>
      </c>
      <c r="M4236">
        <v>156871374</v>
      </c>
      <c r="N4236">
        <v>143103524</v>
      </c>
      <c r="O4236">
        <v>108591372</v>
      </c>
      <c r="P4236">
        <v>135</v>
      </c>
      <c r="Q4236" t="s">
        <v>8817</v>
      </c>
    </row>
    <row r="4237" spans="1:17" x14ac:dyDescent="0.3">
      <c r="A4237" t="s">
        <v>4729</v>
      </c>
      <c r="B4237" t="str">
        <f>"300437"</f>
        <v>300437</v>
      </c>
      <c r="C4237" t="s">
        <v>8818</v>
      </c>
      <c r="D4237" t="s">
        <v>33</v>
      </c>
      <c r="F4237">
        <v>1625282087</v>
      </c>
      <c r="G4237">
        <v>1108698175</v>
      </c>
      <c r="H4237">
        <v>1488545781</v>
      </c>
      <c r="I4237">
        <v>1427098179</v>
      </c>
      <c r="J4237">
        <v>1195689495</v>
      </c>
      <c r="K4237">
        <v>1178936102</v>
      </c>
      <c r="L4237">
        <v>423295086</v>
      </c>
      <c r="M4237">
        <v>234675715</v>
      </c>
      <c r="N4237">
        <v>206435421</v>
      </c>
      <c r="O4237">
        <v>181991994</v>
      </c>
      <c r="P4237">
        <v>143</v>
      </c>
      <c r="Q4237" t="s">
        <v>8819</v>
      </c>
    </row>
    <row r="4238" spans="1:17" x14ac:dyDescent="0.3">
      <c r="A4238" t="s">
        <v>4729</v>
      </c>
      <c r="B4238" t="str">
        <f>"300438"</f>
        <v>300438</v>
      </c>
      <c r="C4238" t="s">
        <v>8820</v>
      </c>
      <c r="D4238" t="s">
        <v>359</v>
      </c>
      <c r="F4238">
        <v>2691592644</v>
      </c>
      <c r="G4238">
        <v>2349629944</v>
      </c>
      <c r="H4238">
        <v>2328349291</v>
      </c>
      <c r="I4238">
        <v>2224358453</v>
      </c>
      <c r="J4238">
        <v>2012840266</v>
      </c>
      <c r="K4238">
        <v>950658932</v>
      </c>
      <c r="L4238">
        <v>827871459</v>
      </c>
      <c r="M4238">
        <v>463183365</v>
      </c>
      <c r="N4238">
        <v>402938224</v>
      </c>
      <c r="O4238">
        <v>345711607</v>
      </c>
      <c r="P4238">
        <v>394</v>
      </c>
      <c r="Q4238" t="s">
        <v>8821</v>
      </c>
    </row>
    <row r="4239" spans="1:17" x14ac:dyDescent="0.3">
      <c r="A4239" t="s">
        <v>4729</v>
      </c>
      <c r="B4239" t="str">
        <f>"300439"</f>
        <v>300439</v>
      </c>
      <c r="C4239" t="s">
        <v>8822</v>
      </c>
      <c r="D4239" t="s">
        <v>1305</v>
      </c>
      <c r="F4239">
        <v>2347016912</v>
      </c>
      <c r="G4239">
        <v>1641678117</v>
      </c>
      <c r="H4239">
        <v>1337245940</v>
      </c>
      <c r="I4239">
        <v>1870358711</v>
      </c>
      <c r="J4239">
        <v>1680159411</v>
      </c>
      <c r="K4239">
        <v>1447536499</v>
      </c>
      <c r="L4239">
        <v>1287936676</v>
      </c>
      <c r="M4239">
        <v>413826939</v>
      </c>
      <c r="N4239">
        <v>306126290</v>
      </c>
      <c r="O4239">
        <v>202577278</v>
      </c>
      <c r="P4239">
        <v>209</v>
      </c>
      <c r="Q4239" t="s">
        <v>8823</v>
      </c>
    </row>
    <row r="4240" spans="1:17" x14ac:dyDescent="0.3">
      <c r="A4240" t="s">
        <v>4729</v>
      </c>
      <c r="B4240" t="str">
        <f>"300440"</f>
        <v>300440</v>
      </c>
      <c r="C4240" t="s">
        <v>8824</v>
      </c>
      <c r="D4240" t="s">
        <v>316</v>
      </c>
      <c r="F4240">
        <v>1357145803</v>
      </c>
      <c r="G4240">
        <v>1381352181</v>
      </c>
      <c r="H4240">
        <v>1296688621</v>
      </c>
      <c r="I4240">
        <v>1181452557</v>
      </c>
      <c r="J4240">
        <v>1282938572</v>
      </c>
      <c r="K4240">
        <v>1287254473</v>
      </c>
      <c r="L4240">
        <v>1181778050</v>
      </c>
      <c r="M4240">
        <v>524525933</v>
      </c>
      <c r="N4240">
        <v>440812057</v>
      </c>
      <c r="O4240">
        <v>358780145</v>
      </c>
      <c r="P4240">
        <v>151</v>
      </c>
      <c r="Q4240" t="s">
        <v>8825</v>
      </c>
    </row>
    <row r="4241" spans="1:17" x14ac:dyDescent="0.3">
      <c r="A4241" t="s">
        <v>4729</v>
      </c>
      <c r="B4241" t="str">
        <f>"300441"</f>
        <v>300441</v>
      </c>
      <c r="C4241" t="s">
        <v>8826</v>
      </c>
      <c r="D4241" t="s">
        <v>560</v>
      </c>
      <c r="F4241">
        <v>1506790675</v>
      </c>
      <c r="G4241">
        <v>1374266262</v>
      </c>
      <c r="H4241">
        <v>1353681924</v>
      </c>
      <c r="I4241">
        <v>1557711446</v>
      </c>
      <c r="J4241">
        <v>1472214780</v>
      </c>
      <c r="K4241">
        <v>1010390717</v>
      </c>
      <c r="L4241">
        <v>453552962</v>
      </c>
      <c r="M4241">
        <v>257602476</v>
      </c>
      <c r="N4241">
        <v>217048027</v>
      </c>
      <c r="O4241">
        <v>169058036</v>
      </c>
      <c r="P4241">
        <v>96</v>
      </c>
      <c r="Q4241" t="s">
        <v>8827</v>
      </c>
    </row>
    <row r="4242" spans="1:17" x14ac:dyDescent="0.3">
      <c r="A4242" t="s">
        <v>4729</v>
      </c>
      <c r="B4242" t="str">
        <f>"300442"</f>
        <v>300442</v>
      </c>
      <c r="C4242" t="s">
        <v>8828</v>
      </c>
      <c r="D4242" t="s">
        <v>3415</v>
      </c>
      <c r="F4242">
        <v>479313904</v>
      </c>
      <c r="G4242">
        <v>509451502</v>
      </c>
      <c r="H4242">
        <v>738846461</v>
      </c>
      <c r="I4242">
        <v>726912589</v>
      </c>
      <c r="J4242">
        <v>973958677</v>
      </c>
      <c r="K4242">
        <v>967288746</v>
      </c>
      <c r="L4242">
        <v>970140339</v>
      </c>
      <c r="M4242">
        <v>499041497</v>
      </c>
      <c r="N4242">
        <v>408205069</v>
      </c>
      <c r="O4242">
        <v>320618141</v>
      </c>
      <c r="P4242">
        <v>66</v>
      </c>
      <c r="Q4242" t="s">
        <v>8829</v>
      </c>
    </row>
    <row r="4243" spans="1:17" x14ac:dyDescent="0.3">
      <c r="A4243" t="s">
        <v>4729</v>
      </c>
      <c r="B4243" t="str">
        <f>"300443"</f>
        <v>300443</v>
      </c>
      <c r="C4243" t="s">
        <v>8830</v>
      </c>
      <c r="D4243" t="s">
        <v>950</v>
      </c>
      <c r="F4243">
        <v>3252805096</v>
      </c>
      <c r="G4243">
        <v>2911126725</v>
      </c>
      <c r="H4243">
        <v>1934239237</v>
      </c>
      <c r="I4243">
        <v>1737449602</v>
      </c>
      <c r="J4243">
        <v>1621105929</v>
      </c>
      <c r="K4243">
        <v>1513678696</v>
      </c>
      <c r="L4243">
        <v>900050698</v>
      </c>
      <c r="M4243">
        <v>420834038</v>
      </c>
      <c r="N4243">
        <v>329350427</v>
      </c>
      <c r="O4243">
        <v>276884470</v>
      </c>
      <c r="P4243">
        <v>357</v>
      </c>
      <c r="Q4243" t="s">
        <v>8831</v>
      </c>
    </row>
    <row r="4244" spans="1:17" x14ac:dyDescent="0.3">
      <c r="A4244" t="s">
        <v>4729</v>
      </c>
      <c r="B4244" t="str">
        <f>"300444"</f>
        <v>300444</v>
      </c>
      <c r="C4244" t="s">
        <v>8832</v>
      </c>
      <c r="D4244" t="s">
        <v>210</v>
      </c>
      <c r="F4244">
        <v>1353263786</v>
      </c>
      <c r="G4244">
        <v>856083777</v>
      </c>
      <c r="H4244">
        <v>851949774</v>
      </c>
      <c r="I4244">
        <v>1454044763</v>
      </c>
      <c r="J4244">
        <v>1265421575</v>
      </c>
      <c r="K4244">
        <v>896456112</v>
      </c>
      <c r="L4244">
        <v>817610914</v>
      </c>
      <c r="M4244">
        <v>395952313</v>
      </c>
      <c r="N4244">
        <v>338949933</v>
      </c>
      <c r="O4244">
        <v>288922538</v>
      </c>
      <c r="P4244">
        <v>101</v>
      </c>
      <c r="Q4244" t="s">
        <v>8833</v>
      </c>
    </row>
    <row r="4245" spans="1:17" x14ac:dyDescent="0.3">
      <c r="A4245" t="s">
        <v>4729</v>
      </c>
      <c r="B4245" t="str">
        <f>"300445"</f>
        <v>300445</v>
      </c>
      <c r="C4245" t="s">
        <v>8834</v>
      </c>
      <c r="D4245" t="s">
        <v>2566</v>
      </c>
      <c r="F4245">
        <v>924306953</v>
      </c>
      <c r="G4245">
        <v>917931970</v>
      </c>
      <c r="H4245">
        <v>589340197</v>
      </c>
      <c r="I4245">
        <v>534344721</v>
      </c>
      <c r="J4245">
        <v>469353577</v>
      </c>
      <c r="K4245">
        <v>411177203</v>
      </c>
      <c r="L4245">
        <v>371053831</v>
      </c>
      <c r="M4245">
        <v>174926986</v>
      </c>
      <c r="N4245">
        <v>146178547</v>
      </c>
      <c r="O4245">
        <v>120352400</v>
      </c>
      <c r="P4245">
        <v>169</v>
      </c>
      <c r="Q4245" t="s">
        <v>8835</v>
      </c>
    </row>
    <row r="4246" spans="1:17" x14ac:dyDescent="0.3">
      <c r="A4246" t="s">
        <v>4729</v>
      </c>
      <c r="B4246" t="str">
        <f>"300446"</f>
        <v>300446</v>
      </c>
      <c r="C4246" t="s">
        <v>8836</v>
      </c>
      <c r="D4246" t="s">
        <v>2408</v>
      </c>
      <c r="F4246">
        <v>647993754</v>
      </c>
      <c r="G4246">
        <v>643006708</v>
      </c>
      <c r="H4246">
        <v>691585093</v>
      </c>
      <c r="I4246">
        <v>618819020</v>
      </c>
      <c r="J4246">
        <v>564876239</v>
      </c>
      <c r="K4246">
        <v>497337483</v>
      </c>
      <c r="L4246">
        <v>426199841</v>
      </c>
      <c r="M4246">
        <v>243232231</v>
      </c>
      <c r="N4246">
        <v>193939212</v>
      </c>
      <c r="O4246">
        <v>128698578</v>
      </c>
      <c r="P4246">
        <v>980</v>
      </c>
      <c r="Q4246" t="s">
        <v>8837</v>
      </c>
    </row>
    <row r="4247" spans="1:17" x14ac:dyDescent="0.3">
      <c r="A4247" t="s">
        <v>4729</v>
      </c>
      <c r="B4247" t="str">
        <f>"300447"</f>
        <v>300447</v>
      </c>
      <c r="C4247" t="s">
        <v>8838</v>
      </c>
      <c r="D4247" t="s">
        <v>1136</v>
      </c>
      <c r="F4247">
        <v>1730655809</v>
      </c>
      <c r="G4247">
        <v>1236270713</v>
      </c>
      <c r="H4247">
        <v>1089921405</v>
      </c>
      <c r="I4247">
        <v>1239640076</v>
      </c>
      <c r="J4247">
        <v>1499230131</v>
      </c>
      <c r="K4247">
        <v>640461985</v>
      </c>
      <c r="L4247">
        <v>557482370</v>
      </c>
      <c r="M4247">
        <v>275458465</v>
      </c>
      <c r="N4247">
        <v>253544277</v>
      </c>
      <c r="O4247">
        <v>211477615</v>
      </c>
      <c r="P4247">
        <v>119</v>
      </c>
      <c r="Q4247" t="s">
        <v>8839</v>
      </c>
    </row>
    <row r="4248" spans="1:17" x14ac:dyDescent="0.3">
      <c r="A4248" t="s">
        <v>4729</v>
      </c>
      <c r="B4248" t="str">
        <f>"300448"</f>
        <v>300448</v>
      </c>
      <c r="C4248" t="s">
        <v>8840</v>
      </c>
      <c r="D4248" t="s">
        <v>316</v>
      </c>
      <c r="F4248">
        <v>1418402820</v>
      </c>
      <c r="G4248">
        <v>1417559368</v>
      </c>
      <c r="H4248">
        <v>1427717932</v>
      </c>
      <c r="I4248">
        <v>1257626495</v>
      </c>
      <c r="J4248">
        <v>1131411645</v>
      </c>
      <c r="K4248">
        <v>674448464</v>
      </c>
      <c r="L4248">
        <v>581914708</v>
      </c>
      <c r="M4248">
        <v>243092466</v>
      </c>
      <c r="N4248">
        <v>198037929</v>
      </c>
      <c r="O4248">
        <v>154994814</v>
      </c>
      <c r="P4248">
        <v>157</v>
      </c>
      <c r="Q4248" t="s">
        <v>8841</v>
      </c>
    </row>
    <row r="4249" spans="1:17" x14ac:dyDescent="0.3">
      <c r="A4249" t="s">
        <v>4729</v>
      </c>
      <c r="B4249" t="str">
        <f>"300449"</f>
        <v>300449</v>
      </c>
      <c r="C4249" t="s">
        <v>8842</v>
      </c>
      <c r="D4249" t="s">
        <v>2980</v>
      </c>
      <c r="F4249">
        <v>161797162</v>
      </c>
      <c r="G4249">
        <v>915893533</v>
      </c>
      <c r="H4249">
        <v>927143239</v>
      </c>
      <c r="I4249">
        <v>1464455005</v>
      </c>
      <c r="J4249">
        <v>1196008990</v>
      </c>
      <c r="K4249">
        <v>662643327</v>
      </c>
      <c r="L4249">
        <v>635441351</v>
      </c>
      <c r="M4249">
        <v>320288556</v>
      </c>
      <c r="N4249">
        <v>263574195</v>
      </c>
      <c r="O4249">
        <v>210961920</v>
      </c>
      <c r="P4249">
        <v>85</v>
      </c>
      <c r="Q4249" t="s">
        <v>8843</v>
      </c>
    </row>
    <row r="4250" spans="1:17" x14ac:dyDescent="0.3">
      <c r="A4250" t="s">
        <v>4729</v>
      </c>
      <c r="B4250" t="str">
        <f>"300450"</f>
        <v>300450</v>
      </c>
      <c r="C4250" t="s">
        <v>8844</v>
      </c>
      <c r="D4250" t="s">
        <v>3776</v>
      </c>
      <c r="F4250">
        <v>9468866047</v>
      </c>
      <c r="G4250">
        <v>5615021449</v>
      </c>
      <c r="H4250">
        <v>3968441131</v>
      </c>
      <c r="I4250">
        <v>3442334235</v>
      </c>
      <c r="J4250">
        <v>2782408609</v>
      </c>
      <c r="K4250">
        <v>944071317</v>
      </c>
      <c r="L4250">
        <v>728219234</v>
      </c>
      <c r="M4250">
        <v>287061946</v>
      </c>
      <c r="N4250">
        <v>243987457</v>
      </c>
      <c r="O4250">
        <v>206522799</v>
      </c>
      <c r="P4250">
        <v>9753</v>
      </c>
      <c r="Q4250" t="s">
        <v>8845</v>
      </c>
    </row>
    <row r="4251" spans="1:17" x14ac:dyDescent="0.3">
      <c r="A4251" t="s">
        <v>4729</v>
      </c>
      <c r="B4251" t="str">
        <f>"300451"</f>
        <v>300451</v>
      </c>
      <c r="C4251" t="s">
        <v>8846</v>
      </c>
      <c r="D4251" t="s">
        <v>945</v>
      </c>
      <c r="F4251">
        <v>4561801821</v>
      </c>
      <c r="G4251">
        <v>4139652614</v>
      </c>
      <c r="H4251">
        <v>2589733452</v>
      </c>
      <c r="I4251">
        <v>2321067725</v>
      </c>
      <c r="J4251">
        <v>2037912061</v>
      </c>
      <c r="K4251">
        <v>724868612</v>
      </c>
      <c r="L4251">
        <v>598583126</v>
      </c>
      <c r="M4251">
        <v>344123305</v>
      </c>
      <c r="N4251">
        <v>306367265</v>
      </c>
      <c r="O4251">
        <v>260635559</v>
      </c>
      <c r="P4251">
        <v>351</v>
      </c>
      <c r="Q4251" t="s">
        <v>8847</v>
      </c>
    </row>
    <row r="4252" spans="1:17" x14ac:dyDescent="0.3">
      <c r="A4252" t="s">
        <v>4729</v>
      </c>
      <c r="B4252" t="str">
        <f>"300452"</f>
        <v>300452</v>
      </c>
      <c r="C4252" t="s">
        <v>8848</v>
      </c>
      <c r="D4252" t="s">
        <v>496</v>
      </c>
      <c r="F4252">
        <v>640000202</v>
      </c>
      <c r="G4252">
        <v>585208911</v>
      </c>
      <c r="H4252">
        <v>525776925</v>
      </c>
      <c r="I4252">
        <v>493088110</v>
      </c>
      <c r="J4252">
        <v>441460030</v>
      </c>
      <c r="K4252">
        <v>402704718</v>
      </c>
      <c r="L4252">
        <v>363199124</v>
      </c>
      <c r="M4252">
        <v>177200155</v>
      </c>
      <c r="N4252">
        <v>149227701</v>
      </c>
      <c r="O4252">
        <v>121167316</v>
      </c>
      <c r="P4252">
        <v>300</v>
      </c>
      <c r="Q4252" t="s">
        <v>8849</v>
      </c>
    </row>
    <row r="4253" spans="1:17" x14ac:dyDescent="0.3">
      <c r="A4253" t="s">
        <v>4729</v>
      </c>
      <c r="B4253" t="str">
        <f>"300453"</f>
        <v>300453</v>
      </c>
      <c r="C4253" t="s">
        <v>8850</v>
      </c>
      <c r="D4253" t="s">
        <v>1077</v>
      </c>
      <c r="F4253">
        <v>905506389</v>
      </c>
      <c r="G4253">
        <v>785198392</v>
      </c>
      <c r="H4253">
        <v>669151401</v>
      </c>
      <c r="I4253">
        <v>606082985</v>
      </c>
      <c r="J4253">
        <v>579134055</v>
      </c>
      <c r="K4253">
        <v>552616494</v>
      </c>
      <c r="L4253">
        <v>531874539</v>
      </c>
      <c r="M4253">
        <v>250272181</v>
      </c>
      <c r="N4253">
        <v>207606797</v>
      </c>
      <c r="O4253">
        <v>158964138</v>
      </c>
      <c r="P4253">
        <v>226</v>
      </c>
      <c r="Q4253" t="s">
        <v>8851</v>
      </c>
    </row>
    <row r="4254" spans="1:17" x14ac:dyDescent="0.3">
      <c r="A4254" t="s">
        <v>4729</v>
      </c>
      <c r="B4254" t="str">
        <f>"300454"</f>
        <v>300454</v>
      </c>
      <c r="C4254" t="s">
        <v>8852</v>
      </c>
      <c r="D4254" t="s">
        <v>1189</v>
      </c>
      <c r="F4254">
        <v>7304807477</v>
      </c>
      <c r="G4254">
        <v>6510950389</v>
      </c>
      <c r="H4254">
        <v>4320972714</v>
      </c>
      <c r="I4254">
        <v>3437415246</v>
      </c>
      <c r="J4254">
        <v>1740537403</v>
      </c>
      <c r="K4254">
        <v>1210717271</v>
      </c>
      <c r="L4254">
        <v>1100885441</v>
      </c>
      <c r="P4254">
        <v>799</v>
      </c>
      <c r="Q4254" t="s">
        <v>8853</v>
      </c>
    </row>
    <row r="4255" spans="1:17" x14ac:dyDescent="0.3">
      <c r="A4255" t="s">
        <v>4729</v>
      </c>
      <c r="B4255" t="str">
        <f>"300455"</f>
        <v>300455</v>
      </c>
      <c r="C4255" t="s">
        <v>8854</v>
      </c>
      <c r="D4255" t="s">
        <v>236</v>
      </c>
      <c r="F4255">
        <v>1640261897</v>
      </c>
      <c r="G4255">
        <v>1560759802</v>
      </c>
      <c r="H4255">
        <v>1440628716</v>
      </c>
      <c r="I4255">
        <v>746880555</v>
      </c>
      <c r="J4255">
        <v>702583281</v>
      </c>
      <c r="K4255">
        <v>646226766</v>
      </c>
      <c r="L4255">
        <v>592283837</v>
      </c>
      <c r="M4255">
        <v>337652125</v>
      </c>
      <c r="N4255">
        <v>293832664</v>
      </c>
      <c r="O4255">
        <v>249381120</v>
      </c>
      <c r="P4255">
        <v>137</v>
      </c>
      <c r="Q4255" t="s">
        <v>8855</v>
      </c>
    </row>
    <row r="4256" spans="1:17" x14ac:dyDescent="0.3">
      <c r="A4256" t="s">
        <v>4729</v>
      </c>
      <c r="B4256" t="str">
        <f>"300456"</f>
        <v>300456</v>
      </c>
      <c r="C4256" t="s">
        <v>8856</v>
      </c>
      <c r="D4256" t="s">
        <v>4332</v>
      </c>
      <c r="F4256">
        <v>5082992412</v>
      </c>
      <c r="G4256">
        <v>3082849284</v>
      </c>
      <c r="H4256">
        <v>2808843987</v>
      </c>
      <c r="I4256">
        <v>1505590267</v>
      </c>
      <c r="J4256">
        <v>1398989167</v>
      </c>
      <c r="K4256">
        <v>1358391851</v>
      </c>
      <c r="L4256">
        <v>577501728</v>
      </c>
      <c r="M4256">
        <v>263701153</v>
      </c>
      <c r="N4256">
        <v>215967259</v>
      </c>
      <c r="O4256">
        <v>160270366</v>
      </c>
      <c r="P4256">
        <v>376</v>
      </c>
      <c r="Q4256" t="s">
        <v>8857</v>
      </c>
    </row>
    <row r="4257" spans="1:17" x14ac:dyDescent="0.3">
      <c r="A4257" t="s">
        <v>4729</v>
      </c>
      <c r="B4257" t="str">
        <f>"300457"</f>
        <v>300457</v>
      </c>
      <c r="C4257" t="s">
        <v>8858</v>
      </c>
      <c r="D4257" t="s">
        <v>3776</v>
      </c>
      <c r="F4257">
        <v>5519842054</v>
      </c>
      <c r="G4257">
        <v>5246111450</v>
      </c>
      <c r="H4257">
        <v>3144833603</v>
      </c>
      <c r="I4257">
        <v>2964955138</v>
      </c>
      <c r="J4257">
        <v>1253400327</v>
      </c>
      <c r="K4257">
        <v>629161766</v>
      </c>
      <c r="L4257">
        <v>517099276</v>
      </c>
      <c r="M4257">
        <v>252727908</v>
      </c>
      <c r="N4257">
        <v>202206606</v>
      </c>
      <c r="O4257">
        <v>151863443</v>
      </c>
      <c r="P4257">
        <v>359</v>
      </c>
      <c r="Q4257" t="s">
        <v>8859</v>
      </c>
    </row>
    <row r="4258" spans="1:17" x14ac:dyDescent="0.3">
      <c r="A4258" t="s">
        <v>4729</v>
      </c>
      <c r="B4258" t="str">
        <f>"300458"</f>
        <v>300458</v>
      </c>
      <c r="C4258" t="s">
        <v>8860</v>
      </c>
      <c r="D4258" t="s">
        <v>461</v>
      </c>
      <c r="F4258">
        <v>2804693344</v>
      </c>
      <c r="G4258">
        <v>2343397241</v>
      </c>
      <c r="H4258">
        <v>2200042372</v>
      </c>
      <c r="I4258">
        <v>2122582283</v>
      </c>
      <c r="J4258">
        <v>2021225540</v>
      </c>
      <c r="K4258">
        <v>2050066556</v>
      </c>
      <c r="L4258">
        <v>1532698963</v>
      </c>
      <c r="M4258">
        <v>999172794</v>
      </c>
      <c r="N4258">
        <v>972846683</v>
      </c>
      <c r="O4258">
        <v>649839078</v>
      </c>
      <c r="P4258">
        <v>561</v>
      </c>
      <c r="Q4258" t="s">
        <v>8861</v>
      </c>
    </row>
    <row r="4259" spans="1:17" x14ac:dyDescent="0.3">
      <c r="A4259" t="s">
        <v>4729</v>
      </c>
      <c r="B4259" t="str">
        <f>"300459"</f>
        <v>300459</v>
      </c>
      <c r="C4259" t="s">
        <v>8862</v>
      </c>
      <c r="D4259" t="s">
        <v>517</v>
      </c>
      <c r="F4259">
        <v>3564554171</v>
      </c>
      <c r="G4259">
        <v>2746794534</v>
      </c>
      <c r="H4259">
        <v>3688380669</v>
      </c>
      <c r="I4259">
        <v>6743579000</v>
      </c>
      <c r="J4259">
        <v>9419674898</v>
      </c>
      <c r="K4259">
        <v>4960972693</v>
      </c>
      <c r="L4259">
        <v>626972964</v>
      </c>
      <c r="M4259">
        <v>411952467</v>
      </c>
      <c r="N4259">
        <v>375488634</v>
      </c>
      <c r="O4259">
        <v>340884781</v>
      </c>
      <c r="P4259">
        <v>287</v>
      </c>
      <c r="Q4259" t="s">
        <v>8863</v>
      </c>
    </row>
    <row r="4260" spans="1:17" x14ac:dyDescent="0.3">
      <c r="A4260" t="s">
        <v>4729</v>
      </c>
      <c r="B4260" t="str">
        <f>"300460"</f>
        <v>300460</v>
      </c>
      <c r="C4260" t="s">
        <v>8864</v>
      </c>
      <c r="D4260" t="s">
        <v>546</v>
      </c>
      <c r="F4260">
        <v>1208816096</v>
      </c>
      <c r="G4260">
        <v>553098051</v>
      </c>
      <c r="H4260">
        <v>523387200</v>
      </c>
      <c r="I4260">
        <v>656339223</v>
      </c>
      <c r="J4260">
        <v>683681840</v>
      </c>
      <c r="K4260">
        <v>667897248</v>
      </c>
      <c r="L4260">
        <v>650928514</v>
      </c>
      <c r="M4260">
        <v>362866435</v>
      </c>
      <c r="N4260">
        <v>311890677</v>
      </c>
      <c r="O4260">
        <v>259301602</v>
      </c>
      <c r="P4260">
        <v>154</v>
      </c>
      <c r="Q4260" t="s">
        <v>8865</v>
      </c>
    </row>
    <row r="4261" spans="1:17" x14ac:dyDescent="0.3">
      <c r="A4261" t="s">
        <v>4729</v>
      </c>
      <c r="B4261" t="str">
        <f>"300461"</f>
        <v>300461</v>
      </c>
      <c r="C4261" t="s">
        <v>8866</v>
      </c>
      <c r="D4261" t="s">
        <v>3477</v>
      </c>
      <c r="F4261">
        <v>245494937</v>
      </c>
      <c r="G4261">
        <v>146280872</v>
      </c>
      <c r="H4261">
        <v>28864498</v>
      </c>
      <c r="I4261">
        <v>244608752</v>
      </c>
      <c r="J4261">
        <v>346748620</v>
      </c>
      <c r="K4261">
        <v>300540512</v>
      </c>
      <c r="L4261">
        <v>296811673</v>
      </c>
      <c r="M4261">
        <v>195056707</v>
      </c>
      <c r="N4261">
        <v>184365715</v>
      </c>
      <c r="O4261">
        <v>169041489</v>
      </c>
      <c r="P4261">
        <v>153</v>
      </c>
      <c r="Q4261" t="s">
        <v>8867</v>
      </c>
    </row>
    <row r="4262" spans="1:17" x14ac:dyDescent="0.3">
      <c r="A4262" t="s">
        <v>4729</v>
      </c>
      <c r="B4262" t="str">
        <f>"300462"</f>
        <v>300462</v>
      </c>
      <c r="C4262" t="s">
        <v>8868</v>
      </c>
      <c r="D4262" t="s">
        <v>236</v>
      </c>
      <c r="F4262">
        <v>1471084248</v>
      </c>
      <c r="G4262">
        <v>1683258787</v>
      </c>
      <c r="H4262">
        <v>1579992217</v>
      </c>
      <c r="I4262">
        <v>626998369</v>
      </c>
      <c r="J4262">
        <v>588166803</v>
      </c>
      <c r="K4262">
        <v>552578980</v>
      </c>
      <c r="L4262">
        <v>504005175</v>
      </c>
      <c r="M4262">
        <v>248951282</v>
      </c>
      <c r="N4262">
        <v>217422946</v>
      </c>
      <c r="O4262">
        <v>173803793</v>
      </c>
      <c r="P4262">
        <v>176</v>
      </c>
      <c r="Q4262" t="s">
        <v>8869</v>
      </c>
    </row>
    <row r="4263" spans="1:17" x14ac:dyDescent="0.3">
      <c r="A4263" t="s">
        <v>4729</v>
      </c>
      <c r="B4263" t="str">
        <f>"300463"</f>
        <v>300463</v>
      </c>
      <c r="C4263" t="s">
        <v>8870</v>
      </c>
      <c r="D4263" t="s">
        <v>1305</v>
      </c>
      <c r="F4263">
        <v>4298573451</v>
      </c>
      <c r="G4263">
        <v>3796703194</v>
      </c>
      <c r="H4263">
        <v>3126377787</v>
      </c>
      <c r="I4263">
        <v>2695302100</v>
      </c>
      <c r="J4263">
        <v>2500698778</v>
      </c>
      <c r="K4263">
        <v>2243396590</v>
      </c>
      <c r="L4263">
        <v>1995159085</v>
      </c>
      <c r="M4263">
        <v>792045491</v>
      </c>
      <c r="N4263">
        <v>604484558</v>
      </c>
      <c r="O4263">
        <v>442978630</v>
      </c>
      <c r="P4263">
        <v>1101</v>
      </c>
      <c r="Q4263" t="s">
        <v>8871</v>
      </c>
    </row>
    <row r="4264" spans="1:17" x14ac:dyDescent="0.3">
      <c r="A4264" t="s">
        <v>4729</v>
      </c>
      <c r="B4264" t="str">
        <f>"300464"</f>
        <v>300464</v>
      </c>
      <c r="C4264" t="s">
        <v>8872</v>
      </c>
      <c r="D4264" t="s">
        <v>2020</v>
      </c>
      <c r="F4264">
        <v>463839277</v>
      </c>
      <c r="G4264">
        <v>1978291612</v>
      </c>
      <c r="H4264">
        <v>1801150757</v>
      </c>
      <c r="I4264">
        <v>510853411</v>
      </c>
      <c r="J4264">
        <v>508535928</v>
      </c>
      <c r="K4264">
        <v>508476645</v>
      </c>
      <c r="L4264">
        <v>473461383</v>
      </c>
      <c r="M4264">
        <v>258741585</v>
      </c>
      <c r="N4264">
        <v>238253601</v>
      </c>
      <c r="O4264">
        <v>207815454</v>
      </c>
      <c r="P4264">
        <v>121</v>
      </c>
      <c r="Q4264" t="s">
        <v>8873</v>
      </c>
    </row>
    <row r="4265" spans="1:17" x14ac:dyDescent="0.3">
      <c r="A4265" t="s">
        <v>4729</v>
      </c>
      <c r="B4265" t="str">
        <f>"300465"</f>
        <v>300465</v>
      </c>
      <c r="C4265" t="s">
        <v>8874</v>
      </c>
      <c r="D4265" t="s">
        <v>945</v>
      </c>
      <c r="F4265">
        <v>693800668</v>
      </c>
      <c r="G4265">
        <v>569823848</v>
      </c>
      <c r="H4265">
        <v>1313620498</v>
      </c>
      <c r="I4265">
        <v>1183904420</v>
      </c>
      <c r="J4265">
        <v>1076292184</v>
      </c>
      <c r="K4265">
        <v>1043909396</v>
      </c>
      <c r="L4265">
        <v>745086110</v>
      </c>
      <c r="M4265">
        <v>355415528</v>
      </c>
      <c r="N4265">
        <v>289334641</v>
      </c>
      <c r="O4265">
        <v>236098202</v>
      </c>
      <c r="P4265">
        <v>252</v>
      </c>
      <c r="Q4265" t="s">
        <v>8875</v>
      </c>
    </row>
    <row r="4266" spans="1:17" x14ac:dyDescent="0.3">
      <c r="A4266" t="s">
        <v>4729</v>
      </c>
      <c r="B4266" t="str">
        <f>"300466"</f>
        <v>300466</v>
      </c>
      <c r="C4266" t="s">
        <v>8876</v>
      </c>
      <c r="D4266" t="s">
        <v>2180</v>
      </c>
      <c r="F4266">
        <v>845399401</v>
      </c>
      <c r="G4266">
        <v>854822420</v>
      </c>
      <c r="H4266">
        <v>859721657</v>
      </c>
      <c r="I4266">
        <v>1180919601</v>
      </c>
      <c r="J4266">
        <v>1398587130</v>
      </c>
      <c r="K4266">
        <v>1116222317</v>
      </c>
      <c r="L4266">
        <v>470368886</v>
      </c>
      <c r="M4266">
        <v>263325871</v>
      </c>
      <c r="N4266">
        <v>234688338</v>
      </c>
      <c r="O4266">
        <v>198858825</v>
      </c>
      <c r="P4266">
        <v>121</v>
      </c>
      <c r="Q4266" t="s">
        <v>8877</v>
      </c>
    </row>
    <row r="4267" spans="1:17" x14ac:dyDescent="0.3">
      <c r="A4267" t="s">
        <v>4729</v>
      </c>
      <c r="B4267" t="str">
        <f>"300467"</f>
        <v>300467</v>
      </c>
      <c r="C4267" t="s">
        <v>8878</v>
      </c>
      <c r="D4267" t="s">
        <v>517</v>
      </c>
      <c r="F4267">
        <v>581498293</v>
      </c>
      <c r="G4267">
        <v>746774185</v>
      </c>
      <c r="H4267">
        <v>1075888479</v>
      </c>
      <c r="I4267">
        <v>2213279370</v>
      </c>
      <c r="J4267">
        <v>3023003655</v>
      </c>
      <c r="K4267">
        <v>538376992</v>
      </c>
      <c r="L4267">
        <v>435004070</v>
      </c>
      <c r="M4267">
        <v>107045936</v>
      </c>
      <c r="N4267">
        <v>94870785</v>
      </c>
      <c r="O4267">
        <v>97011653</v>
      </c>
      <c r="P4267">
        <v>187</v>
      </c>
      <c r="Q4267" t="s">
        <v>8879</v>
      </c>
    </row>
    <row r="4268" spans="1:17" x14ac:dyDescent="0.3">
      <c r="A4268" t="s">
        <v>4729</v>
      </c>
      <c r="B4268" t="str">
        <f>"300468"</f>
        <v>300468</v>
      </c>
      <c r="C4268" t="s">
        <v>8880</v>
      </c>
      <c r="D4268" t="s">
        <v>945</v>
      </c>
      <c r="F4268">
        <v>1192951352</v>
      </c>
      <c r="G4268">
        <v>1165443608</v>
      </c>
      <c r="H4268">
        <v>1102435617</v>
      </c>
      <c r="I4268">
        <v>1054204546</v>
      </c>
      <c r="J4268">
        <v>949321068</v>
      </c>
      <c r="K4268">
        <v>845973873</v>
      </c>
      <c r="L4268">
        <v>770955692</v>
      </c>
      <c r="M4268">
        <v>329206853</v>
      </c>
      <c r="N4268">
        <v>282377390</v>
      </c>
      <c r="O4268">
        <v>238137024</v>
      </c>
      <c r="P4268">
        <v>213</v>
      </c>
      <c r="Q4268" t="s">
        <v>8881</v>
      </c>
    </row>
    <row r="4269" spans="1:17" x14ac:dyDescent="0.3">
      <c r="A4269" t="s">
        <v>4729</v>
      </c>
      <c r="B4269" t="str">
        <f>"300469"</f>
        <v>300469</v>
      </c>
      <c r="C4269" t="s">
        <v>8882</v>
      </c>
      <c r="D4269" t="s">
        <v>945</v>
      </c>
      <c r="F4269">
        <v>152816963</v>
      </c>
      <c r="G4269">
        <v>235237474</v>
      </c>
      <c r="H4269">
        <v>305814708</v>
      </c>
      <c r="I4269">
        <v>452583484</v>
      </c>
      <c r="J4269">
        <v>422372877</v>
      </c>
      <c r="K4269">
        <v>451795434</v>
      </c>
      <c r="L4269">
        <v>341381224</v>
      </c>
      <c r="M4269">
        <v>159433101</v>
      </c>
      <c r="N4269">
        <v>124093790</v>
      </c>
      <c r="O4269">
        <v>90998651</v>
      </c>
      <c r="P4269">
        <v>96</v>
      </c>
      <c r="Q4269" t="s">
        <v>8883</v>
      </c>
    </row>
    <row r="4270" spans="1:17" x14ac:dyDescent="0.3">
      <c r="A4270" t="s">
        <v>4729</v>
      </c>
      <c r="B4270" t="str">
        <f>"300470"</f>
        <v>300470</v>
      </c>
      <c r="C4270" t="s">
        <v>8884</v>
      </c>
      <c r="D4270" t="s">
        <v>560</v>
      </c>
      <c r="F4270">
        <v>2256419306</v>
      </c>
      <c r="G4270">
        <v>1528357880</v>
      </c>
      <c r="H4270">
        <v>1334100881</v>
      </c>
      <c r="I4270">
        <v>1130666786</v>
      </c>
      <c r="J4270">
        <v>987061039</v>
      </c>
      <c r="K4270">
        <v>888980230</v>
      </c>
      <c r="L4270">
        <v>807226588</v>
      </c>
      <c r="M4270">
        <v>339227936</v>
      </c>
      <c r="N4270">
        <v>270319477</v>
      </c>
      <c r="O4270">
        <v>200051672</v>
      </c>
      <c r="P4270">
        <v>347</v>
      </c>
      <c r="Q4270" t="s">
        <v>8885</v>
      </c>
    </row>
    <row r="4271" spans="1:17" x14ac:dyDescent="0.3">
      <c r="A4271" t="s">
        <v>4729</v>
      </c>
      <c r="B4271" t="str">
        <f>"300471"</f>
        <v>300471</v>
      </c>
      <c r="C4271" t="s">
        <v>8886</v>
      </c>
      <c r="D4271" t="s">
        <v>741</v>
      </c>
      <c r="F4271">
        <v>1060229834</v>
      </c>
      <c r="G4271">
        <v>1049894077</v>
      </c>
      <c r="H4271">
        <v>1222941847</v>
      </c>
      <c r="I4271">
        <v>1202906075</v>
      </c>
      <c r="J4271">
        <v>1686011304</v>
      </c>
      <c r="K4271">
        <v>1680069515</v>
      </c>
      <c r="L4271">
        <v>1469552534</v>
      </c>
      <c r="M4271">
        <v>578595906</v>
      </c>
      <c r="N4271">
        <v>428570650</v>
      </c>
      <c r="O4271">
        <v>304291270</v>
      </c>
      <c r="P4271">
        <v>166</v>
      </c>
      <c r="Q4271" t="s">
        <v>8887</v>
      </c>
    </row>
    <row r="4272" spans="1:17" x14ac:dyDescent="0.3">
      <c r="A4272" t="s">
        <v>4729</v>
      </c>
      <c r="B4272" t="str">
        <f>"300472"</f>
        <v>300472</v>
      </c>
      <c r="C4272" t="s">
        <v>8888</v>
      </c>
      <c r="D4272" t="s">
        <v>741</v>
      </c>
      <c r="F4272">
        <v>883362200</v>
      </c>
      <c r="G4272">
        <v>696871572</v>
      </c>
      <c r="H4272">
        <v>1078377942</v>
      </c>
      <c r="I4272">
        <v>1134812902</v>
      </c>
      <c r="J4272">
        <v>826461207</v>
      </c>
      <c r="K4272">
        <v>385943051</v>
      </c>
      <c r="L4272">
        <v>375079793</v>
      </c>
      <c r="M4272">
        <v>193761584</v>
      </c>
      <c r="N4272">
        <v>166226124</v>
      </c>
      <c r="O4272">
        <v>132888842</v>
      </c>
      <c r="P4272">
        <v>78</v>
      </c>
      <c r="Q4272" t="s">
        <v>8889</v>
      </c>
    </row>
    <row r="4273" spans="1:17" x14ac:dyDescent="0.3">
      <c r="A4273" t="s">
        <v>4729</v>
      </c>
      <c r="B4273" t="str">
        <f>"300473"</f>
        <v>300473</v>
      </c>
      <c r="C4273" t="s">
        <v>8890</v>
      </c>
      <c r="D4273" t="s">
        <v>985</v>
      </c>
      <c r="F4273">
        <v>2062409015</v>
      </c>
      <c r="G4273">
        <v>1894692389</v>
      </c>
      <c r="H4273">
        <v>2210535851</v>
      </c>
      <c r="I4273">
        <v>1816827911</v>
      </c>
      <c r="J4273">
        <v>1657977708</v>
      </c>
      <c r="K4273">
        <v>1510154967</v>
      </c>
      <c r="L4273">
        <v>1500194030</v>
      </c>
      <c r="M4273">
        <v>726999959</v>
      </c>
      <c r="N4273">
        <v>621975966</v>
      </c>
      <c r="O4273">
        <v>531206753</v>
      </c>
      <c r="P4273">
        <v>142</v>
      </c>
      <c r="Q4273" t="s">
        <v>8891</v>
      </c>
    </row>
    <row r="4274" spans="1:17" x14ac:dyDescent="0.3">
      <c r="A4274" t="s">
        <v>4729</v>
      </c>
      <c r="B4274" t="str">
        <f>"300474"</f>
        <v>300474</v>
      </c>
      <c r="C4274" t="s">
        <v>8892</v>
      </c>
      <c r="D4274" t="s">
        <v>1136</v>
      </c>
      <c r="F4274">
        <v>2864871888</v>
      </c>
      <c r="G4274">
        <v>2531235880</v>
      </c>
      <c r="H4274">
        <v>2358363736</v>
      </c>
      <c r="I4274">
        <v>2211226921</v>
      </c>
      <c r="J4274">
        <v>997816177</v>
      </c>
      <c r="K4274">
        <v>869436325</v>
      </c>
      <c r="L4274">
        <v>393939525</v>
      </c>
      <c r="M4274">
        <v>304984736</v>
      </c>
      <c r="N4274">
        <v>222799836</v>
      </c>
      <c r="P4274">
        <v>513</v>
      </c>
      <c r="Q4274" t="s">
        <v>8893</v>
      </c>
    </row>
    <row r="4275" spans="1:17" x14ac:dyDescent="0.3">
      <c r="A4275" t="s">
        <v>4729</v>
      </c>
      <c r="B4275" t="str">
        <f>"300475"</f>
        <v>300475</v>
      </c>
      <c r="C4275" t="s">
        <v>8894</v>
      </c>
      <c r="D4275" t="s">
        <v>1253</v>
      </c>
      <c r="F4275">
        <v>1557050269</v>
      </c>
      <c r="G4275">
        <v>1334109810</v>
      </c>
      <c r="H4275">
        <v>1282877851</v>
      </c>
      <c r="I4275">
        <v>1221015607</v>
      </c>
      <c r="J4275">
        <v>1205200968</v>
      </c>
      <c r="K4275">
        <v>1137248646</v>
      </c>
      <c r="L4275">
        <v>1061814122</v>
      </c>
      <c r="M4275">
        <v>584769004</v>
      </c>
      <c r="N4275">
        <v>449203958</v>
      </c>
      <c r="O4275">
        <v>355833620</v>
      </c>
      <c r="P4275">
        <v>92</v>
      </c>
      <c r="Q4275" t="s">
        <v>8895</v>
      </c>
    </row>
    <row r="4276" spans="1:17" x14ac:dyDescent="0.3">
      <c r="A4276" t="s">
        <v>4729</v>
      </c>
      <c r="B4276" t="str">
        <f>"300476"</f>
        <v>300476</v>
      </c>
      <c r="C4276" t="s">
        <v>8896</v>
      </c>
      <c r="D4276" t="s">
        <v>425</v>
      </c>
      <c r="F4276">
        <v>6269707455</v>
      </c>
      <c r="G4276">
        <v>3731206171</v>
      </c>
      <c r="H4276">
        <v>3325757457</v>
      </c>
      <c r="I4276">
        <v>2975836430</v>
      </c>
      <c r="J4276">
        <v>2697497205</v>
      </c>
      <c r="K4276">
        <v>1447695647</v>
      </c>
      <c r="L4276">
        <v>1248053724</v>
      </c>
      <c r="M4276">
        <v>585760452</v>
      </c>
      <c r="N4276">
        <v>532104401</v>
      </c>
      <c r="O4276">
        <v>443572397</v>
      </c>
      <c r="P4276">
        <v>633</v>
      </c>
      <c r="Q4276" t="s">
        <v>8897</v>
      </c>
    </row>
    <row r="4277" spans="1:17" x14ac:dyDescent="0.3">
      <c r="A4277" t="s">
        <v>4729</v>
      </c>
      <c r="B4277" t="str">
        <f>"300477"</f>
        <v>300477</v>
      </c>
      <c r="C4277" t="s">
        <v>8898</v>
      </c>
      <c r="D4277" t="s">
        <v>210</v>
      </c>
      <c r="F4277">
        <v>2335483563</v>
      </c>
      <c r="G4277">
        <v>1244106793</v>
      </c>
      <c r="H4277">
        <v>2004661617</v>
      </c>
      <c r="I4277">
        <v>1939990558</v>
      </c>
      <c r="J4277">
        <v>1922838100</v>
      </c>
      <c r="K4277">
        <v>879046451</v>
      </c>
      <c r="L4277">
        <v>732756012</v>
      </c>
      <c r="M4277">
        <v>417546047</v>
      </c>
      <c r="N4277">
        <v>358696871</v>
      </c>
      <c r="O4277">
        <v>282126770</v>
      </c>
      <c r="P4277">
        <v>100</v>
      </c>
      <c r="Q4277" t="s">
        <v>8899</v>
      </c>
    </row>
    <row r="4278" spans="1:17" x14ac:dyDescent="0.3">
      <c r="A4278" t="s">
        <v>4729</v>
      </c>
      <c r="B4278" t="str">
        <f>"300478"</f>
        <v>300478</v>
      </c>
      <c r="C4278" t="s">
        <v>8900</v>
      </c>
      <c r="D4278" t="s">
        <v>341</v>
      </c>
      <c r="F4278">
        <v>83058015</v>
      </c>
      <c r="G4278">
        <v>66687129</v>
      </c>
      <c r="H4278">
        <v>256067045</v>
      </c>
      <c r="I4278">
        <v>558459032</v>
      </c>
      <c r="J4278">
        <v>547279984</v>
      </c>
      <c r="K4278">
        <v>514940479</v>
      </c>
      <c r="L4278">
        <v>489626063</v>
      </c>
      <c r="M4278">
        <v>242977100</v>
      </c>
      <c r="N4278">
        <v>204325968</v>
      </c>
      <c r="O4278">
        <v>165113522</v>
      </c>
      <c r="P4278">
        <v>58</v>
      </c>
      <c r="Q4278" t="s">
        <v>8901</v>
      </c>
    </row>
    <row r="4279" spans="1:17" x14ac:dyDescent="0.3">
      <c r="A4279" t="s">
        <v>4729</v>
      </c>
      <c r="B4279" t="str">
        <f>"300479"</f>
        <v>300479</v>
      </c>
      <c r="C4279" t="s">
        <v>8902</v>
      </c>
      <c r="D4279" t="s">
        <v>236</v>
      </c>
      <c r="F4279">
        <v>756416754</v>
      </c>
      <c r="G4279">
        <v>626821941</v>
      </c>
      <c r="H4279">
        <v>620998289</v>
      </c>
      <c r="I4279">
        <v>549269510</v>
      </c>
      <c r="J4279">
        <v>409619763</v>
      </c>
      <c r="K4279">
        <v>402075926</v>
      </c>
      <c r="L4279">
        <v>405470120</v>
      </c>
      <c r="M4279">
        <v>193390604</v>
      </c>
      <c r="N4279">
        <v>159138089</v>
      </c>
      <c r="O4279">
        <v>126679913</v>
      </c>
      <c r="P4279">
        <v>167</v>
      </c>
      <c r="Q4279" t="s">
        <v>8903</v>
      </c>
    </row>
    <row r="4280" spans="1:17" x14ac:dyDescent="0.3">
      <c r="A4280" t="s">
        <v>4729</v>
      </c>
      <c r="B4280" t="str">
        <f>"300480"</f>
        <v>300480</v>
      </c>
      <c r="C4280" t="s">
        <v>8904</v>
      </c>
      <c r="D4280" t="s">
        <v>395</v>
      </c>
      <c r="F4280">
        <v>1340087083</v>
      </c>
      <c r="G4280">
        <v>772468307</v>
      </c>
      <c r="H4280">
        <v>737265968</v>
      </c>
      <c r="I4280">
        <v>694859349</v>
      </c>
      <c r="J4280">
        <v>656626559</v>
      </c>
      <c r="K4280">
        <v>475164304</v>
      </c>
      <c r="L4280">
        <v>454950580</v>
      </c>
      <c r="M4280">
        <v>291187784</v>
      </c>
      <c r="N4280">
        <v>263975281</v>
      </c>
      <c r="O4280">
        <v>209390025</v>
      </c>
      <c r="P4280">
        <v>84</v>
      </c>
      <c r="Q4280" t="s">
        <v>8905</v>
      </c>
    </row>
    <row r="4281" spans="1:17" x14ac:dyDescent="0.3">
      <c r="A4281" t="s">
        <v>4729</v>
      </c>
      <c r="B4281" t="str">
        <f>"300481"</f>
        <v>300481</v>
      </c>
      <c r="C4281" t="s">
        <v>8906</v>
      </c>
      <c r="D4281" t="s">
        <v>2408</v>
      </c>
      <c r="F4281">
        <v>1994954295</v>
      </c>
      <c r="G4281">
        <v>999820138</v>
      </c>
      <c r="H4281">
        <v>865974389</v>
      </c>
      <c r="I4281">
        <v>765119593</v>
      </c>
      <c r="J4281">
        <v>512061910</v>
      </c>
      <c r="K4281">
        <v>457233977</v>
      </c>
      <c r="L4281">
        <v>432312719</v>
      </c>
      <c r="M4281">
        <v>229297177</v>
      </c>
      <c r="N4281">
        <v>202380244</v>
      </c>
      <c r="O4281">
        <v>157074798</v>
      </c>
      <c r="P4281">
        <v>352</v>
      </c>
      <c r="Q4281" t="s">
        <v>8907</v>
      </c>
    </row>
    <row r="4282" spans="1:17" x14ac:dyDescent="0.3">
      <c r="A4282" t="s">
        <v>4729</v>
      </c>
      <c r="B4282" t="str">
        <f>"300482"</f>
        <v>300482</v>
      </c>
      <c r="C4282" t="s">
        <v>8908</v>
      </c>
      <c r="D4282" t="s">
        <v>1305</v>
      </c>
      <c r="F4282">
        <v>3245490656</v>
      </c>
      <c r="G4282">
        <v>2734439455</v>
      </c>
      <c r="H4282">
        <v>2223327930</v>
      </c>
      <c r="I4282">
        <v>1934456986</v>
      </c>
      <c r="J4282">
        <v>1028990659</v>
      </c>
      <c r="K4282">
        <v>842648871</v>
      </c>
      <c r="L4282">
        <v>700641922</v>
      </c>
      <c r="M4282">
        <v>313431804</v>
      </c>
      <c r="N4282">
        <v>241472291</v>
      </c>
      <c r="O4282">
        <v>182484756</v>
      </c>
      <c r="P4282">
        <v>17071</v>
      </c>
      <c r="Q4282" t="s">
        <v>8909</v>
      </c>
    </row>
    <row r="4283" spans="1:17" x14ac:dyDescent="0.3">
      <c r="A4283" t="s">
        <v>4729</v>
      </c>
      <c r="B4283" t="str">
        <f>"300483"</f>
        <v>300483</v>
      </c>
      <c r="C4283" t="s">
        <v>8910</v>
      </c>
      <c r="D4283" t="s">
        <v>749</v>
      </c>
      <c r="F4283">
        <v>2794680885</v>
      </c>
      <c r="G4283">
        <v>2744462634</v>
      </c>
      <c r="H4283">
        <v>2074631417</v>
      </c>
      <c r="I4283">
        <v>1437495330</v>
      </c>
      <c r="J4283">
        <v>399028307</v>
      </c>
      <c r="K4283">
        <v>398133915</v>
      </c>
      <c r="L4283">
        <v>390749316</v>
      </c>
      <c r="M4283">
        <v>231963064</v>
      </c>
      <c r="N4283">
        <v>212553259</v>
      </c>
      <c r="O4283">
        <v>190517328</v>
      </c>
      <c r="P4283">
        <v>140</v>
      </c>
      <c r="Q4283" t="s">
        <v>8911</v>
      </c>
    </row>
    <row r="4284" spans="1:17" x14ac:dyDescent="0.3">
      <c r="A4284" t="s">
        <v>4729</v>
      </c>
      <c r="B4284" t="str">
        <f>"300484"</f>
        <v>300484</v>
      </c>
      <c r="C4284" t="s">
        <v>8912</v>
      </c>
      <c r="D4284" t="s">
        <v>2432</v>
      </c>
      <c r="F4284">
        <v>631815608</v>
      </c>
      <c r="G4284">
        <v>600078656</v>
      </c>
      <c r="H4284">
        <v>547957674</v>
      </c>
      <c r="I4284">
        <v>705027889</v>
      </c>
      <c r="J4284">
        <v>706646330</v>
      </c>
      <c r="K4284">
        <v>609577892</v>
      </c>
      <c r="L4284">
        <v>256093218</v>
      </c>
      <c r="M4284">
        <v>190154116</v>
      </c>
      <c r="N4284">
        <v>145465830</v>
      </c>
      <c r="O4284">
        <v>90645018</v>
      </c>
      <c r="P4284">
        <v>219</v>
      </c>
      <c r="Q4284" t="s">
        <v>8913</v>
      </c>
    </row>
    <row r="4285" spans="1:17" x14ac:dyDescent="0.3">
      <c r="A4285" t="s">
        <v>4729</v>
      </c>
      <c r="B4285" t="str">
        <f>"300485"</f>
        <v>300485</v>
      </c>
      <c r="C4285" t="s">
        <v>8914</v>
      </c>
      <c r="D4285" t="s">
        <v>1379</v>
      </c>
      <c r="F4285">
        <v>3244735113</v>
      </c>
      <c r="G4285">
        <v>2804427300</v>
      </c>
      <c r="H4285">
        <v>2674097018</v>
      </c>
      <c r="I4285">
        <v>2554113066</v>
      </c>
      <c r="J4285">
        <v>2318173173</v>
      </c>
      <c r="K4285">
        <v>2096569039</v>
      </c>
      <c r="L4285">
        <v>1881363143</v>
      </c>
      <c r="M4285">
        <v>645144458</v>
      </c>
      <c r="N4285">
        <v>492072926</v>
      </c>
      <c r="O4285">
        <v>358284071</v>
      </c>
      <c r="P4285">
        <v>196</v>
      </c>
      <c r="Q4285" t="s">
        <v>8915</v>
      </c>
    </row>
    <row r="4286" spans="1:17" x14ac:dyDescent="0.3">
      <c r="A4286" t="s">
        <v>4729</v>
      </c>
      <c r="B4286" t="str">
        <f>"300486"</f>
        <v>300486</v>
      </c>
      <c r="C4286" t="s">
        <v>8916</v>
      </c>
      <c r="D4286" t="s">
        <v>3477</v>
      </c>
      <c r="F4286">
        <v>1532468147</v>
      </c>
      <c r="G4286">
        <v>1484893247</v>
      </c>
      <c r="H4286">
        <v>1403479729</v>
      </c>
      <c r="I4286">
        <v>1100445007</v>
      </c>
      <c r="J4286">
        <v>659551988</v>
      </c>
      <c r="K4286">
        <v>624868133</v>
      </c>
      <c r="L4286">
        <v>687062791</v>
      </c>
      <c r="M4286">
        <v>378727833</v>
      </c>
      <c r="N4286">
        <v>334006271</v>
      </c>
      <c r="O4286">
        <v>280844770</v>
      </c>
      <c r="P4286">
        <v>74</v>
      </c>
      <c r="Q4286" t="s">
        <v>8917</v>
      </c>
    </row>
    <row r="4287" spans="1:17" x14ac:dyDescent="0.3">
      <c r="A4287" t="s">
        <v>4729</v>
      </c>
      <c r="B4287" t="str">
        <f>"300487"</f>
        <v>300487</v>
      </c>
      <c r="C4287" t="s">
        <v>8918</v>
      </c>
      <c r="D4287" t="s">
        <v>3377</v>
      </c>
      <c r="F4287">
        <v>2064459013</v>
      </c>
      <c r="G4287">
        <v>1632615419</v>
      </c>
      <c r="H4287">
        <v>1205118539</v>
      </c>
      <c r="I4287">
        <v>946302844</v>
      </c>
      <c r="J4287">
        <v>812231462</v>
      </c>
      <c r="K4287">
        <v>722050550</v>
      </c>
      <c r="L4287">
        <v>679934463</v>
      </c>
      <c r="M4287">
        <v>384476479</v>
      </c>
      <c r="N4287">
        <v>335938754</v>
      </c>
      <c r="O4287">
        <v>283893362</v>
      </c>
      <c r="P4287">
        <v>374</v>
      </c>
      <c r="Q4287" t="s">
        <v>8919</v>
      </c>
    </row>
    <row r="4288" spans="1:17" x14ac:dyDescent="0.3">
      <c r="A4288" t="s">
        <v>4729</v>
      </c>
      <c r="B4288" t="str">
        <f>"300488"</f>
        <v>300488</v>
      </c>
      <c r="C4288" t="s">
        <v>8920</v>
      </c>
      <c r="D4288" t="s">
        <v>274</v>
      </c>
      <c r="F4288">
        <v>1201362073</v>
      </c>
      <c r="G4288">
        <v>1073017329</v>
      </c>
      <c r="H4288">
        <v>1019512683</v>
      </c>
      <c r="I4288">
        <v>932860652</v>
      </c>
      <c r="J4288">
        <v>879481854</v>
      </c>
      <c r="K4288">
        <v>659275182</v>
      </c>
      <c r="L4288">
        <v>598263927</v>
      </c>
      <c r="M4288">
        <v>324650779</v>
      </c>
      <c r="N4288">
        <v>283619541</v>
      </c>
      <c r="O4288">
        <v>224417720</v>
      </c>
      <c r="P4288">
        <v>120</v>
      </c>
      <c r="Q4288" t="s">
        <v>8921</v>
      </c>
    </row>
    <row r="4289" spans="1:17" x14ac:dyDescent="0.3">
      <c r="A4289" t="s">
        <v>4729</v>
      </c>
      <c r="B4289" t="str">
        <f>"300489"</f>
        <v>300489</v>
      </c>
      <c r="C4289" t="s">
        <v>8922</v>
      </c>
      <c r="D4289" t="s">
        <v>504</v>
      </c>
      <c r="F4289">
        <v>403700708</v>
      </c>
      <c r="G4289">
        <v>377751034</v>
      </c>
      <c r="H4289">
        <v>354112617</v>
      </c>
      <c r="I4289">
        <v>466880939</v>
      </c>
      <c r="J4289">
        <v>466678621</v>
      </c>
      <c r="K4289">
        <v>457056872</v>
      </c>
      <c r="L4289">
        <v>431391102</v>
      </c>
      <c r="M4289">
        <v>240294435</v>
      </c>
      <c r="N4289">
        <v>204282851</v>
      </c>
      <c r="O4289">
        <v>170459362</v>
      </c>
      <c r="P4289">
        <v>71</v>
      </c>
      <c r="Q4289" t="s">
        <v>8923</v>
      </c>
    </row>
    <row r="4290" spans="1:17" x14ac:dyDescent="0.3">
      <c r="A4290" t="s">
        <v>4729</v>
      </c>
      <c r="B4290" t="str">
        <f>"300490"</f>
        <v>300490</v>
      </c>
      <c r="C4290" t="s">
        <v>8924</v>
      </c>
      <c r="D4290" t="s">
        <v>610</v>
      </c>
      <c r="F4290">
        <v>2479307615</v>
      </c>
      <c r="G4290">
        <v>1747870527</v>
      </c>
      <c r="H4290">
        <v>1764776724</v>
      </c>
      <c r="I4290">
        <v>1673819350</v>
      </c>
      <c r="J4290">
        <v>1211934532</v>
      </c>
      <c r="K4290">
        <v>580253514</v>
      </c>
      <c r="L4290">
        <v>552039525</v>
      </c>
      <c r="M4290">
        <v>317869885</v>
      </c>
      <c r="N4290">
        <v>281284835</v>
      </c>
      <c r="O4290">
        <v>245478937</v>
      </c>
      <c r="P4290">
        <v>161</v>
      </c>
      <c r="Q4290" t="s">
        <v>8925</v>
      </c>
    </row>
    <row r="4291" spans="1:17" x14ac:dyDescent="0.3">
      <c r="A4291" t="s">
        <v>4729</v>
      </c>
      <c r="B4291" t="str">
        <f>"300491"</f>
        <v>300491</v>
      </c>
      <c r="C4291" t="s">
        <v>8926</v>
      </c>
      <c r="D4291" t="s">
        <v>880</v>
      </c>
      <c r="F4291">
        <v>967853329</v>
      </c>
      <c r="G4291">
        <v>718049592</v>
      </c>
      <c r="H4291">
        <v>676552249</v>
      </c>
      <c r="I4291">
        <v>413756038</v>
      </c>
      <c r="J4291">
        <v>431175985</v>
      </c>
      <c r="K4291">
        <v>414438425</v>
      </c>
      <c r="L4291">
        <v>395572356</v>
      </c>
      <c r="M4291">
        <v>180761171</v>
      </c>
      <c r="N4291">
        <v>151010193</v>
      </c>
      <c r="O4291">
        <v>114647795</v>
      </c>
      <c r="P4291">
        <v>94</v>
      </c>
      <c r="Q4291" t="s">
        <v>8927</v>
      </c>
    </row>
    <row r="4292" spans="1:17" x14ac:dyDescent="0.3">
      <c r="A4292" t="s">
        <v>4729</v>
      </c>
      <c r="B4292" t="str">
        <f>"300492"</f>
        <v>300492</v>
      </c>
      <c r="C4292" t="s">
        <v>8928</v>
      </c>
      <c r="D4292" t="s">
        <v>1272</v>
      </c>
      <c r="F4292">
        <v>296365299</v>
      </c>
      <c r="G4292">
        <v>288203397</v>
      </c>
      <c r="H4292">
        <v>293046645</v>
      </c>
      <c r="I4292">
        <v>314932024</v>
      </c>
      <c r="J4292">
        <v>314238480</v>
      </c>
      <c r="K4292">
        <v>297785397</v>
      </c>
      <c r="L4292">
        <v>290110343</v>
      </c>
      <c r="M4292">
        <v>155289180</v>
      </c>
      <c r="N4292">
        <v>145275531</v>
      </c>
      <c r="O4292">
        <v>115446938</v>
      </c>
      <c r="P4292">
        <v>94</v>
      </c>
      <c r="Q4292" t="s">
        <v>8929</v>
      </c>
    </row>
    <row r="4293" spans="1:17" x14ac:dyDescent="0.3">
      <c r="A4293" t="s">
        <v>4729</v>
      </c>
      <c r="B4293" t="str">
        <f>"300493"</f>
        <v>300493</v>
      </c>
      <c r="C4293" t="s">
        <v>8930</v>
      </c>
      <c r="D4293" t="s">
        <v>651</v>
      </c>
      <c r="F4293">
        <v>792846001</v>
      </c>
      <c r="G4293">
        <v>749779357</v>
      </c>
      <c r="H4293">
        <v>743584949</v>
      </c>
      <c r="I4293">
        <v>728159194</v>
      </c>
      <c r="J4293">
        <v>499692159</v>
      </c>
      <c r="K4293">
        <v>475701523</v>
      </c>
      <c r="L4293">
        <v>454110267</v>
      </c>
      <c r="M4293">
        <v>254936273</v>
      </c>
      <c r="N4293">
        <v>236596496</v>
      </c>
      <c r="O4293">
        <v>217347702</v>
      </c>
      <c r="P4293">
        <v>187</v>
      </c>
      <c r="Q4293" t="s">
        <v>8931</v>
      </c>
    </row>
    <row r="4294" spans="1:17" x14ac:dyDescent="0.3">
      <c r="A4294" t="s">
        <v>4729</v>
      </c>
      <c r="B4294" t="str">
        <f>"300494"</f>
        <v>300494</v>
      </c>
      <c r="C4294" t="s">
        <v>8932</v>
      </c>
      <c r="D4294" t="s">
        <v>517</v>
      </c>
      <c r="F4294">
        <v>1304248157</v>
      </c>
      <c r="G4294">
        <v>1073965102</v>
      </c>
      <c r="H4294">
        <v>1022734788</v>
      </c>
      <c r="I4294">
        <v>988653505</v>
      </c>
      <c r="J4294">
        <v>958732016</v>
      </c>
      <c r="K4294">
        <v>905960035</v>
      </c>
      <c r="L4294">
        <v>796209823</v>
      </c>
      <c r="M4294">
        <v>279800463</v>
      </c>
      <c r="N4294">
        <v>219180168</v>
      </c>
      <c r="O4294">
        <v>132961045</v>
      </c>
      <c r="P4294">
        <v>134</v>
      </c>
      <c r="Q4294" t="s">
        <v>8933</v>
      </c>
    </row>
    <row r="4295" spans="1:17" x14ac:dyDescent="0.3">
      <c r="A4295" t="s">
        <v>4729</v>
      </c>
      <c r="B4295" t="str">
        <f>"300495"</f>
        <v>300495</v>
      </c>
      <c r="C4295" t="s">
        <v>8934</v>
      </c>
      <c r="D4295" t="s">
        <v>2417</v>
      </c>
      <c r="F4295">
        <v>1389194584</v>
      </c>
      <c r="G4295">
        <v>3814585348</v>
      </c>
      <c r="H4295">
        <v>4318129859</v>
      </c>
      <c r="I4295">
        <v>3211817444</v>
      </c>
      <c r="J4295">
        <v>2895955309</v>
      </c>
      <c r="K4295">
        <v>2604670443</v>
      </c>
      <c r="L4295">
        <v>1025589620</v>
      </c>
      <c r="M4295">
        <v>419270193</v>
      </c>
      <c r="N4295">
        <v>311707046</v>
      </c>
      <c r="O4295">
        <v>210436656</v>
      </c>
      <c r="P4295">
        <v>103</v>
      </c>
      <c r="Q4295" t="s">
        <v>8935</v>
      </c>
    </row>
    <row r="4296" spans="1:17" x14ac:dyDescent="0.3">
      <c r="A4296" t="s">
        <v>4729</v>
      </c>
      <c r="B4296" t="str">
        <f>"300496"</f>
        <v>300496</v>
      </c>
      <c r="C4296" t="s">
        <v>8936</v>
      </c>
      <c r="D4296" t="s">
        <v>316</v>
      </c>
      <c r="F4296">
        <v>5188688757</v>
      </c>
      <c r="G4296">
        <v>4326748152</v>
      </c>
      <c r="H4296">
        <v>1915981721</v>
      </c>
      <c r="I4296">
        <v>1493318360</v>
      </c>
      <c r="J4296">
        <v>1252293510</v>
      </c>
      <c r="K4296">
        <v>1102577606</v>
      </c>
      <c r="L4296">
        <v>969822939</v>
      </c>
      <c r="M4296">
        <v>340072796</v>
      </c>
      <c r="N4296">
        <v>254560957</v>
      </c>
      <c r="O4296">
        <v>175089950</v>
      </c>
      <c r="P4296">
        <v>1141</v>
      </c>
      <c r="Q4296" t="s">
        <v>8937</v>
      </c>
    </row>
    <row r="4297" spans="1:17" x14ac:dyDescent="0.3">
      <c r="A4297" t="s">
        <v>4729</v>
      </c>
      <c r="B4297" t="str">
        <f>"300497"</f>
        <v>300497</v>
      </c>
      <c r="C4297" t="s">
        <v>8938</v>
      </c>
      <c r="D4297" t="s">
        <v>496</v>
      </c>
      <c r="F4297">
        <v>2880206761</v>
      </c>
      <c r="G4297">
        <v>3007345501</v>
      </c>
      <c r="H4297">
        <v>1396841119</v>
      </c>
      <c r="I4297">
        <v>1116216861</v>
      </c>
      <c r="J4297">
        <v>936873593</v>
      </c>
      <c r="K4297">
        <v>756018262</v>
      </c>
      <c r="L4297">
        <v>596213660</v>
      </c>
      <c r="M4297">
        <v>283262719</v>
      </c>
      <c r="N4297">
        <v>229760252</v>
      </c>
      <c r="O4297">
        <v>184603904</v>
      </c>
      <c r="P4297">
        <v>4722</v>
      </c>
      <c r="Q4297" t="s">
        <v>8939</v>
      </c>
    </row>
    <row r="4298" spans="1:17" x14ac:dyDescent="0.3">
      <c r="A4298" t="s">
        <v>4729</v>
      </c>
      <c r="B4298" t="str">
        <f>"300498"</f>
        <v>300498</v>
      </c>
      <c r="C4298" t="s">
        <v>8940</v>
      </c>
      <c r="D4298" t="s">
        <v>1900</v>
      </c>
      <c r="F4298">
        <v>31493573438</v>
      </c>
      <c r="G4298">
        <v>45787966277</v>
      </c>
      <c r="H4298">
        <v>45111890789</v>
      </c>
      <c r="I4298">
        <v>34568444298</v>
      </c>
      <c r="J4298">
        <v>32616514659</v>
      </c>
      <c r="K4298">
        <v>30460892905</v>
      </c>
      <c r="L4298">
        <v>22264058786</v>
      </c>
      <c r="M4298">
        <v>14547521499</v>
      </c>
      <c r="N4298">
        <v>12239845235</v>
      </c>
      <c r="O4298">
        <v>12959556258</v>
      </c>
      <c r="P4298">
        <v>2457</v>
      </c>
      <c r="Q4298" t="s">
        <v>8941</v>
      </c>
    </row>
    <row r="4299" spans="1:17" x14ac:dyDescent="0.3">
      <c r="A4299" t="s">
        <v>4729</v>
      </c>
      <c r="B4299" t="str">
        <f>"300499"</f>
        <v>300499</v>
      </c>
      <c r="C4299" t="s">
        <v>8942</v>
      </c>
      <c r="D4299" t="s">
        <v>741</v>
      </c>
      <c r="F4299">
        <v>907286645</v>
      </c>
      <c r="G4299">
        <v>833343680</v>
      </c>
      <c r="H4299">
        <v>747651249</v>
      </c>
      <c r="I4299">
        <v>682864579</v>
      </c>
      <c r="J4299">
        <v>623623882</v>
      </c>
      <c r="K4299">
        <v>595185589</v>
      </c>
      <c r="L4299">
        <v>323392870</v>
      </c>
      <c r="M4299">
        <v>272480492</v>
      </c>
      <c r="N4299">
        <v>224889449</v>
      </c>
      <c r="O4299">
        <v>183018242</v>
      </c>
      <c r="P4299">
        <v>135</v>
      </c>
      <c r="Q4299" t="s">
        <v>8943</v>
      </c>
    </row>
    <row r="4300" spans="1:17" x14ac:dyDescent="0.3">
      <c r="A4300" t="s">
        <v>4729</v>
      </c>
      <c r="B4300" t="str">
        <f>"300500"</f>
        <v>300500</v>
      </c>
      <c r="C4300" t="s">
        <v>8944</v>
      </c>
      <c r="D4300" t="s">
        <v>1272</v>
      </c>
      <c r="F4300">
        <v>1571326064</v>
      </c>
      <c r="G4300">
        <v>1455662484</v>
      </c>
      <c r="H4300">
        <v>1441963601</v>
      </c>
      <c r="I4300">
        <v>1273534736</v>
      </c>
      <c r="J4300">
        <v>769466244</v>
      </c>
      <c r="K4300">
        <v>687377547</v>
      </c>
      <c r="L4300">
        <v>349373530</v>
      </c>
      <c r="M4300">
        <v>309517440</v>
      </c>
      <c r="N4300">
        <v>263652753</v>
      </c>
      <c r="O4300">
        <v>212052277</v>
      </c>
      <c r="P4300">
        <v>100</v>
      </c>
      <c r="Q4300" t="s">
        <v>8945</v>
      </c>
    </row>
    <row r="4301" spans="1:17" x14ac:dyDescent="0.3">
      <c r="A4301" t="s">
        <v>4729</v>
      </c>
      <c r="B4301" t="str">
        <f>"300501"</f>
        <v>300501</v>
      </c>
      <c r="C4301" t="s">
        <v>8946</v>
      </c>
      <c r="D4301" t="s">
        <v>2448</v>
      </c>
      <c r="F4301">
        <v>1509959145</v>
      </c>
      <c r="G4301">
        <v>805246111</v>
      </c>
      <c r="H4301">
        <v>693731775</v>
      </c>
      <c r="I4301">
        <v>644961682</v>
      </c>
      <c r="J4301">
        <v>611922622</v>
      </c>
      <c r="K4301">
        <v>572546689</v>
      </c>
      <c r="L4301">
        <v>269323247</v>
      </c>
      <c r="M4301">
        <v>230555832</v>
      </c>
      <c r="N4301">
        <v>194331742</v>
      </c>
      <c r="O4301">
        <v>164865618</v>
      </c>
      <c r="P4301">
        <v>131</v>
      </c>
      <c r="Q4301" t="s">
        <v>8947</v>
      </c>
    </row>
    <row r="4302" spans="1:17" x14ac:dyDescent="0.3">
      <c r="A4302" t="s">
        <v>4729</v>
      </c>
      <c r="B4302" t="str">
        <f>"300502"</f>
        <v>300502</v>
      </c>
      <c r="C4302" t="s">
        <v>8948</v>
      </c>
      <c r="D4302" t="s">
        <v>1019</v>
      </c>
      <c r="F4302">
        <v>3958723671</v>
      </c>
      <c r="G4302">
        <v>3444027402</v>
      </c>
      <c r="H4302">
        <v>1327993828</v>
      </c>
      <c r="I4302">
        <v>1135777464</v>
      </c>
      <c r="J4302">
        <v>1087711991</v>
      </c>
      <c r="K4302">
        <v>995548750</v>
      </c>
      <c r="L4302">
        <v>525709756</v>
      </c>
      <c r="M4302">
        <v>431259428</v>
      </c>
      <c r="N4302">
        <v>338860893</v>
      </c>
      <c r="P4302">
        <v>636</v>
      </c>
      <c r="Q4302" t="s">
        <v>8949</v>
      </c>
    </row>
    <row r="4303" spans="1:17" x14ac:dyDescent="0.3">
      <c r="A4303" t="s">
        <v>4729</v>
      </c>
      <c r="B4303" t="str">
        <f>"300503"</f>
        <v>300503</v>
      </c>
      <c r="C4303" t="s">
        <v>8950</v>
      </c>
      <c r="D4303" t="s">
        <v>560</v>
      </c>
      <c r="F4303">
        <v>1317160480</v>
      </c>
      <c r="G4303">
        <v>959951337</v>
      </c>
      <c r="H4303">
        <v>889784221</v>
      </c>
      <c r="I4303">
        <v>798570749</v>
      </c>
      <c r="J4303">
        <v>758650212</v>
      </c>
      <c r="K4303">
        <v>686197426</v>
      </c>
      <c r="L4303">
        <v>454405130</v>
      </c>
      <c r="M4303">
        <v>410959461</v>
      </c>
      <c r="N4303">
        <v>385849987</v>
      </c>
      <c r="P4303">
        <v>136</v>
      </c>
      <c r="Q4303" t="s">
        <v>8951</v>
      </c>
    </row>
    <row r="4304" spans="1:17" x14ac:dyDescent="0.3">
      <c r="A4304" t="s">
        <v>4729</v>
      </c>
      <c r="B4304" t="str">
        <f>"300504"</f>
        <v>300504</v>
      </c>
      <c r="C4304" t="s">
        <v>8952</v>
      </c>
      <c r="D4304" t="s">
        <v>786</v>
      </c>
      <c r="F4304">
        <v>2025322924</v>
      </c>
      <c r="G4304">
        <v>1868094198</v>
      </c>
      <c r="H4304">
        <v>1811369124</v>
      </c>
      <c r="I4304">
        <v>1756059527</v>
      </c>
      <c r="J4304">
        <v>848221967</v>
      </c>
      <c r="K4304">
        <v>617945867</v>
      </c>
      <c r="L4304">
        <v>423561310</v>
      </c>
      <c r="M4304">
        <v>302626889</v>
      </c>
      <c r="P4304">
        <v>176</v>
      </c>
      <c r="Q4304" t="s">
        <v>8953</v>
      </c>
    </row>
    <row r="4305" spans="1:17" x14ac:dyDescent="0.3">
      <c r="A4305" t="s">
        <v>4729</v>
      </c>
      <c r="B4305" t="str">
        <f>"300505"</f>
        <v>300505</v>
      </c>
      <c r="C4305" t="s">
        <v>8954</v>
      </c>
      <c r="D4305" t="s">
        <v>183</v>
      </c>
      <c r="F4305">
        <v>1501928323</v>
      </c>
      <c r="G4305">
        <v>952654786</v>
      </c>
      <c r="H4305">
        <v>926764352</v>
      </c>
      <c r="I4305">
        <v>719169232</v>
      </c>
      <c r="J4305">
        <v>667200703</v>
      </c>
      <c r="K4305">
        <v>620625075</v>
      </c>
      <c r="L4305">
        <v>359469999</v>
      </c>
      <c r="M4305">
        <v>317272161</v>
      </c>
      <c r="N4305">
        <v>297501285</v>
      </c>
      <c r="P4305">
        <v>97</v>
      </c>
      <c r="Q4305" t="s">
        <v>8955</v>
      </c>
    </row>
    <row r="4306" spans="1:17" x14ac:dyDescent="0.3">
      <c r="A4306" t="s">
        <v>4729</v>
      </c>
      <c r="B4306" t="str">
        <f>"300506"</f>
        <v>300506</v>
      </c>
      <c r="C4306" t="s">
        <v>8956</v>
      </c>
      <c r="D4306" t="s">
        <v>450</v>
      </c>
      <c r="F4306">
        <v>1052139103</v>
      </c>
      <c r="G4306">
        <v>1332402201</v>
      </c>
      <c r="H4306">
        <v>2010249646</v>
      </c>
      <c r="I4306">
        <v>1879595181</v>
      </c>
      <c r="J4306">
        <v>734829695</v>
      </c>
      <c r="K4306">
        <v>591171244</v>
      </c>
      <c r="L4306">
        <v>274788876</v>
      </c>
      <c r="M4306">
        <v>225081137</v>
      </c>
      <c r="N4306">
        <v>177420935</v>
      </c>
      <c r="O4306">
        <v>131423409</v>
      </c>
      <c r="P4306">
        <v>294</v>
      </c>
      <c r="Q4306" t="s">
        <v>8957</v>
      </c>
    </row>
    <row r="4307" spans="1:17" x14ac:dyDescent="0.3">
      <c r="A4307" t="s">
        <v>4729</v>
      </c>
      <c r="B4307" t="str">
        <f>"300507"</f>
        <v>300507</v>
      </c>
      <c r="C4307" t="s">
        <v>8958</v>
      </c>
      <c r="D4307" t="s">
        <v>348</v>
      </c>
      <c r="F4307">
        <v>1640456308</v>
      </c>
      <c r="G4307">
        <v>1099508264</v>
      </c>
      <c r="H4307">
        <v>1014472188</v>
      </c>
      <c r="I4307">
        <v>949390055</v>
      </c>
      <c r="J4307">
        <v>868348872</v>
      </c>
      <c r="K4307">
        <v>786608370</v>
      </c>
      <c r="L4307">
        <v>335870181</v>
      </c>
      <c r="M4307">
        <v>263937593</v>
      </c>
      <c r="N4307">
        <v>200946515</v>
      </c>
      <c r="P4307">
        <v>137</v>
      </c>
      <c r="Q4307" t="s">
        <v>8959</v>
      </c>
    </row>
    <row r="4308" spans="1:17" x14ac:dyDescent="0.3">
      <c r="A4308" t="s">
        <v>4729</v>
      </c>
      <c r="B4308" t="str">
        <f>"300508"</f>
        <v>300508</v>
      </c>
      <c r="C4308" t="s">
        <v>8960</v>
      </c>
      <c r="D4308" t="s">
        <v>236</v>
      </c>
      <c r="F4308">
        <v>615373411</v>
      </c>
      <c r="G4308">
        <v>559355014</v>
      </c>
      <c r="H4308">
        <v>536000077</v>
      </c>
      <c r="I4308">
        <v>470132283</v>
      </c>
      <c r="J4308">
        <v>511191463</v>
      </c>
      <c r="K4308">
        <v>438502948</v>
      </c>
      <c r="L4308">
        <v>193740879</v>
      </c>
      <c r="M4308">
        <v>153121187</v>
      </c>
      <c r="N4308">
        <v>122351015</v>
      </c>
      <c r="P4308">
        <v>130</v>
      </c>
      <c r="Q4308" t="s">
        <v>8961</v>
      </c>
    </row>
    <row r="4309" spans="1:17" x14ac:dyDescent="0.3">
      <c r="A4309" t="s">
        <v>4729</v>
      </c>
      <c r="B4309" t="str">
        <f>"300509"</f>
        <v>300509</v>
      </c>
      <c r="C4309" t="s">
        <v>8962</v>
      </c>
      <c r="D4309" t="s">
        <v>3415</v>
      </c>
      <c r="F4309">
        <v>616971774</v>
      </c>
      <c r="G4309">
        <v>609715428</v>
      </c>
      <c r="H4309">
        <v>596034251</v>
      </c>
      <c r="I4309">
        <v>597035135</v>
      </c>
      <c r="J4309">
        <v>602130509</v>
      </c>
      <c r="K4309">
        <v>578824048</v>
      </c>
      <c r="L4309">
        <v>312277662</v>
      </c>
      <c r="M4309">
        <v>262808758</v>
      </c>
      <c r="N4309">
        <v>218385200</v>
      </c>
      <c r="P4309">
        <v>64</v>
      </c>
      <c r="Q4309" t="s">
        <v>8963</v>
      </c>
    </row>
    <row r="4310" spans="1:17" x14ac:dyDescent="0.3">
      <c r="A4310" t="s">
        <v>4729</v>
      </c>
      <c r="B4310" t="str">
        <f>"300510"</f>
        <v>300510</v>
      </c>
      <c r="C4310" t="s">
        <v>8964</v>
      </c>
      <c r="D4310" t="s">
        <v>610</v>
      </c>
      <c r="F4310">
        <v>2617015520</v>
      </c>
      <c r="G4310">
        <v>2611360901</v>
      </c>
      <c r="H4310">
        <v>2939964684</v>
      </c>
      <c r="I4310">
        <v>4257004735</v>
      </c>
      <c r="J4310">
        <v>2317354609</v>
      </c>
      <c r="K4310">
        <v>598773899</v>
      </c>
      <c r="L4310">
        <v>312458611</v>
      </c>
      <c r="M4310">
        <v>267090536</v>
      </c>
      <c r="N4310">
        <v>225961120</v>
      </c>
      <c r="P4310">
        <v>115</v>
      </c>
      <c r="Q4310" t="s">
        <v>8965</v>
      </c>
    </row>
    <row r="4311" spans="1:17" x14ac:dyDescent="0.3">
      <c r="A4311" t="s">
        <v>4729</v>
      </c>
      <c r="B4311" t="str">
        <f>"300511"</f>
        <v>300511</v>
      </c>
      <c r="C4311" t="s">
        <v>8966</v>
      </c>
      <c r="D4311" t="s">
        <v>7331</v>
      </c>
      <c r="F4311">
        <v>1600897288</v>
      </c>
      <c r="G4311">
        <v>1962745870</v>
      </c>
      <c r="H4311">
        <v>1740475998</v>
      </c>
      <c r="I4311">
        <v>1568970172</v>
      </c>
      <c r="J4311">
        <v>1387126767</v>
      </c>
      <c r="K4311">
        <v>1282266432</v>
      </c>
      <c r="L4311">
        <v>634910990</v>
      </c>
      <c r="M4311">
        <v>522812276</v>
      </c>
      <c r="N4311">
        <v>427311749</v>
      </c>
      <c r="P4311">
        <v>301</v>
      </c>
      <c r="Q4311" t="s">
        <v>8967</v>
      </c>
    </row>
    <row r="4312" spans="1:17" x14ac:dyDescent="0.3">
      <c r="A4312" t="s">
        <v>4729</v>
      </c>
      <c r="B4312" t="str">
        <f>"300512"</f>
        <v>300512</v>
      </c>
      <c r="C4312" t="s">
        <v>8968</v>
      </c>
      <c r="D4312" t="s">
        <v>3415</v>
      </c>
      <c r="F4312">
        <v>1529907717</v>
      </c>
      <c r="G4312">
        <v>1422219752</v>
      </c>
      <c r="H4312">
        <v>1397834527</v>
      </c>
      <c r="I4312">
        <v>1322774178</v>
      </c>
      <c r="J4312">
        <v>1403794107</v>
      </c>
      <c r="K4312">
        <v>1337829763</v>
      </c>
      <c r="L4312">
        <v>507876121</v>
      </c>
      <c r="M4312">
        <v>468839080</v>
      </c>
      <c r="N4312">
        <v>342335049</v>
      </c>
      <c r="P4312">
        <v>161</v>
      </c>
      <c r="Q4312" t="s">
        <v>8969</v>
      </c>
    </row>
    <row r="4313" spans="1:17" x14ac:dyDescent="0.3">
      <c r="A4313" t="s">
        <v>4729</v>
      </c>
      <c r="B4313" t="str">
        <f>"300513"</f>
        <v>300513</v>
      </c>
      <c r="C4313" t="s">
        <v>8970</v>
      </c>
      <c r="D4313" t="s">
        <v>654</v>
      </c>
      <c r="F4313">
        <v>2341270817</v>
      </c>
      <c r="G4313">
        <v>2546427575</v>
      </c>
      <c r="H4313">
        <v>2470228146</v>
      </c>
      <c r="I4313">
        <v>2260112129</v>
      </c>
      <c r="J4313">
        <v>569712388</v>
      </c>
      <c r="K4313">
        <v>542034450</v>
      </c>
      <c r="L4313">
        <v>306870651</v>
      </c>
      <c r="M4313">
        <v>267933329</v>
      </c>
      <c r="N4313">
        <v>233446080</v>
      </c>
      <c r="P4313">
        <v>160</v>
      </c>
      <c r="Q4313" t="s">
        <v>8971</v>
      </c>
    </row>
    <row r="4314" spans="1:17" x14ac:dyDescent="0.3">
      <c r="A4314" t="s">
        <v>4729</v>
      </c>
      <c r="B4314" t="str">
        <f>"300514"</f>
        <v>300514</v>
      </c>
      <c r="C4314" t="s">
        <v>8972</v>
      </c>
      <c r="D4314" t="s">
        <v>2180</v>
      </c>
      <c r="F4314">
        <v>643241471</v>
      </c>
      <c r="G4314">
        <v>595464259</v>
      </c>
      <c r="H4314">
        <v>571896741</v>
      </c>
      <c r="I4314">
        <v>528677057</v>
      </c>
      <c r="J4314">
        <v>486154794</v>
      </c>
      <c r="K4314">
        <v>232025806</v>
      </c>
      <c r="L4314">
        <v>195807778</v>
      </c>
      <c r="M4314">
        <v>156946851</v>
      </c>
      <c r="P4314">
        <v>148</v>
      </c>
      <c r="Q4314" t="s">
        <v>8973</v>
      </c>
    </row>
    <row r="4315" spans="1:17" x14ac:dyDescent="0.3">
      <c r="A4315" t="s">
        <v>4729</v>
      </c>
      <c r="B4315" t="str">
        <f>"300515"</f>
        <v>300515</v>
      </c>
      <c r="C4315" t="s">
        <v>8974</v>
      </c>
      <c r="D4315" t="s">
        <v>2566</v>
      </c>
      <c r="F4315">
        <v>636392871</v>
      </c>
      <c r="G4315">
        <v>558631444</v>
      </c>
      <c r="H4315">
        <v>503981166</v>
      </c>
      <c r="I4315">
        <v>472893977</v>
      </c>
      <c r="J4315">
        <v>451493534</v>
      </c>
      <c r="K4315">
        <v>447546358</v>
      </c>
      <c r="L4315">
        <v>228173592</v>
      </c>
      <c r="M4315">
        <v>198001710</v>
      </c>
      <c r="N4315">
        <v>162970825</v>
      </c>
      <c r="P4315">
        <v>80</v>
      </c>
      <c r="Q4315" t="s">
        <v>8975</v>
      </c>
    </row>
    <row r="4316" spans="1:17" x14ac:dyDescent="0.3">
      <c r="A4316" t="s">
        <v>4729</v>
      </c>
      <c r="B4316" t="str">
        <f>"300516"</f>
        <v>300516</v>
      </c>
      <c r="C4316" t="s">
        <v>8976</v>
      </c>
      <c r="D4316" t="s">
        <v>651</v>
      </c>
      <c r="F4316">
        <v>1192114797</v>
      </c>
      <c r="G4316">
        <v>1132560271</v>
      </c>
      <c r="H4316">
        <v>1077021495</v>
      </c>
      <c r="I4316">
        <v>1200187477</v>
      </c>
      <c r="J4316">
        <v>1167735495</v>
      </c>
      <c r="K4316">
        <v>1166393531</v>
      </c>
      <c r="L4316">
        <v>395521693</v>
      </c>
      <c r="M4316">
        <v>294341445</v>
      </c>
      <c r="N4316">
        <v>217077581</v>
      </c>
      <c r="P4316">
        <v>118</v>
      </c>
      <c r="Q4316" t="s">
        <v>8977</v>
      </c>
    </row>
    <row r="4317" spans="1:17" x14ac:dyDescent="0.3">
      <c r="A4317" t="s">
        <v>4729</v>
      </c>
      <c r="B4317" t="str">
        <f>"300517"</f>
        <v>300517</v>
      </c>
      <c r="C4317" t="s">
        <v>8978</v>
      </c>
      <c r="D4317" t="s">
        <v>978</v>
      </c>
      <c r="F4317">
        <v>883838111</v>
      </c>
      <c r="G4317">
        <v>791138940</v>
      </c>
      <c r="H4317">
        <v>721948361</v>
      </c>
      <c r="I4317">
        <v>659422685</v>
      </c>
      <c r="J4317">
        <v>617362591</v>
      </c>
      <c r="K4317">
        <v>595477241</v>
      </c>
      <c r="L4317">
        <v>322113951</v>
      </c>
      <c r="M4317">
        <v>276325993</v>
      </c>
      <c r="N4317">
        <v>238563466</v>
      </c>
      <c r="P4317">
        <v>76</v>
      </c>
      <c r="Q4317" t="s">
        <v>8979</v>
      </c>
    </row>
    <row r="4318" spans="1:17" x14ac:dyDescent="0.3">
      <c r="A4318" t="s">
        <v>4729</v>
      </c>
      <c r="B4318" t="str">
        <f>"300518"</f>
        <v>300518</v>
      </c>
      <c r="C4318" t="s">
        <v>8980</v>
      </c>
      <c r="D4318" t="s">
        <v>517</v>
      </c>
      <c r="F4318">
        <v>1171575611</v>
      </c>
      <c r="G4318">
        <v>866804532</v>
      </c>
      <c r="H4318">
        <v>720069881</v>
      </c>
      <c r="I4318">
        <v>1096476532</v>
      </c>
      <c r="J4318">
        <v>1096265915</v>
      </c>
      <c r="K4318">
        <v>1048440607</v>
      </c>
      <c r="L4318">
        <v>485544617</v>
      </c>
      <c r="M4318">
        <v>393317633</v>
      </c>
      <c r="N4318">
        <v>305567317</v>
      </c>
      <c r="P4318">
        <v>91</v>
      </c>
      <c r="Q4318" t="s">
        <v>8981</v>
      </c>
    </row>
    <row r="4319" spans="1:17" x14ac:dyDescent="0.3">
      <c r="A4319" t="s">
        <v>4729</v>
      </c>
      <c r="B4319" t="str">
        <f>"300519"</f>
        <v>300519</v>
      </c>
      <c r="C4319" t="s">
        <v>8982</v>
      </c>
      <c r="D4319" t="s">
        <v>188</v>
      </c>
      <c r="F4319">
        <v>846217071</v>
      </c>
      <c r="G4319">
        <v>826942714</v>
      </c>
      <c r="H4319">
        <v>799710213</v>
      </c>
      <c r="I4319">
        <v>753260062</v>
      </c>
      <c r="J4319">
        <v>705809368</v>
      </c>
      <c r="K4319">
        <v>640464274</v>
      </c>
      <c r="L4319">
        <v>309351551</v>
      </c>
      <c r="M4319">
        <v>248997250</v>
      </c>
      <c r="N4319">
        <v>201968290</v>
      </c>
      <c r="P4319">
        <v>251</v>
      </c>
      <c r="Q4319" t="s">
        <v>8983</v>
      </c>
    </row>
    <row r="4320" spans="1:17" x14ac:dyDescent="0.3">
      <c r="A4320" t="s">
        <v>4729</v>
      </c>
      <c r="B4320" t="str">
        <f>"300520"</f>
        <v>300520</v>
      </c>
      <c r="C4320" t="s">
        <v>8984</v>
      </c>
      <c r="D4320" t="s">
        <v>945</v>
      </c>
      <c r="F4320">
        <v>1488005086</v>
      </c>
      <c r="G4320">
        <v>1323458559</v>
      </c>
      <c r="H4320">
        <v>1572685279</v>
      </c>
      <c r="I4320">
        <v>1294146018</v>
      </c>
      <c r="J4320">
        <v>563244056</v>
      </c>
      <c r="K4320">
        <v>527398044</v>
      </c>
      <c r="L4320">
        <v>265068856</v>
      </c>
      <c r="M4320">
        <v>220513525</v>
      </c>
      <c r="N4320">
        <v>197394228</v>
      </c>
      <c r="P4320">
        <v>255</v>
      </c>
      <c r="Q4320" t="s">
        <v>8985</v>
      </c>
    </row>
    <row r="4321" spans="1:17" x14ac:dyDescent="0.3">
      <c r="A4321" t="s">
        <v>4729</v>
      </c>
      <c r="B4321" t="str">
        <f>"300521"</f>
        <v>300521</v>
      </c>
      <c r="C4321" t="s">
        <v>8986</v>
      </c>
      <c r="D4321" t="s">
        <v>3415</v>
      </c>
      <c r="F4321">
        <v>508472526</v>
      </c>
      <c r="G4321">
        <v>503478101</v>
      </c>
      <c r="H4321">
        <v>516406935</v>
      </c>
      <c r="I4321">
        <v>512613231</v>
      </c>
      <c r="J4321">
        <v>494231517</v>
      </c>
      <c r="K4321">
        <v>465551183</v>
      </c>
      <c r="L4321">
        <v>229954321</v>
      </c>
      <c r="M4321">
        <v>187151135</v>
      </c>
      <c r="N4321">
        <v>149692300</v>
      </c>
      <c r="P4321">
        <v>57</v>
      </c>
      <c r="Q4321" t="s">
        <v>8987</v>
      </c>
    </row>
    <row r="4322" spans="1:17" x14ac:dyDescent="0.3">
      <c r="A4322" t="s">
        <v>4729</v>
      </c>
      <c r="B4322" t="str">
        <f>"300522"</f>
        <v>300522</v>
      </c>
      <c r="C4322" t="s">
        <v>8988</v>
      </c>
      <c r="D4322" t="s">
        <v>2585</v>
      </c>
      <c r="F4322">
        <v>796717876</v>
      </c>
      <c r="G4322">
        <v>725010096</v>
      </c>
      <c r="H4322">
        <v>646247809</v>
      </c>
      <c r="I4322">
        <v>636207016</v>
      </c>
      <c r="J4322">
        <v>588772020</v>
      </c>
      <c r="K4322">
        <v>555348252</v>
      </c>
      <c r="L4322">
        <v>228152046</v>
      </c>
      <c r="M4322">
        <v>180363931</v>
      </c>
      <c r="N4322">
        <v>160715888</v>
      </c>
      <c r="P4322">
        <v>99</v>
      </c>
      <c r="Q4322" t="s">
        <v>8989</v>
      </c>
    </row>
    <row r="4323" spans="1:17" x14ac:dyDescent="0.3">
      <c r="A4323" t="s">
        <v>4729</v>
      </c>
      <c r="B4323" t="str">
        <f>"300523"</f>
        <v>300523</v>
      </c>
      <c r="C4323" t="s">
        <v>8990</v>
      </c>
      <c r="D4323" t="s">
        <v>316</v>
      </c>
      <c r="F4323">
        <v>1424357594</v>
      </c>
      <c r="G4323">
        <v>1584495831</v>
      </c>
      <c r="H4323">
        <v>1518678920</v>
      </c>
      <c r="I4323">
        <v>1274703465</v>
      </c>
      <c r="J4323">
        <v>870073167</v>
      </c>
      <c r="K4323">
        <v>795065125</v>
      </c>
      <c r="L4323">
        <v>314778112</v>
      </c>
      <c r="M4323">
        <v>243126685</v>
      </c>
      <c r="N4323">
        <v>213443232</v>
      </c>
      <c r="P4323">
        <v>135</v>
      </c>
      <c r="Q4323" t="s">
        <v>8991</v>
      </c>
    </row>
    <row r="4324" spans="1:17" x14ac:dyDescent="0.3">
      <c r="A4324" t="s">
        <v>4729</v>
      </c>
      <c r="B4324" t="str">
        <f>"300525"</f>
        <v>300525</v>
      </c>
      <c r="C4324" t="s">
        <v>8992</v>
      </c>
      <c r="D4324" t="s">
        <v>945</v>
      </c>
      <c r="F4324">
        <v>1605103255</v>
      </c>
      <c r="G4324">
        <v>1382941083</v>
      </c>
      <c r="H4324">
        <v>1215505317</v>
      </c>
      <c r="I4324">
        <v>609759057</v>
      </c>
      <c r="J4324">
        <v>481275603</v>
      </c>
      <c r="K4324">
        <v>422225359</v>
      </c>
      <c r="L4324">
        <v>226928649</v>
      </c>
      <c r="M4324">
        <v>191105679</v>
      </c>
      <c r="N4324">
        <v>159920367</v>
      </c>
      <c r="P4324">
        <v>241</v>
      </c>
      <c r="Q4324" t="s">
        <v>8993</v>
      </c>
    </row>
    <row r="4325" spans="1:17" x14ac:dyDescent="0.3">
      <c r="A4325" t="s">
        <v>4729</v>
      </c>
      <c r="B4325" t="str">
        <f>"300526"</f>
        <v>300526</v>
      </c>
      <c r="C4325" t="s">
        <v>8994</v>
      </c>
      <c r="D4325" t="s">
        <v>330</v>
      </c>
      <c r="F4325">
        <v>231789389</v>
      </c>
      <c r="G4325">
        <v>373839889</v>
      </c>
      <c r="H4325">
        <v>572026434</v>
      </c>
      <c r="I4325">
        <v>546879348</v>
      </c>
      <c r="J4325">
        <v>524794283</v>
      </c>
      <c r="K4325">
        <v>493767292</v>
      </c>
      <c r="L4325">
        <v>268101751</v>
      </c>
      <c r="M4325">
        <v>225398517</v>
      </c>
      <c r="N4325">
        <v>193226011</v>
      </c>
      <c r="P4325">
        <v>104</v>
      </c>
      <c r="Q4325" t="s">
        <v>8995</v>
      </c>
    </row>
    <row r="4326" spans="1:17" x14ac:dyDescent="0.3">
      <c r="A4326" t="s">
        <v>4729</v>
      </c>
      <c r="B4326" t="str">
        <f>"300527"</f>
        <v>300527</v>
      </c>
      <c r="C4326" t="s">
        <v>8996</v>
      </c>
      <c r="D4326" t="s">
        <v>428</v>
      </c>
      <c r="F4326">
        <v>2689898550</v>
      </c>
      <c r="G4326">
        <v>2644705225</v>
      </c>
      <c r="H4326">
        <v>2133042476</v>
      </c>
      <c r="I4326">
        <v>2048110670</v>
      </c>
      <c r="J4326">
        <v>1978032862</v>
      </c>
      <c r="K4326">
        <v>1789352584</v>
      </c>
      <c r="L4326">
        <v>917556007</v>
      </c>
      <c r="M4326">
        <v>806168705</v>
      </c>
      <c r="N4326">
        <v>701195987</v>
      </c>
      <c r="P4326">
        <v>144</v>
      </c>
      <c r="Q4326" t="s">
        <v>8997</v>
      </c>
    </row>
    <row r="4327" spans="1:17" x14ac:dyDescent="0.3">
      <c r="A4327" t="s">
        <v>4729</v>
      </c>
      <c r="B4327" t="str">
        <f>"300528"</f>
        <v>300528</v>
      </c>
      <c r="C4327" t="s">
        <v>8998</v>
      </c>
      <c r="D4327" t="s">
        <v>2573</v>
      </c>
      <c r="F4327">
        <v>577547046</v>
      </c>
      <c r="G4327">
        <v>975244061</v>
      </c>
      <c r="H4327">
        <v>1363918330</v>
      </c>
      <c r="I4327">
        <v>1357397228</v>
      </c>
      <c r="J4327">
        <v>1926377045</v>
      </c>
      <c r="K4327">
        <v>1844950084</v>
      </c>
      <c r="L4327">
        <v>1286283023</v>
      </c>
      <c r="M4327">
        <v>1179219836</v>
      </c>
      <c r="N4327">
        <v>1097116731</v>
      </c>
      <c r="P4327">
        <v>81</v>
      </c>
      <c r="Q4327" t="s">
        <v>8999</v>
      </c>
    </row>
    <row r="4328" spans="1:17" x14ac:dyDescent="0.3">
      <c r="A4328" t="s">
        <v>4729</v>
      </c>
      <c r="B4328" t="str">
        <f>"300529"</f>
        <v>300529</v>
      </c>
      <c r="C4328" t="s">
        <v>9000</v>
      </c>
      <c r="D4328" t="s">
        <v>1077</v>
      </c>
      <c r="F4328">
        <v>3239837428</v>
      </c>
      <c r="G4328">
        <v>2806789690</v>
      </c>
      <c r="H4328">
        <v>2142470111</v>
      </c>
      <c r="I4328">
        <v>1698478517</v>
      </c>
      <c r="J4328">
        <v>1391088219</v>
      </c>
      <c r="K4328">
        <v>1184055326</v>
      </c>
      <c r="L4328">
        <v>564063691</v>
      </c>
      <c r="M4328">
        <v>452422657</v>
      </c>
      <c r="N4328">
        <v>380124461</v>
      </c>
      <c r="P4328">
        <v>5945</v>
      </c>
      <c r="Q4328" t="s">
        <v>9001</v>
      </c>
    </row>
    <row r="4329" spans="1:17" x14ac:dyDescent="0.3">
      <c r="A4329" t="s">
        <v>4729</v>
      </c>
      <c r="B4329" t="str">
        <f>"300530"</f>
        <v>300530</v>
      </c>
      <c r="C4329" t="s">
        <v>9002</v>
      </c>
      <c r="D4329" t="s">
        <v>386</v>
      </c>
      <c r="F4329">
        <v>187844534</v>
      </c>
      <c r="G4329">
        <v>308795484</v>
      </c>
      <c r="H4329">
        <v>524193329</v>
      </c>
      <c r="I4329">
        <v>506738493</v>
      </c>
      <c r="J4329">
        <v>490630227</v>
      </c>
      <c r="K4329">
        <v>479841227</v>
      </c>
      <c r="L4329">
        <v>253724261</v>
      </c>
      <c r="M4329">
        <v>215734443</v>
      </c>
      <c r="N4329">
        <v>177991793</v>
      </c>
      <c r="P4329">
        <v>64</v>
      </c>
      <c r="Q4329" t="s">
        <v>9003</v>
      </c>
    </row>
    <row r="4330" spans="1:17" x14ac:dyDescent="0.3">
      <c r="A4330" t="s">
        <v>4729</v>
      </c>
      <c r="B4330" t="str">
        <f>"300531"</f>
        <v>300531</v>
      </c>
      <c r="C4330" t="s">
        <v>9004</v>
      </c>
      <c r="D4330" t="s">
        <v>236</v>
      </c>
      <c r="F4330">
        <v>1669851310</v>
      </c>
      <c r="G4330">
        <v>1493095750</v>
      </c>
      <c r="H4330">
        <v>1239802761</v>
      </c>
      <c r="I4330">
        <v>708495679</v>
      </c>
      <c r="J4330">
        <v>596864919</v>
      </c>
      <c r="K4330">
        <v>560259665</v>
      </c>
      <c r="L4330">
        <v>265843434</v>
      </c>
      <c r="M4330">
        <v>206421006</v>
      </c>
      <c r="N4330">
        <v>169188019</v>
      </c>
      <c r="P4330">
        <v>173</v>
      </c>
      <c r="Q4330" t="s">
        <v>9005</v>
      </c>
    </row>
    <row r="4331" spans="1:17" x14ac:dyDescent="0.3">
      <c r="A4331" t="s">
        <v>4729</v>
      </c>
      <c r="B4331" t="str">
        <f>"300532"</f>
        <v>300532</v>
      </c>
      <c r="C4331" t="s">
        <v>9006</v>
      </c>
      <c r="D4331" t="s">
        <v>316</v>
      </c>
      <c r="F4331">
        <v>1155015274</v>
      </c>
      <c r="G4331">
        <v>816456147</v>
      </c>
      <c r="H4331">
        <v>772543159</v>
      </c>
      <c r="I4331">
        <v>768559453</v>
      </c>
      <c r="J4331">
        <v>784093322</v>
      </c>
      <c r="K4331">
        <v>732309459</v>
      </c>
      <c r="L4331">
        <v>367129251</v>
      </c>
      <c r="M4331">
        <v>335945426</v>
      </c>
      <c r="N4331">
        <v>287215779</v>
      </c>
      <c r="P4331">
        <v>220</v>
      </c>
      <c r="Q4331" t="s">
        <v>9007</v>
      </c>
    </row>
    <row r="4332" spans="1:17" x14ac:dyDescent="0.3">
      <c r="A4332" t="s">
        <v>4729</v>
      </c>
      <c r="B4332" t="str">
        <f>"300533"</f>
        <v>300533</v>
      </c>
      <c r="C4332" t="s">
        <v>9008</v>
      </c>
      <c r="D4332" t="s">
        <v>517</v>
      </c>
      <c r="F4332">
        <v>1648950127</v>
      </c>
      <c r="G4332">
        <v>1723997941</v>
      </c>
      <c r="H4332">
        <v>1700682700</v>
      </c>
      <c r="I4332">
        <v>1578035920</v>
      </c>
      <c r="J4332">
        <v>1515942151</v>
      </c>
      <c r="K4332">
        <v>1489328951</v>
      </c>
      <c r="L4332">
        <v>472909753</v>
      </c>
      <c r="M4332">
        <v>399354818</v>
      </c>
      <c r="N4332">
        <v>261868396</v>
      </c>
      <c r="P4332">
        <v>131</v>
      </c>
      <c r="Q4332" t="s">
        <v>9009</v>
      </c>
    </row>
    <row r="4333" spans="1:17" x14ac:dyDescent="0.3">
      <c r="A4333" t="s">
        <v>4729</v>
      </c>
      <c r="B4333" t="str">
        <f>"300534"</f>
        <v>300534</v>
      </c>
      <c r="C4333" t="s">
        <v>9010</v>
      </c>
      <c r="D4333" t="s">
        <v>188</v>
      </c>
      <c r="F4333">
        <v>720250088</v>
      </c>
      <c r="G4333">
        <v>729356249</v>
      </c>
      <c r="H4333">
        <v>730558573</v>
      </c>
      <c r="I4333">
        <v>720830596</v>
      </c>
      <c r="J4333">
        <v>712192894</v>
      </c>
      <c r="K4333">
        <v>703736408</v>
      </c>
      <c r="L4333">
        <v>405573219</v>
      </c>
      <c r="M4333">
        <v>363096054</v>
      </c>
      <c r="N4333">
        <v>318921704</v>
      </c>
      <c r="P4333">
        <v>109</v>
      </c>
      <c r="Q4333" t="s">
        <v>9011</v>
      </c>
    </row>
    <row r="4334" spans="1:17" x14ac:dyDescent="0.3">
      <c r="A4334" t="s">
        <v>4729</v>
      </c>
      <c r="B4334" t="str">
        <f>"300535"</f>
        <v>300535</v>
      </c>
      <c r="C4334" t="s">
        <v>9012</v>
      </c>
      <c r="D4334" t="s">
        <v>386</v>
      </c>
      <c r="F4334">
        <v>898277175</v>
      </c>
      <c r="G4334">
        <v>822068804</v>
      </c>
      <c r="H4334">
        <v>754060738</v>
      </c>
      <c r="I4334">
        <v>707242921</v>
      </c>
      <c r="J4334">
        <v>662219350</v>
      </c>
      <c r="K4334">
        <v>625596297</v>
      </c>
      <c r="L4334">
        <v>314270263</v>
      </c>
      <c r="M4334">
        <v>273272618</v>
      </c>
      <c r="N4334">
        <v>240213606</v>
      </c>
      <c r="P4334">
        <v>73</v>
      </c>
      <c r="Q4334" t="s">
        <v>9013</v>
      </c>
    </row>
    <row r="4335" spans="1:17" x14ac:dyDescent="0.3">
      <c r="A4335" t="s">
        <v>4729</v>
      </c>
      <c r="B4335" t="str">
        <f>"300536"</f>
        <v>300536</v>
      </c>
      <c r="C4335" t="s">
        <v>9014</v>
      </c>
      <c r="D4335" t="s">
        <v>2417</v>
      </c>
      <c r="F4335">
        <v>607722122</v>
      </c>
      <c r="G4335">
        <v>608888757</v>
      </c>
      <c r="H4335">
        <v>612295080</v>
      </c>
      <c r="I4335">
        <v>570326831</v>
      </c>
      <c r="J4335">
        <v>529811593</v>
      </c>
      <c r="K4335">
        <v>488163041</v>
      </c>
      <c r="L4335">
        <v>267352995</v>
      </c>
      <c r="M4335">
        <v>219848860</v>
      </c>
      <c r="N4335">
        <v>177165165</v>
      </c>
      <c r="P4335">
        <v>63</v>
      </c>
      <c r="Q4335" t="s">
        <v>9015</v>
      </c>
    </row>
    <row r="4336" spans="1:17" x14ac:dyDescent="0.3">
      <c r="A4336" t="s">
        <v>4729</v>
      </c>
      <c r="B4336" t="str">
        <f>"300537"</f>
        <v>300537</v>
      </c>
      <c r="C4336" t="s">
        <v>9016</v>
      </c>
      <c r="D4336" t="s">
        <v>2408</v>
      </c>
      <c r="F4336">
        <v>693023652</v>
      </c>
      <c r="G4336">
        <v>1102995957</v>
      </c>
      <c r="H4336">
        <v>1330510252</v>
      </c>
      <c r="I4336">
        <v>1267145308</v>
      </c>
      <c r="J4336">
        <v>1229595120</v>
      </c>
      <c r="K4336">
        <v>481287882</v>
      </c>
      <c r="L4336">
        <v>242941477</v>
      </c>
      <c r="M4336">
        <v>201355680</v>
      </c>
      <c r="N4336">
        <v>198690842</v>
      </c>
      <c r="P4336">
        <v>225</v>
      </c>
      <c r="Q4336" t="s">
        <v>9017</v>
      </c>
    </row>
    <row r="4337" spans="1:17" x14ac:dyDescent="0.3">
      <c r="A4337" t="s">
        <v>4729</v>
      </c>
      <c r="B4337" t="str">
        <f>"300538"</f>
        <v>300538</v>
      </c>
      <c r="C4337" t="s">
        <v>9018</v>
      </c>
      <c r="D4337" t="s">
        <v>341</v>
      </c>
      <c r="F4337">
        <v>1026361248</v>
      </c>
      <c r="G4337">
        <v>461266691</v>
      </c>
      <c r="H4337">
        <v>454128115</v>
      </c>
      <c r="I4337">
        <v>424829661</v>
      </c>
      <c r="J4337">
        <v>397471560</v>
      </c>
      <c r="K4337">
        <v>388994567</v>
      </c>
      <c r="L4337">
        <v>189940987</v>
      </c>
      <c r="M4337">
        <v>158199059</v>
      </c>
      <c r="N4337">
        <v>134283702</v>
      </c>
      <c r="P4337">
        <v>186</v>
      </c>
      <c r="Q4337" t="s">
        <v>9019</v>
      </c>
    </row>
    <row r="4338" spans="1:17" x14ac:dyDescent="0.3">
      <c r="A4338" t="s">
        <v>4729</v>
      </c>
      <c r="B4338" t="str">
        <f>"300539"</f>
        <v>300539</v>
      </c>
      <c r="C4338" t="s">
        <v>9020</v>
      </c>
      <c r="D4338" t="s">
        <v>1192</v>
      </c>
      <c r="F4338">
        <v>500950174</v>
      </c>
      <c r="G4338">
        <v>491324170</v>
      </c>
      <c r="H4338">
        <v>482685511</v>
      </c>
      <c r="I4338">
        <v>381010800</v>
      </c>
      <c r="J4338">
        <v>377330897</v>
      </c>
      <c r="K4338">
        <v>352601220</v>
      </c>
      <c r="L4338">
        <v>206181275</v>
      </c>
      <c r="M4338">
        <v>184564652</v>
      </c>
      <c r="N4338">
        <v>162573766</v>
      </c>
      <c r="P4338">
        <v>84</v>
      </c>
      <c r="Q4338" t="s">
        <v>9021</v>
      </c>
    </row>
    <row r="4339" spans="1:17" x14ac:dyDescent="0.3">
      <c r="A4339" t="s">
        <v>4729</v>
      </c>
      <c r="B4339" t="str">
        <f>"300540"</f>
        <v>300540</v>
      </c>
      <c r="C4339" t="s">
        <v>9022</v>
      </c>
      <c r="D4339" t="s">
        <v>741</v>
      </c>
      <c r="F4339">
        <v>506019803</v>
      </c>
      <c r="G4339">
        <v>566877055</v>
      </c>
      <c r="H4339">
        <v>547808859</v>
      </c>
      <c r="I4339">
        <v>536852213</v>
      </c>
      <c r="J4339">
        <v>647406166</v>
      </c>
      <c r="K4339">
        <v>635047764</v>
      </c>
      <c r="L4339">
        <v>295343357</v>
      </c>
      <c r="M4339">
        <v>246843231</v>
      </c>
      <c r="N4339">
        <v>186828258</v>
      </c>
      <c r="P4339">
        <v>65</v>
      </c>
      <c r="Q4339" t="s">
        <v>9023</v>
      </c>
    </row>
    <row r="4340" spans="1:17" x14ac:dyDescent="0.3">
      <c r="A4340" t="s">
        <v>4729</v>
      </c>
      <c r="B4340" t="str">
        <f>"300541"</f>
        <v>300541</v>
      </c>
      <c r="C4340" t="s">
        <v>9024</v>
      </c>
      <c r="D4340" t="s">
        <v>316</v>
      </c>
      <c r="F4340">
        <v>1157881320</v>
      </c>
      <c r="G4340">
        <v>990680103</v>
      </c>
      <c r="H4340">
        <v>854528755</v>
      </c>
      <c r="I4340">
        <v>775786297</v>
      </c>
      <c r="J4340">
        <v>736776217</v>
      </c>
      <c r="K4340">
        <v>709760382</v>
      </c>
      <c r="L4340">
        <v>345152714</v>
      </c>
      <c r="M4340">
        <v>284193693</v>
      </c>
      <c r="N4340">
        <v>240985941</v>
      </c>
      <c r="P4340">
        <v>177</v>
      </c>
      <c r="Q4340" t="s">
        <v>9025</v>
      </c>
    </row>
    <row r="4341" spans="1:17" x14ac:dyDescent="0.3">
      <c r="A4341" t="s">
        <v>4729</v>
      </c>
      <c r="B4341" t="str">
        <f>"300542"</f>
        <v>300542</v>
      </c>
      <c r="C4341" t="s">
        <v>9026</v>
      </c>
      <c r="D4341" t="s">
        <v>945</v>
      </c>
      <c r="F4341">
        <v>592201339</v>
      </c>
      <c r="G4341">
        <v>678180946</v>
      </c>
      <c r="H4341">
        <v>655744088</v>
      </c>
      <c r="I4341">
        <v>637469309</v>
      </c>
      <c r="J4341">
        <v>595145701</v>
      </c>
      <c r="K4341">
        <v>563032700</v>
      </c>
      <c r="L4341">
        <v>371160995</v>
      </c>
      <c r="M4341">
        <v>342492502</v>
      </c>
      <c r="N4341">
        <v>316675693</v>
      </c>
      <c r="P4341">
        <v>143</v>
      </c>
      <c r="Q4341" t="s">
        <v>9027</v>
      </c>
    </row>
    <row r="4342" spans="1:17" x14ac:dyDescent="0.3">
      <c r="A4342" t="s">
        <v>4729</v>
      </c>
      <c r="B4342" t="str">
        <f>"300543"</f>
        <v>300543</v>
      </c>
      <c r="C4342" t="s">
        <v>9028</v>
      </c>
      <c r="D4342" t="s">
        <v>313</v>
      </c>
      <c r="F4342">
        <v>930600465</v>
      </c>
      <c r="G4342">
        <v>885754622</v>
      </c>
      <c r="H4342">
        <v>758432178</v>
      </c>
      <c r="I4342">
        <v>662587347</v>
      </c>
      <c r="J4342">
        <v>654012599</v>
      </c>
      <c r="K4342">
        <v>611341188</v>
      </c>
      <c r="L4342">
        <v>251932183</v>
      </c>
      <c r="M4342">
        <v>204961695</v>
      </c>
      <c r="N4342">
        <v>162038388</v>
      </c>
      <c r="P4342">
        <v>152</v>
      </c>
      <c r="Q4342" t="s">
        <v>9029</v>
      </c>
    </row>
    <row r="4343" spans="1:17" x14ac:dyDescent="0.3">
      <c r="A4343" t="s">
        <v>4729</v>
      </c>
      <c r="B4343" t="str">
        <f>"300545"</f>
        <v>300545</v>
      </c>
      <c r="C4343" t="s">
        <v>9030</v>
      </c>
      <c r="D4343" t="s">
        <v>1117</v>
      </c>
      <c r="F4343">
        <v>1386962548</v>
      </c>
      <c r="G4343">
        <v>793117126</v>
      </c>
      <c r="H4343">
        <v>721066300</v>
      </c>
      <c r="I4343">
        <v>592102679</v>
      </c>
      <c r="J4343">
        <v>510158281</v>
      </c>
      <c r="K4343">
        <v>463965700</v>
      </c>
      <c r="L4343">
        <v>219714925.69</v>
      </c>
      <c r="M4343">
        <v>183395963</v>
      </c>
      <c r="N4343">
        <v>135416675</v>
      </c>
      <c r="P4343">
        <v>182</v>
      </c>
      <c r="Q4343" t="s">
        <v>9031</v>
      </c>
    </row>
    <row r="4344" spans="1:17" x14ac:dyDescent="0.3">
      <c r="A4344" t="s">
        <v>4729</v>
      </c>
      <c r="B4344" t="str">
        <f>"300546"</f>
        <v>300546</v>
      </c>
      <c r="C4344" t="s">
        <v>9032</v>
      </c>
      <c r="D4344" t="s">
        <v>236</v>
      </c>
      <c r="F4344">
        <v>857470055</v>
      </c>
      <c r="G4344">
        <v>845587091</v>
      </c>
      <c r="H4344">
        <v>853983436</v>
      </c>
      <c r="I4344">
        <v>736320280</v>
      </c>
      <c r="J4344">
        <v>635826547</v>
      </c>
      <c r="K4344">
        <v>577310458</v>
      </c>
      <c r="L4344">
        <v>279019708</v>
      </c>
      <c r="M4344">
        <v>225551387</v>
      </c>
      <c r="N4344">
        <v>197010698</v>
      </c>
      <c r="P4344">
        <v>196</v>
      </c>
      <c r="Q4344" t="s">
        <v>9033</v>
      </c>
    </row>
    <row r="4345" spans="1:17" x14ac:dyDescent="0.3">
      <c r="A4345" t="s">
        <v>4729</v>
      </c>
      <c r="B4345" t="str">
        <f>"300547"</f>
        <v>300547</v>
      </c>
      <c r="C4345" t="s">
        <v>9034</v>
      </c>
      <c r="D4345" t="s">
        <v>348</v>
      </c>
      <c r="F4345">
        <v>934139475</v>
      </c>
      <c r="G4345">
        <v>889231563</v>
      </c>
      <c r="H4345">
        <v>836529645</v>
      </c>
      <c r="I4345">
        <v>789153694</v>
      </c>
      <c r="J4345">
        <v>700147003</v>
      </c>
      <c r="K4345">
        <v>610926945</v>
      </c>
      <c r="L4345">
        <v>283003918</v>
      </c>
      <c r="M4345">
        <v>262663353</v>
      </c>
      <c r="N4345">
        <v>247820544</v>
      </c>
      <c r="P4345">
        <v>181</v>
      </c>
      <c r="Q4345" t="s">
        <v>9035</v>
      </c>
    </row>
    <row r="4346" spans="1:17" x14ac:dyDescent="0.3">
      <c r="A4346" t="s">
        <v>4729</v>
      </c>
      <c r="B4346" t="str">
        <f>"300548"</f>
        <v>300548</v>
      </c>
      <c r="C4346" t="s">
        <v>9036</v>
      </c>
      <c r="D4346" t="s">
        <v>1019</v>
      </c>
      <c r="F4346">
        <v>1523064844</v>
      </c>
      <c r="G4346">
        <v>722834350</v>
      </c>
      <c r="H4346">
        <v>620476924</v>
      </c>
      <c r="I4346">
        <v>607222046</v>
      </c>
      <c r="J4346">
        <v>618019568</v>
      </c>
      <c r="K4346">
        <v>554791076</v>
      </c>
      <c r="L4346">
        <v>299845193</v>
      </c>
      <c r="M4346">
        <v>274474201</v>
      </c>
      <c r="N4346">
        <v>264989807</v>
      </c>
      <c r="P4346">
        <v>289</v>
      </c>
      <c r="Q4346" t="s">
        <v>9037</v>
      </c>
    </row>
    <row r="4347" spans="1:17" x14ac:dyDescent="0.3">
      <c r="A4347" t="s">
        <v>4729</v>
      </c>
      <c r="B4347" t="str">
        <f>"300549"</f>
        <v>300549</v>
      </c>
      <c r="C4347" t="s">
        <v>9038</v>
      </c>
      <c r="D4347" t="s">
        <v>741</v>
      </c>
      <c r="F4347">
        <v>546284182</v>
      </c>
      <c r="G4347">
        <v>521192424</v>
      </c>
      <c r="H4347">
        <v>509219884</v>
      </c>
      <c r="I4347">
        <v>514912089</v>
      </c>
      <c r="J4347">
        <v>499603272</v>
      </c>
      <c r="K4347">
        <v>436859998</v>
      </c>
      <c r="L4347">
        <v>166657420</v>
      </c>
      <c r="M4347">
        <v>172647566</v>
      </c>
      <c r="N4347">
        <v>143975804</v>
      </c>
      <c r="P4347">
        <v>92</v>
      </c>
      <c r="Q4347" t="s">
        <v>9039</v>
      </c>
    </row>
    <row r="4348" spans="1:17" x14ac:dyDescent="0.3">
      <c r="A4348" t="s">
        <v>4729</v>
      </c>
      <c r="B4348" t="str">
        <f>"300550"</f>
        <v>300550</v>
      </c>
      <c r="C4348" t="s">
        <v>9040</v>
      </c>
      <c r="D4348" t="s">
        <v>945</v>
      </c>
      <c r="F4348">
        <v>1131721980</v>
      </c>
      <c r="G4348">
        <v>1095082733</v>
      </c>
      <c r="H4348">
        <v>618277580</v>
      </c>
      <c r="I4348">
        <v>547191116</v>
      </c>
      <c r="J4348">
        <v>504839978</v>
      </c>
      <c r="K4348">
        <v>479935404</v>
      </c>
      <c r="L4348">
        <v>214060400</v>
      </c>
      <c r="M4348">
        <v>162576053</v>
      </c>
      <c r="N4348">
        <v>116136869</v>
      </c>
      <c r="P4348">
        <v>123</v>
      </c>
      <c r="Q4348" t="s">
        <v>9041</v>
      </c>
    </row>
    <row r="4349" spans="1:17" x14ac:dyDescent="0.3">
      <c r="A4349" t="s">
        <v>4729</v>
      </c>
      <c r="B4349" t="str">
        <f>"300551"</f>
        <v>300551</v>
      </c>
      <c r="C4349" t="s">
        <v>9042</v>
      </c>
      <c r="D4349" t="s">
        <v>236</v>
      </c>
      <c r="F4349">
        <v>636656761</v>
      </c>
      <c r="G4349">
        <v>622410495</v>
      </c>
      <c r="H4349">
        <v>588286561</v>
      </c>
      <c r="I4349">
        <v>532772069</v>
      </c>
      <c r="J4349">
        <v>524519269</v>
      </c>
      <c r="K4349">
        <v>514005942</v>
      </c>
      <c r="L4349">
        <v>272692208</v>
      </c>
      <c r="M4349">
        <v>221989250</v>
      </c>
      <c r="N4349">
        <v>166097713</v>
      </c>
      <c r="P4349">
        <v>89</v>
      </c>
      <c r="Q4349" t="s">
        <v>9043</v>
      </c>
    </row>
    <row r="4350" spans="1:17" x14ac:dyDescent="0.3">
      <c r="A4350" t="s">
        <v>4729</v>
      </c>
      <c r="B4350" t="str">
        <f>"300552"</f>
        <v>300552</v>
      </c>
      <c r="C4350" t="s">
        <v>9044</v>
      </c>
      <c r="D4350" t="s">
        <v>236</v>
      </c>
      <c r="F4350">
        <v>2721143922</v>
      </c>
      <c r="G4350">
        <v>2132361778</v>
      </c>
      <c r="H4350">
        <v>1645101802</v>
      </c>
      <c r="I4350">
        <v>757873978</v>
      </c>
      <c r="J4350">
        <v>757477892</v>
      </c>
      <c r="K4350">
        <v>743894551</v>
      </c>
      <c r="L4350">
        <v>395768275</v>
      </c>
      <c r="M4350">
        <v>331827670</v>
      </c>
      <c r="N4350">
        <v>318862862</v>
      </c>
      <c r="P4350">
        <v>327</v>
      </c>
      <c r="Q4350" t="s">
        <v>9045</v>
      </c>
    </row>
    <row r="4351" spans="1:17" x14ac:dyDescent="0.3">
      <c r="A4351" t="s">
        <v>4729</v>
      </c>
      <c r="B4351" t="str">
        <f>"300553"</f>
        <v>300553</v>
      </c>
      <c r="C4351" t="s">
        <v>9046</v>
      </c>
      <c r="D4351" t="s">
        <v>2566</v>
      </c>
      <c r="F4351">
        <v>359549972</v>
      </c>
      <c r="G4351">
        <v>344402416</v>
      </c>
      <c r="H4351">
        <v>337276254</v>
      </c>
      <c r="I4351">
        <v>326469217</v>
      </c>
      <c r="J4351">
        <v>322099062</v>
      </c>
      <c r="K4351">
        <v>312057879</v>
      </c>
      <c r="L4351">
        <v>159946788</v>
      </c>
      <c r="M4351">
        <v>140002271</v>
      </c>
      <c r="N4351">
        <v>123781444</v>
      </c>
      <c r="P4351">
        <v>72</v>
      </c>
      <c r="Q4351" t="s">
        <v>9047</v>
      </c>
    </row>
    <row r="4352" spans="1:17" x14ac:dyDescent="0.3">
      <c r="A4352" t="s">
        <v>4729</v>
      </c>
      <c r="B4352" t="str">
        <f>"300554"</f>
        <v>300554</v>
      </c>
      <c r="C4352" t="s">
        <v>9048</v>
      </c>
      <c r="D4352" t="s">
        <v>404</v>
      </c>
      <c r="F4352">
        <v>438772253</v>
      </c>
      <c r="G4352">
        <v>518399504</v>
      </c>
      <c r="H4352">
        <v>500367643</v>
      </c>
      <c r="I4352">
        <v>500102637</v>
      </c>
      <c r="J4352">
        <v>473484351</v>
      </c>
      <c r="K4352">
        <v>223586271</v>
      </c>
      <c r="L4352">
        <v>189145264</v>
      </c>
      <c r="M4352">
        <v>155641182</v>
      </c>
      <c r="P4352">
        <v>123</v>
      </c>
      <c r="Q4352" t="s">
        <v>9049</v>
      </c>
    </row>
    <row r="4353" spans="1:17" x14ac:dyDescent="0.3">
      <c r="A4353" t="s">
        <v>4729</v>
      </c>
      <c r="B4353" t="str">
        <f>"300555"</f>
        <v>300555</v>
      </c>
      <c r="C4353" t="s">
        <v>9050</v>
      </c>
      <c r="D4353" t="s">
        <v>786</v>
      </c>
      <c r="F4353">
        <v>627091886</v>
      </c>
      <c r="G4353">
        <v>639124783</v>
      </c>
      <c r="H4353">
        <v>639717684</v>
      </c>
      <c r="I4353">
        <v>632429317</v>
      </c>
      <c r="J4353">
        <v>632172729</v>
      </c>
      <c r="K4353">
        <v>599237751</v>
      </c>
      <c r="L4353">
        <v>265328873</v>
      </c>
      <c r="M4353">
        <v>214827566</v>
      </c>
      <c r="N4353">
        <v>155715827</v>
      </c>
      <c r="P4353">
        <v>72</v>
      </c>
      <c r="Q4353" t="s">
        <v>9051</v>
      </c>
    </row>
    <row r="4354" spans="1:17" x14ac:dyDescent="0.3">
      <c r="A4354" t="s">
        <v>4729</v>
      </c>
      <c r="B4354" t="str">
        <f>"300556"</f>
        <v>300556</v>
      </c>
      <c r="C4354" t="s">
        <v>9052</v>
      </c>
      <c r="D4354" t="s">
        <v>945</v>
      </c>
      <c r="F4354">
        <v>789968378</v>
      </c>
      <c r="G4354">
        <v>610831673</v>
      </c>
      <c r="H4354">
        <v>512748175</v>
      </c>
      <c r="I4354">
        <v>469616745</v>
      </c>
      <c r="J4354">
        <v>409393781</v>
      </c>
      <c r="K4354">
        <v>412237603</v>
      </c>
      <c r="L4354">
        <v>256762386</v>
      </c>
      <c r="M4354">
        <v>225647930</v>
      </c>
      <c r="N4354">
        <v>203990312</v>
      </c>
      <c r="P4354">
        <v>112</v>
      </c>
      <c r="Q4354" t="s">
        <v>9053</v>
      </c>
    </row>
    <row r="4355" spans="1:17" x14ac:dyDescent="0.3">
      <c r="A4355" t="s">
        <v>4729</v>
      </c>
      <c r="B4355" t="str">
        <f>"300557"</f>
        <v>300557</v>
      </c>
      <c r="C4355" t="s">
        <v>9054</v>
      </c>
      <c r="D4355" t="s">
        <v>2566</v>
      </c>
      <c r="F4355">
        <v>502201798</v>
      </c>
      <c r="G4355">
        <v>488587279</v>
      </c>
      <c r="H4355">
        <v>489457872</v>
      </c>
      <c r="I4355">
        <v>484834234</v>
      </c>
      <c r="J4355">
        <v>480808011</v>
      </c>
      <c r="K4355">
        <v>467226244</v>
      </c>
      <c r="L4355">
        <v>254788411</v>
      </c>
      <c r="M4355">
        <v>233352146</v>
      </c>
      <c r="N4355">
        <v>210831749</v>
      </c>
      <c r="P4355">
        <v>61</v>
      </c>
      <c r="Q4355" t="s">
        <v>9055</v>
      </c>
    </row>
    <row r="4356" spans="1:17" x14ac:dyDescent="0.3">
      <c r="A4356" t="s">
        <v>4729</v>
      </c>
      <c r="B4356" t="str">
        <f>"300558"</f>
        <v>300558</v>
      </c>
      <c r="C4356" t="s">
        <v>9056</v>
      </c>
      <c r="D4356" t="s">
        <v>143</v>
      </c>
      <c r="F4356">
        <v>4560887935</v>
      </c>
      <c r="G4356">
        <v>4140781110</v>
      </c>
      <c r="H4356">
        <v>2460539765</v>
      </c>
      <c r="I4356">
        <v>2187733320</v>
      </c>
      <c r="J4356">
        <v>2051962363</v>
      </c>
      <c r="K4356">
        <v>1924331000</v>
      </c>
      <c r="L4356">
        <v>888316040</v>
      </c>
      <c r="M4356">
        <v>535282058</v>
      </c>
      <c r="N4356">
        <v>309270384</v>
      </c>
      <c r="P4356">
        <v>756</v>
      </c>
      <c r="Q4356" t="s">
        <v>9057</v>
      </c>
    </row>
    <row r="4357" spans="1:17" x14ac:dyDescent="0.3">
      <c r="A4357" t="s">
        <v>4729</v>
      </c>
      <c r="B4357" t="str">
        <f>"300559"</f>
        <v>300559</v>
      </c>
      <c r="C4357" t="s">
        <v>9058</v>
      </c>
      <c r="D4357" t="s">
        <v>945</v>
      </c>
      <c r="F4357">
        <v>1004892050</v>
      </c>
      <c r="G4357">
        <v>1114801573</v>
      </c>
      <c r="H4357">
        <v>964341448</v>
      </c>
      <c r="I4357">
        <v>762969236</v>
      </c>
      <c r="J4357">
        <v>642774472</v>
      </c>
      <c r="K4357">
        <v>582557313</v>
      </c>
      <c r="L4357">
        <v>239898576</v>
      </c>
      <c r="M4357">
        <v>211848321</v>
      </c>
      <c r="N4357">
        <v>169859429</v>
      </c>
      <c r="P4357">
        <v>369</v>
      </c>
      <c r="Q4357" t="s">
        <v>9059</v>
      </c>
    </row>
    <row r="4358" spans="1:17" x14ac:dyDescent="0.3">
      <c r="A4358" t="s">
        <v>4729</v>
      </c>
      <c r="B4358" t="str">
        <f>"300560"</f>
        <v>300560</v>
      </c>
      <c r="C4358" t="s">
        <v>9060</v>
      </c>
      <c r="D4358" t="s">
        <v>654</v>
      </c>
      <c r="F4358">
        <v>1081196468</v>
      </c>
      <c r="G4358">
        <v>1046282556</v>
      </c>
      <c r="H4358">
        <v>581070857</v>
      </c>
      <c r="I4358">
        <v>533444812</v>
      </c>
      <c r="J4358">
        <v>483447493</v>
      </c>
      <c r="K4358">
        <v>452227900</v>
      </c>
      <c r="L4358">
        <v>265335001</v>
      </c>
      <c r="M4358">
        <v>230802291</v>
      </c>
      <c r="N4358">
        <v>197449137</v>
      </c>
      <c r="P4358">
        <v>192</v>
      </c>
      <c r="Q4358" t="s">
        <v>9061</v>
      </c>
    </row>
    <row r="4359" spans="1:17" x14ac:dyDescent="0.3">
      <c r="A4359" t="s">
        <v>4729</v>
      </c>
      <c r="B4359" t="str">
        <f>"300561"</f>
        <v>300561</v>
      </c>
      <c r="C4359" t="s">
        <v>9062</v>
      </c>
      <c r="D4359" t="s">
        <v>945</v>
      </c>
      <c r="F4359">
        <v>660663087</v>
      </c>
      <c r="G4359">
        <v>666671272</v>
      </c>
      <c r="H4359">
        <v>669725192</v>
      </c>
      <c r="I4359">
        <v>685376542</v>
      </c>
      <c r="J4359">
        <v>681438556</v>
      </c>
      <c r="K4359">
        <v>620513924</v>
      </c>
      <c r="L4359">
        <v>236912102</v>
      </c>
      <c r="M4359">
        <v>185939096</v>
      </c>
      <c r="N4359">
        <v>137548094</v>
      </c>
      <c r="P4359">
        <v>114</v>
      </c>
      <c r="Q4359" t="s">
        <v>9063</v>
      </c>
    </row>
    <row r="4360" spans="1:17" x14ac:dyDescent="0.3">
      <c r="A4360" t="s">
        <v>4729</v>
      </c>
      <c r="B4360" t="str">
        <f>"300562"</f>
        <v>300562</v>
      </c>
      <c r="C4360" t="s">
        <v>9064</v>
      </c>
      <c r="D4360" t="s">
        <v>122</v>
      </c>
      <c r="F4360">
        <v>1054835727</v>
      </c>
      <c r="G4360">
        <v>653562219</v>
      </c>
      <c r="H4360">
        <v>568179682</v>
      </c>
      <c r="I4360">
        <v>530923557</v>
      </c>
      <c r="J4360">
        <v>512075212</v>
      </c>
      <c r="K4360">
        <v>506158047</v>
      </c>
      <c r="L4360">
        <v>224630158</v>
      </c>
      <c r="M4360">
        <v>188744458</v>
      </c>
      <c r="N4360">
        <v>122262482</v>
      </c>
      <c r="P4360">
        <v>155</v>
      </c>
      <c r="Q4360" t="s">
        <v>9065</v>
      </c>
    </row>
    <row r="4361" spans="1:17" x14ac:dyDescent="0.3">
      <c r="A4361" t="s">
        <v>4729</v>
      </c>
      <c r="B4361" t="str">
        <f>"300563"</f>
        <v>300563</v>
      </c>
      <c r="C4361" t="s">
        <v>9066</v>
      </c>
      <c r="D4361" t="s">
        <v>250</v>
      </c>
      <c r="F4361">
        <v>937705979</v>
      </c>
      <c r="G4361">
        <v>907196310</v>
      </c>
      <c r="H4361">
        <v>528322535</v>
      </c>
      <c r="I4361">
        <v>483944900</v>
      </c>
      <c r="J4361">
        <v>447806418</v>
      </c>
      <c r="K4361">
        <v>424046219</v>
      </c>
      <c r="L4361">
        <v>242233362</v>
      </c>
      <c r="M4361">
        <v>209747206</v>
      </c>
      <c r="N4361">
        <v>183921202</v>
      </c>
      <c r="P4361">
        <v>144</v>
      </c>
      <c r="Q4361" t="s">
        <v>9067</v>
      </c>
    </row>
    <row r="4362" spans="1:17" x14ac:dyDescent="0.3">
      <c r="A4362" t="s">
        <v>4729</v>
      </c>
      <c r="B4362" t="str">
        <f>"300564"</f>
        <v>300564</v>
      </c>
      <c r="C4362" t="s">
        <v>9068</v>
      </c>
      <c r="D4362" t="s">
        <v>1272</v>
      </c>
      <c r="F4362">
        <v>1268378974</v>
      </c>
      <c r="G4362">
        <v>1143553566</v>
      </c>
      <c r="H4362">
        <v>1040147055</v>
      </c>
      <c r="I4362">
        <v>416806374</v>
      </c>
      <c r="J4362">
        <v>327272761</v>
      </c>
      <c r="K4362">
        <v>271202797</v>
      </c>
      <c r="P4362">
        <v>211</v>
      </c>
      <c r="Q4362" t="s">
        <v>9069</v>
      </c>
    </row>
    <row r="4363" spans="1:17" x14ac:dyDescent="0.3">
      <c r="A4363" t="s">
        <v>4729</v>
      </c>
      <c r="B4363" t="str">
        <f>"300565"</f>
        <v>300565</v>
      </c>
      <c r="C4363" t="s">
        <v>9070</v>
      </c>
      <c r="D4363" t="s">
        <v>1019</v>
      </c>
      <c r="F4363">
        <v>560938654</v>
      </c>
      <c r="G4363">
        <v>678789758</v>
      </c>
      <c r="H4363">
        <v>667382827</v>
      </c>
      <c r="I4363">
        <v>738888054</v>
      </c>
      <c r="J4363">
        <v>746185525</v>
      </c>
      <c r="K4363">
        <v>719364739</v>
      </c>
      <c r="L4363">
        <v>340984397</v>
      </c>
      <c r="M4363">
        <v>278146161</v>
      </c>
      <c r="N4363">
        <v>220573224</v>
      </c>
      <c r="P4363">
        <v>113</v>
      </c>
      <c r="Q4363" t="s">
        <v>9071</v>
      </c>
    </row>
    <row r="4364" spans="1:17" x14ac:dyDescent="0.3">
      <c r="A4364" t="s">
        <v>4729</v>
      </c>
      <c r="B4364" t="str">
        <f>"300566"</f>
        <v>300566</v>
      </c>
      <c r="C4364" t="s">
        <v>9072</v>
      </c>
      <c r="D4364" t="s">
        <v>164</v>
      </c>
      <c r="F4364">
        <v>1683273237</v>
      </c>
      <c r="G4364">
        <v>824998276</v>
      </c>
      <c r="H4364">
        <v>677824160</v>
      </c>
      <c r="I4364">
        <v>620425620</v>
      </c>
      <c r="J4364">
        <v>634144974</v>
      </c>
      <c r="K4364">
        <v>561032181</v>
      </c>
      <c r="L4364">
        <v>257167681</v>
      </c>
      <c r="M4364">
        <v>203925812</v>
      </c>
      <c r="N4364">
        <v>138743419</v>
      </c>
      <c r="P4364">
        <v>197</v>
      </c>
      <c r="Q4364" t="s">
        <v>9073</v>
      </c>
    </row>
    <row r="4365" spans="1:17" x14ac:dyDescent="0.3">
      <c r="A4365" t="s">
        <v>4729</v>
      </c>
      <c r="B4365" t="str">
        <f>"300567"</f>
        <v>300567</v>
      </c>
      <c r="C4365" t="s">
        <v>9074</v>
      </c>
      <c r="D4365" t="s">
        <v>2566</v>
      </c>
      <c r="F4365">
        <v>3259750730</v>
      </c>
      <c r="G4365">
        <v>1696392255</v>
      </c>
      <c r="H4365">
        <v>1381829119</v>
      </c>
      <c r="I4365">
        <v>1157461262</v>
      </c>
      <c r="J4365">
        <v>855043958</v>
      </c>
      <c r="K4365">
        <v>708023004</v>
      </c>
      <c r="L4365">
        <v>243423170</v>
      </c>
      <c r="M4365">
        <v>166438863</v>
      </c>
      <c r="N4365">
        <v>130881852</v>
      </c>
      <c r="P4365">
        <v>1242</v>
      </c>
      <c r="Q4365" t="s">
        <v>9075</v>
      </c>
    </row>
    <row r="4366" spans="1:17" x14ac:dyDescent="0.3">
      <c r="A4366" t="s">
        <v>4729</v>
      </c>
      <c r="B4366" t="str">
        <f>"300568"</f>
        <v>300568</v>
      </c>
      <c r="C4366" t="s">
        <v>9076</v>
      </c>
      <c r="D4366" t="s">
        <v>1790</v>
      </c>
      <c r="F4366">
        <v>4266760578</v>
      </c>
      <c r="G4366">
        <v>2952278865</v>
      </c>
      <c r="H4366">
        <v>2371874240</v>
      </c>
      <c r="I4366">
        <v>1430666071</v>
      </c>
      <c r="J4366">
        <v>1267390871</v>
      </c>
      <c r="K4366">
        <v>1233310731</v>
      </c>
      <c r="L4366">
        <v>528871011</v>
      </c>
      <c r="M4366">
        <v>452949257</v>
      </c>
      <c r="N4366">
        <v>426989943</v>
      </c>
      <c r="P4366">
        <v>474</v>
      </c>
      <c r="Q4366" t="s">
        <v>9077</v>
      </c>
    </row>
    <row r="4367" spans="1:17" x14ac:dyDescent="0.3">
      <c r="A4367" t="s">
        <v>4729</v>
      </c>
      <c r="B4367" t="str">
        <f>"300569"</f>
        <v>300569</v>
      </c>
      <c r="C4367" t="s">
        <v>9078</v>
      </c>
      <c r="D4367" t="s">
        <v>950</v>
      </c>
      <c r="F4367">
        <v>3641362864</v>
      </c>
      <c r="G4367">
        <v>2292956428</v>
      </c>
      <c r="H4367">
        <v>2055066234</v>
      </c>
      <c r="I4367">
        <v>1758724036</v>
      </c>
      <c r="J4367">
        <v>1675312669</v>
      </c>
      <c r="K4367">
        <v>1611070515</v>
      </c>
      <c r="L4367">
        <v>637458772</v>
      </c>
      <c r="M4367">
        <v>464848372</v>
      </c>
      <c r="N4367">
        <v>391261409</v>
      </c>
      <c r="P4367">
        <v>201</v>
      </c>
      <c r="Q4367" t="s">
        <v>9079</v>
      </c>
    </row>
    <row r="4368" spans="1:17" x14ac:dyDescent="0.3">
      <c r="A4368" t="s">
        <v>4729</v>
      </c>
      <c r="B4368" t="str">
        <f>"300570"</f>
        <v>300570</v>
      </c>
      <c r="C4368" t="s">
        <v>9080</v>
      </c>
      <c r="D4368" t="s">
        <v>1019</v>
      </c>
      <c r="F4368">
        <v>1184586618</v>
      </c>
      <c r="G4368">
        <v>1274648131</v>
      </c>
      <c r="H4368">
        <v>1302529436</v>
      </c>
      <c r="I4368">
        <v>1217272675</v>
      </c>
      <c r="J4368">
        <v>1115137505</v>
      </c>
      <c r="K4368">
        <v>1063583760</v>
      </c>
      <c r="L4368">
        <v>377287685</v>
      </c>
      <c r="M4368">
        <v>286718003</v>
      </c>
      <c r="N4368">
        <v>226420161</v>
      </c>
      <c r="P4368">
        <v>229</v>
      </c>
      <c r="Q4368" t="s">
        <v>9081</v>
      </c>
    </row>
    <row r="4369" spans="1:17" x14ac:dyDescent="0.3">
      <c r="A4369" t="s">
        <v>4729</v>
      </c>
      <c r="B4369" t="str">
        <f>"300571"</f>
        <v>300571</v>
      </c>
      <c r="C4369" t="s">
        <v>9082</v>
      </c>
      <c r="D4369" t="s">
        <v>5670</v>
      </c>
      <c r="F4369">
        <v>1505446942</v>
      </c>
      <c r="G4369">
        <v>693983563</v>
      </c>
      <c r="H4369">
        <v>828703864</v>
      </c>
      <c r="I4369">
        <v>522544427</v>
      </c>
      <c r="J4369">
        <v>337395410</v>
      </c>
      <c r="K4369">
        <v>250367960</v>
      </c>
      <c r="L4369">
        <v>113491945</v>
      </c>
      <c r="M4369">
        <v>87716323</v>
      </c>
      <c r="N4369">
        <v>67384755</v>
      </c>
      <c r="P4369">
        <v>2111</v>
      </c>
      <c r="Q4369" t="s">
        <v>9083</v>
      </c>
    </row>
    <row r="4370" spans="1:17" x14ac:dyDescent="0.3">
      <c r="A4370" t="s">
        <v>4729</v>
      </c>
      <c r="B4370" t="str">
        <f>"300572"</f>
        <v>300572</v>
      </c>
      <c r="C4370" t="s">
        <v>9084</v>
      </c>
      <c r="D4370" t="s">
        <v>2510</v>
      </c>
      <c r="F4370">
        <v>2148710726</v>
      </c>
      <c r="G4370">
        <v>1019230598</v>
      </c>
      <c r="H4370">
        <v>848631048</v>
      </c>
      <c r="I4370">
        <v>674548889</v>
      </c>
      <c r="J4370">
        <v>559149177</v>
      </c>
      <c r="K4370">
        <v>506430882</v>
      </c>
      <c r="L4370">
        <v>253719103</v>
      </c>
      <c r="M4370">
        <v>211498877</v>
      </c>
      <c r="N4370">
        <v>174990808</v>
      </c>
      <c r="P4370">
        <v>466</v>
      </c>
      <c r="Q4370" t="s">
        <v>9085</v>
      </c>
    </row>
    <row r="4371" spans="1:17" x14ac:dyDescent="0.3">
      <c r="A4371" t="s">
        <v>4729</v>
      </c>
      <c r="B4371" t="str">
        <f>"300573"</f>
        <v>300573</v>
      </c>
      <c r="C4371" t="s">
        <v>9086</v>
      </c>
      <c r="D4371" t="s">
        <v>143</v>
      </c>
      <c r="F4371">
        <v>1344492935</v>
      </c>
      <c r="G4371">
        <v>682188559</v>
      </c>
      <c r="H4371">
        <v>568514086</v>
      </c>
      <c r="I4371">
        <v>545526908</v>
      </c>
      <c r="J4371">
        <v>550382394</v>
      </c>
      <c r="K4371">
        <v>520945273</v>
      </c>
      <c r="L4371">
        <v>389791266</v>
      </c>
      <c r="M4371">
        <v>367811643</v>
      </c>
      <c r="N4371">
        <v>336801460</v>
      </c>
      <c r="P4371">
        <v>315</v>
      </c>
      <c r="Q4371" t="s">
        <v>9087</v>
      </c>
    </row>
    <row r="4372" spans="1:17" x14ac:dyDescent="0.3">
      <c r="A4372" t="s">
        <v>4729</v>
      </c>
      <c r="B4372" t="str">
        <f>"300575"</f>
        <v>300575</v>
      </c>
      <c r="C4372" t="s">
        <v>9088</v>
      </c>
      <c r="D4372" t="s">
        <v>853</v>
      </c>
      <c r="F4372">
        <v>1656487679</v>
      </c>
      <c r="G4372">
        <v>1457503004</v>
      </c>
      <c r="H4372">
        <v>1282236643</v>
      </c>
      <c r="I4372">
        <v>1197173444</v>
      </c>
      <c r="J4372">
        <v>1008147702</v>
      </c>
      <c r="K4372">
        <v>906051702</v>
      </c>
      <c r="L4372">
        <v>471709916</v>
      </c>
      <c r="M4372">
        <v>385648813</v>
      </c>
      <c r="N4372">
        <v>311922975</v>
      </c>
      <c r="P4372">
        <v>187</v>
      </c>
      <c r="Q4372" t="s">
        <v>9089</v>
      </c>
    </row>
    <row r="4373" spans="1:17" x14ac:dyDescent="0.3">
      <c r="A4373" t="s">
        <v>4729</v>
      </c>
      <c r="B4373" t="str">
        <f>"300576"</f>
        <v>300576</v>
      </c>
      <c r="C4373" t="s">
        <v>9090</v>
      </c>
      <c r="D4373" t="s">
        <v>2408</v>
      </c>
      <c r="F4373">
        <v>581450609</v>
      </c>
      <c r="G4373">
        <v>511848643</v>
      </c>
      <c r="H4373">
        <v>463418114</v>
      </c>
      <c r="I4373">
        <v>437679465</v>
      </c>
      <c r="J4373">
        <v>407539735</v>
      </c>
      <c r="K4373">
        <v>378469472</v>
      </c>
      <c r="L4373">
        <v>218666807</v>
      </c>
      <c r="M4373">
        <v>195263979</v>
      </c>
      <c r="N4373">
        <v>174655099</v>
      </c>
      <c r="P4373">
        <v>189</v>
      </c>
      <c r="Q4373" t="s">
        <v>9091</v>
      </c>
    </row>
    <row r="4374" spans="1:17" x14ac:dyDescent="0.3">
      <c r="A4374" t="s">
        <v>4729</v>
      </c>
      <c r="B4374" t="str">
        <f>"300577"</f>
        <v>300577</v>
      </c>
      <c r="C4374" t="s">
        <v>9092</v>
      </c>
      <c r="D4374" t="s">
        <v>330</v>
      </c>
      <c r="F4374">
        <v>1621387507</v>
      </c>
      <c r="G4374">
        <v>1515410051</v>
      </c>
      <c r="H4374">
        <v>834024696</v>
      </c>
      <c r="I4374">
        <v>636287827</v>
      </c>
      <c r="J4374">
        <v>487809253</v>
      </c>
      <c r="K4374">
        <v>534724573</v>
      </c>
      <c r="L4374">
        <v>205746745</v>
      </c>
      <c r="M4374">
        <v>151975865</v>
      </c>
      <c r="N4374">
        <v>111598692</v>
      </c>
      <c r="P4374">
        <v>486</v>
      </c>
      <c r="Q4374" t="s">
        <v>9093</v>
      </c>
    </row>
    <row r="4375" spans="1:17" x14ac:dyDescent="0.3">
      <c r="A4375" t="s">
        <v>4729</v>
      </c>
      <c r="B4375" t="str">
        <f>"300578"</f>
        <v>300578</v>
      </c>
      <c r="C4375" t="s">
        <v>9094</v>
      </c>
      <c r="D4375" t="s">
        <v>5670</v>
      </c>
      <c r="F4375">
        <v>1633312366</v>
      </c>
      <c r="G4375">
        <v>1292020327</v>
      </c>
      <c r="H4375">
        <v>1105161181</v>
      </c>
      <c r="I4375">
        <v>315530642</v>
      </c>
      <c r="J4375">
        <v>288096163</v>
      </c>
      <c r="K4375">
        <v>130690129</v>
      </c>
      <c r="L4375">
        <v>139206890</v>
      </c>
      <c r="M4375">
        <v>135823416</v>
      </c>
      <c r="N4375">
        <v>122183485</v>
      </c>
      <c r="P4375">
        <v>305</v>
      </c>
      <c r="Q4375" t="s">
        <v>9095</v>
      </c>
    </row>
    <row r="4376" spans="1:17" x14ac:dyDescent="0.3">
      <c r="A4376" t="s">
        <v>4729</v>
      </c>
      <c r="B4376" t="str">
        <f>"300579"</f>
        <v>300579</v>
      </c>
      <c r="C4376" t="s">
        <v>9096</v>
      </c>
      <c r="D4376" t="s">
        <v>945</v>
      </c>
      <c r="F4376">
        <v>853398227</v>
      </c>
      <c r="G4376">
        <v>755235985</v>
      </c>
      <c r="H4376">
        <v>679618298</v>
      </c>
      <c r="I4376">
        <v>612316988</v>
      </c>
      <c r="J4376">
        <v>545429675</v>
      </c>
      <c r="K4376">
        <v>485184165</v>
      </c>
      <c r="L4376">
        <v>209068371</v>
      </c>
      <c r="M4376">
        <v>175099337</v>
      </c>
      <c r="N4376">
        <v>144010811</v>
      </c>
      <c r="P4376">
        <v>335</v>
      </c>
      <c r="Q4376" t="s">
        <v>9097</v>
      </c>
    </row>
    <row r="4377" spans="1:17" x14ac:dyDescent="0.3">
      <c r="A4377" t="s">
        <v>4729</v>
      </c>
      <c r="B4377" t="str">
        <f>"300580"</f>
        <v>300580</v>
      </c>
      <c r="C4377" t="s">
        <v>9098</v>
      </c>
      <c r="D4377" t="s">
        <v>348</v>
      </c>
      <c r="F4377">
        <v>1808868654</v>
      </c>
      <c r="G4377">
        <v>1662232546</v>
      </c>
      <c r="H4377">
        <v>1519747047</v>
      </c>
      <c r="I4377">
        <v>1384248921</v>
      </c>
      <c r="J4377">
        <v>1253430882</v>
      </c>
      <c r="K4377">
        <v>697046012</v>
      </c>
      <c r="L4377">
        <v>598160639</v>
      </c>
      <c r="M4377">
        <v>518504624</v>
      </c>
      <c r="N4377">
        <v>441685892</v>
      </c>
      <c r="P4377">
        <v>148</v>
      </c>
      <c r="Q4377" t="s">
        <v>9099</v>
      </c>
    </row>
    <row r="4378" spans="1:17" x14ac:dyDescent="0.3">
      <c r="A4378" t="s">
        <v>4729</v>
      </c>
      <c r="B4378" t="str">
        <f>"300581"</f>
        <v>300581</v>
      </c>
      <c r="C4378" t="s">
        <v>9100</v>
      </c>
      <c r="D4378" t="s">
        <v>98</v>
      </c>
      <c r="F4378">
        <v>745526520</v>
      </c>
      <c r="G4378">
        <v>716506986</v>
      </c>
      <c r="H4378">
        <v>661120292</v>
      </c>
      <c r="I4378">
        <v>625562727</v>
      </c>
      <c r="J4378">
        <v>559056461</v>
      </c>
      <c r="K4378">
        <v>518128560</v>
      </c>
      <c r="L4378">
        <v>218054996</v>
      </c>
      <c r="M4378">
        <v>165639101</v>
      </c>
      <c r="N4378">
        <v>117969464</v>
      </c>
      <c r="P4378">
        <v>151</v>
      </c>
      <c r="Q4378" t="s">
        <v>9101</v>
      </c>
    </row>
    <row r="4379" spans="1:17" x14ac:dyDescent="0.3">
      <c r="A4379" t="s">
        <v>4729</v>
      </c>
      <c r="B4379" t="str">
        <f>"300582"</f>
        <v>300582</v>
      </c>
      <c r="C4379" t="s">
        <v>9102</v>
      </c>
      <c r="D4379" t="s">
        <v>803</v>
      </c>
      <c r="F4379">
        <v>1430616874</v>
      </c>
      <c r="G4379">
        <v>1230087328</v>
      </c>
      <c r="H4379">
        <v>1062277789</v>
      </c>
      <c r="I4379">
        <v>957601283</v>
      </c>
      <c r="J4379">
        <v>926374803</v>
      </c>
      <c r="K4379">
        <v>911691096</v>
      </c>
      <c r="L4379">
        <v>382874767</v>
      </c>
      <c r="M4379">
        <v>289611934</v>
      </c>
      <c r="N4379">
        <v>223928475</v>
      </c>
      <c r="P4379">
        <v>152</v>
      </c>
      <c r="Q4379" t="s">
        <v>9103</v>
      </c>
    </row>
    <row r="4380" spans="1:17" x14ac:dyDescent="0.3">
      <c r="A4380" t="s">
        <v>4729</v>
      </c>
      <c r="B4380" t="str">
        <f>"300583"</f>
        <v>300583</v>
      </c>
      <c r="C4380" t="s">
        <v>9104</v>
      </c>
      <c r="D4380" t="s">
        <v>496</v>
      </c>
      <c r="F4380">
        <v>1682729775</v>
      </c>
      <c r="G4380">
        <v>1643008785</v>
      </c>
      <c r="H4380">
        <v>1833056577</v>
      </c>
      <c r="I4380">
        <v>1808258778</v>
      </c>
      <c r="J4380">
        <v>1690086519</v>
      </c>
      <c r="K4380">
        <v>579693501</v>
      </c>
      <c r="L4380">
        <v>478516811</v>
      </c>
      <c r="M4380">
        <v>290796973</v>
      </c>
      <c r="N4380">
        <v>98830589</v>
      </c>
      <c r="P4380">
        <v>76</v>
      </c>
      <c r="Q4380" t="s">
        <v>9105</v>
      </c>
    </row>
    <row r="4381" spans="1:17" x14ac:dyDescent="0.3">
      <c r="A4381" t="s">
        <v>4729</v>
      </c>
      <c r="B4381" t="str">
        <f>"300584"</f>
        <v>300584</v>
      </c>
      <c r="C4381" t="s">
        <v>9106</v>
      </c>
      <c r="D4381" t="s">
        <v>143</v>
      </c>
      <c r="F4381">
        <v>950327287</v>
      </c>
      <c r="G4381">
        <v>679774827</v>
      </c>
      <c r="H4381">
        <v>654082358</v>
      </c>
      <c r="I4381">
        <v>580926218</v>
      </c>
      <c r="J4381">
        <v>517684181</v>
      </c>
      <c r="K4381">
        <v>276113511</v>
      </c>
      <c r="L4381">
        <v>235077133</v>
      </c>
      <c r="M4381">
        <v>200148173</v>
      </c>
      <c r="N4381">
        <v>165934100</v>
      </c>
      <c r="P4381">
        <v>195</v>
      </c>
      <c r="Q4381" t="s">
        <v>9107</v>
      </c>
    </row>
    <row r="4382" spans="1:17" x14ac:dyDescent="0.3">
      <c r="A4382" t="s">
        <v>4729</v>
      </c>
      <c r="B4382" t="str">
        <f>"300585"</f>
        <v>300585</v>
      </c>
      <c r="C4382" t="s">
        <v>9108</v>
      </c>
      <c r="D4382" t="s">
        <v>348</v>
      </c>
      <c r="F4382">
        <v>698726331</v>
      </c>
      <c r="G4382">
        <v>535781598</v>
      </c>
      <c r="H4382">
        <v>488693109</v>
      </c>
      <c r="I4382">
        <v>457187151</v>
      </c>
      <c r="J4382">
        <v>447651968</v>
      </c>
      <c r="K4382">
        <v>419786903</v>
      </c>
      <c r="L4382">
        <v>192700503</v>
      </c>
      <c r="M4382">
        <v>168163847</v>
      </c>
      <c r="N4382">
        <v>107770777</v>
      </c>
      <c r="P4382">
        <v>92</v>
      </c>
      <c r="Q4382" t="s">
        <v>9109</v>
      </c>
    </row>
    <row r="4383" spans="1:17" x14ac:dyDescent="0.3">
      <c r="A4383" t="s">
        <v>4729</v>
      </c>
      <c r="B4383" t="str">
        <f>"300586"</f>
        <v>300586</v>
      </c>
      <c r="C4383" t="s">
        <v>9110</v>
      </c>
      <c r="D4383" t="s">
        <v>341</v>
      </c>
      <c r="F4383">
        <v>1242920944</v>
      </c>
      <c r="G4383">
        <v>720761558</v>
      </c>
      <c r="H4383">
        <v>695304732</v>
      </c>
      <c r="I4383">
        <v>604395101</v>
      </c>
      <c r="J4383">
        <v>589099203</v>
      </c>
      <c r="K4383">
        <v>552881103</v>
      </c>
      <c r="L4383">
        <v>304857616</v>
      </c>
      <c r="M4383">
        <v>263689320</v>
      </c>
      <c r="N4383">
        <v>225603424</v>
      </c>
      <c r="P4383">
        <v>132</v>
      </c>
      <c r="Q4383" t="s">
        <v>9111</v>
      </c>
    </row>
    <row r="4384" spans="1:17" x14ac:dyDescent="0.3">
      <c r="A4384" t="s">
        <v>4729</v>
      </c>
      <c r="B4384" t="str">
        <f>"300587"</f>
        <v>300587</v>
      </c>
      <c r="C4384" t="s">
        <v>9112</v>
      </c>
      <c r="D4384" t="s">
        <v>2469</v>
      </c>
      <c r="F4384">
        <v>2516065990</v>
      </c>
      <c r="G4384">
        <v>1531903036</v>
      </c>
      <c r="H4384">
        <v>1045472071</v>
      </c>
      <c r="I4384">
        <v>923914927</v>
      </c>
      <c r="J4384">
        <v>844699723</v>
      </c>
      <c r="K4384">
        <v>785507947</v>
      </c>
      <c r="L4384">
        <v>396104509</v>
      </c>
      <c r="M4384">
        <v>343474216</v>
      </c>
      <c r="N4384">
        <v>309223547</v>
      </c>
      <c r="P4384">
        <v>153</v>
      </c>
      <c r="Q4384" t="s">
        <v>9113</v>
      </c>
    </row>
    <row r="4385" spans="1:17" x14ac:dyDescent="0.3">
      <c r="A4385" t="s">
        <v>4729</v>
      </c>
      <c r="B4385" t="str">
        <f>"300588"</f>
        <v>300588</v>
      </c>
      <c r="C4385" t="s">
        <v>9114</v>
      </c>
      <c r="D4385" t="s">
        <v>2980</v>
      </c>
      <c r="F4385">
        <v>482682994</v>
      </c>
      <c r="G4385">
        <v>281018226</v>
      </c>
      <c r="H4385">
        <v>417946155</v>
      </c>
      <c r="I4385">
        <v>394470493</v>
      </c>
      <c r="J4385">
        <v>380252458</v>
      </c>
      <c r="K4385">
        <v>303382107</v>
      </c>
      <c r="L4385">
        <v>171318882</v>
      </c>
      <c r="M4385">
        <v>146686774</v>
      </c>
      <c r="N4385">
        <v>122149715</v>
      </c>
      <c r="P4385">
        <v>144</v>
      </c>
      <c r="Q4385" t="s">
        <v>9115</v>
      </c>
    </row>
    <row r="4386" spans="1:17" x14ac:dyDescent="0.3">
      <c r="A4386" t="s">
        <v>4729</v>
      </c>
      <c r="B4386" t="str">
        <f>"300589"</f>
        <v>300589</v>
      </c>
      <c r="C4386" t="s">
        <v>9116</v>
      </c>
      <c r="D4386" t="s">
        <v>167</v>
      </c>
      <c r="F4386">
        <v>778769019</v>
      </c>
      <c r="G4386">
        <v>371059440</v>
      </c>
      <c r="H4386">
        <v>363576937</v>
      </c>
      <c r="I4386">
        <v>338082815</v>
      </c>
      <c r="J4386">
        <v>310331975</v>
      </c>
      <c r="K4386">
        <v>169635731</v>
      </c>
      <c r="L4386">
        <v>132792535</v>
      </c>
      <c r="M4386">
        <v>100331153</v>
      </c>
      <c r="N4386">
        <v>69680273</v>
      </c>
      <c r="P4386">
        <v>87</v>
      </c>
      <c r="Q4386" t="s">
        <v>9117</v>
      </c>
    </row>
    <row r="4387" spans="1:17" x14ac:dyDescent="0.3">
      <c r="A4387" t="s">
        <v>4729</v>
      </c>
      <c r="B4387" t="str">
        <f>"300590"</f>
        <v>300590</v>
      </c>
      <c r="C4387" t="s">
        <v>9118</v>
      </c>
      <c r="D4387" t="s">
        <v>786</v>
      </c>
      <c r="F4387">
        <v>1546122665</v>
      </c>
      <c r="G4387">
        <v>1077041308</v>
      </c>
      <c r="H4387">
        <v>1004546024</v>
      </c>
      <c r="I4387">
        <v>864241695</v>
      </c>
      <c r="J4387">
        <v>769370281</v>
      </c>
      <c r="K4387">
        <v>202225349</v>
      </c>
      <c r="L4387">
        <v>178955997</v>
      </c>
      <c r="M4387">
        <v>119434291</v>
      </c>
      <c r="N4387">
        <v>74739342</v>
      </c>
      <c r="P4387">
        <v>410</v>
      </c>
      <c r="Q4387" t="s">
        <v>9119</v>
      </c>
    </row>
    <row r="4388" spans="1:17" x14ac:dyDescent="0.3">
      <c r="A4388" t="s">
        <v>4729</v>
      </c>
      <c r="B4388" t="str">
        <f>"300591"</f>
        <v>300591</v>
      </c>
      <c r="C4388" t="s">
        <v>9120</v>
      </c>
      <c r="D4388" t="s">
        <v>330</v>
      </c>
      <c r="F4388">
        <v>358808702</v>
      </c>
      <c r="G4388">
        <v>489535047</v>
      </c>
      <c r="H4388">
        <v>517620308</v>
      </c>
      <c r="I4388">
        <v>493852171</v>
      </c>
      <c r="J4388">
        <v>456268745</v>
      </c>
      <c r="K4388">
        <v>281049255</v>
      </c>
      <c r="L4388">
        <v>244473044</v>
      </c>
      <c r="M4388">
        <v>212516341</v>
      </c>
      <c r="N4388">
        <v>186167335</v>
      </c>
      <c r="P4388">
        <v>88</v>
      </c>
      <c r="Q4388" t="s">
        <v>9121</v>
      </c>
    </row>
    <row r="4389" spans="1:17" x14ac:dyDescent="0.3">
      <c r="A4389" t="s">
        <v>4729</v>
      </c>
      <c r="B4389" t="str">
        <f>"300592"</f>
        <v>300592</v>
      </c>
      <c r="C4389" t="s">
        <v>9122</v>
      </c>
      <c r="D4389" t="s">
        <v>450</v>
      </c>
      <c r="F4389">
        <v>2087010899</v>
      </c>
      <c r="G4389">
        <v>438672147</v>
      </c>
      <c r="H4389">
        <v>513087695</v>
      </c>
      <c r="I4389">
        <v>505106804</v>
      </c>
      <c r="J4389">
        <v>495534040</v>
      </c>
      <c r="K4389">
        <v>332271913</v>
      </c>
      <c r="L4389">
        <v>292244324</v>
      </c>
      <c r="M4389">
        <v>255375662</v>
      </c>
      <c r="N4389">
        <v>168795315</v>
      </c>
      <c r="P4389">
        <v>65</v>
      </c>
      <c r="Q4389" t="s">
        <v>9123</v>
      </c>
    </row>
    <row r="4390" spans="1:17" x14ac:dyDescent="0.3">
      <c r="A4390" t="s">
        <v>4729</v>
      </c>
      <c r="B4390" t="str">
        <f>"300593"</f>
        <v>300593</v>
      </c>
      <c r="C4390" t="s">
        <v>9124</v>
      </c>
      <c r="D4390" t="s">
        <v>880</v>
      </c>
      <c r="F4390">
        <v>1125689372</v>
      </c>
      <c r="G4390">
        <v>793194003</v>
      </c>
      <c r="H4390">
        <v>656196151</v>
      </c>
      <c r="I4390">
        <v>587110281</v>
      </c>
      <c r="J4390">
        <v>556127394</v>
      </c>
      <c r="K4390">
        <v>360767544</v>
      </c>
      <c r="L4390">
        <v>316670866</v>
      </c>
      <c r="M4390">
        <v>282903859</v>
      </c>
      <c r="N4390">
        <v>193244656</v>
      </c>
      <c r="P4390">
        <v>254</v>
      </c>
      <c r="Q4390" t="s">
        <v>9125</v>
      </c>
    </row>
    <row r="4391" spans="1:17" x14ac:dyDescent="0.3">
      <c r="A4391" t="s">
        <v>4729</v>
      </c>
      <c r="B4391" t="str">
        <f>"300594"</f>
        <v>300594</v>
      </c>
      <c r="C4391" t="s">
        <v>9126</v>
      </c>
      <c r="D4391" t="s">
        <v>1012</v>
      </c>
      <c r="F4391">
        <v>935726688</v>
      </c>
      <c r="G4391">
        <v>895218327</v>
      </c>
      <c r="H4391">
        <v>815635761</v>
      </c>
      <c r="I4391">
        <v>357361316</v>
      </c>
      <c r="J4391">
        <v>281072939</v>
      </c>
      <c r="K4391">
        <v>160512427</v>
      </c>
      <c r="P4391">
        <v>72</v>
      </c>
      <c r="Q4391" t="s">
        <v>9127</v>
      </c>
    </row>
    <row r="4392" spans="1:17" x14ac:dyDescent="0.3">
      <c r="A4392" t="s">
        <v>4729</v>
      </c>
      <c r="B4392" t="str">
        <f>"300595"</f>
        <v>300595</v>
      </c>
      <c r="C4392" t="s">
        <v>9128</v>
      </c>
      <c r="D4392" t="s">
        <v>1077</v>
      </c>
      <c r="F4392">
        <v>2215832945</v>
      </c>
      <c r="G4392">
        <v>1751983461</v>
      </c>
      <c r="H4392">
        <v>1330428627</v>
      </c>
      <c r="I4392">
        <v>1023966896</v>
      </c>
      <c r="J4392">
        <v>804979108</v>
      </c>
      <c r="K4392">
        <v>311489031</v>
      </c>
      <c r="L4392">
        <v>252429065</v>
      </c>
      <c r="M4392">
        <v>190657353</v>
      </c>
      <c r="N4392">
        <v>145858440</v>
      </c>
      <c r="P4392">
        <v>4330</v>
      </c>
      <c r="Q4392" t="s">
        <v>9129</v>
      </c>
    </row>
    <row r="4393" spans="1:17" x14ac:dyDescent="0.3">
      <c r="A4393" t="s">
        <v>4729</v>
      </c>
      <c r="B4393" t="str">
        <f>"300596"</f>
        <v>300596</v>
      </c>
      <c r="C4393" t="s">
        <v>9130</v>
      </c>
      <c r="D4393" t="s">
        <v>1192</v>
      </c>
      <c r="F4393">
        <v>2520831367</v>
      </c>
      <c r="G4393">
        <v>2155417991</v>
      </c>
      <c r="H4393">
        <v>1909774402</v>
      </c>
      <c r="I4393">
        <v>1071193392</v>
      </c>
      <c r="J4393">
        <v>896170461</v>
      </c>
      <c r="K4393">
        <v>504509252</v>
      </c>
      <c r="L4393">
        <v>414257384</v>
      </c>
      <c r="M4393">
        <v>341358173</v>
      </c>
      <c r="N4393">
        <v>294303286</v>
      </c>
      <c r="P4393">
        <v>391</v>
      </c>
      <c r="Q4393" t="s">
        <v>9131</v>
      </c>
    </row>
    <row r="4394" spans="1:17" x14ac:dyDescent="0.3">
      <c r="A4394" t="s">
        <v>4729</v>
      </c>
      <c r="B4394" t="str">
        <f>"300597"</f>
        <v>300597</v>
      </c>
      <c r="C4394" t="s">
        <v>9132</v>
      </c>
      <c r="D4394" t="s">
        <v>654</v>
      </c>
      <c r="F4394">
        <v>854074166</v>
      </c>
      <c r="G4394">
        <v>828666880</v>
      </c>
      <c r="H4394">
        <v>803242225</v>
      </c>
      <c r="I4394">
        <v>765291535</v>
      </c>
      <c r="J4394">
        <v>725525536</v>
      </c>
      <c r="K4394">
        <v>416763914</v>
      </c>
      <c r="L4394">
        <v>362312835</v>
      </c>
      <c r="M4394">
        <v>304591209</v>
      </c>
      <c r="N4394">
        <v>190042792</v>
      </c>
      <c r="P4394">
        <v>110</v>
      </c>
      <c r="Q4394" t="s">
        <v>9133</v>
      </c>
    </row>
    <row r="4395" spans="1:17" x14ac:dyDescent="0.3">
      <c r="A4395" t="s">
        <v>4729</v>
      </c>
      <c r="B4395" t="str">
        <f>"300598"</f>
        <v>300598</v>
      </c>
      <c r="C4395" t="s">
        <v>9134</v>
      </c>
      <c r="D4395" t="s">
        <v>945</v>
      </c>
      <c r="F4395">
        <v>1197758949</v>
      </c>
      <c r="G4395">
        <v>801578178</v>
      </c>
      <c r="H4395">
        <v>646093550</v>
      </c>
      <c r="I4395">
        <v>461248694</v>
      </c>
      <c r="J4395">
        <v>449325743</v>
      </c>
      <c r="K4395">
        <v>277349898</v>
      </c>
      <c r="L4395">
        <v>233387899</v>
      </c>
      <c r="M4395">
        <v>190374699</v>
      </c>
      <c r="N4395">
        <v>164625030</v>
      </c>
      <c r="P4395">
        <v>319</v>
      </c>
      <c r="Q4395" t="s">
        <v>9135</v>
      </c>
    </row>
    <row r="4396" spans="1:17" x14ac:dyDescent="0.3">
      <c r="A4396" t="s">
        <v>4729</v>
      </c>
      <c r="B4396" t="str">
        <f>"300599"</f>
        <v>300599</v>
      </c>
      <c r="C4396" t="s">
        <v>9136</v>
      </c>
      <c r="D4396" t="s">
        <v>3347</v>
      </c>
      <c r="F4396">
        <v>2270868243</v>
      </c>
      <c r="G4396">
        <v>1740075074</v>
      </c>
      <c r="H4396">
        <v>1597490784</v>
      </c>
      <c r="I4396">
        <v>1412338416</v>
      </c>
      <c r="J4396">
        <v>1244858019</v>
      </c>
      <c r="K4396">
        <v>663239790</v>
      </c>
      <c r="L4396">
        <v>600051688</v>
      </c>
      <c r="M4396">
        <v>538303199</v>
      </c>
      <c r="N4396">
        <v>432819920</v>
      </c>
      <c r="P4396">
        <v>102</v>
      </c>
      <c r="Q4396" t="s">
        <v>9137</v>
      </c>
    </row>
    <row r="4397" spans="1:17" x14ac:dyDescent="0.3">
      <c r="A4397" t="s">
        <v>4729</v>
      </c>
      <c r="B4397" t="str">
        <f>"300600"</f>
        <v>300600</v>
      </c>
      <c r="C4397" t="s">
        <v>9138</v>
      </c>
      <c r="D4397" t="s">
        <v>167</v>
      </c>
      <c r="F4397">
        <v>866191842</v>
      </c>
      <c r="G4397">
        <v>1167223430</v>
      </c>
      <c r="H4397">
        <v>1125210485</v>
      </c>
      <c r="I4397">
        <v>1099950443</v>
      </c>
      <c r="J4397">
        <v>886965914</v>
      </c>
      <c r="K4397">
        <v>516943580</v>
      </c>
      <c r="L4397">
        <v>415236164</v>
      </c>
      <c r="M4397">
        <v>308447349</v>
      </c>
      <c r="N4397">
        <v>241225725</v>
      </c>
      <c r="P4397">
        <v>101</v>
      </c>
      <c r="Q4397" t="s">
        <v>9139</v>
      </c>
    </row>
    <row r="4398" spans="1:17" x14ac:dyDescent="0.3">
      <c r="A4398" t="s">
        <v>4729</v>
      </c>
      <c r="B4398" t="str">
        <f>"300601"</f>
        <v>300601</v>
      </c>
      <c r="C4398" t="s">
        <v>9140</v>
      </c>
      <c r="D4398" t="s">
        <v>1499</v>
      </c>
      <c r="F4398">
        <v>8655439082</v>
      </c>
      <c r="G4398">
        <v>7463435888</v>
      </c>
      <c r="H4398">
        <v>2754232811</v>
      </c>
      <c r="I4398">
        <v>1776175262</v>
      </c>
      <c r="J4398">
        <v>1071012234</v>
      </c>
      <c r="K4398">
        <v>734998113</v>
      </c>
      <c r="L4398">
        <v>647117204</v>
      </c>
      <c r="M4398">
        <v>583812245</v>
      </c>
      <c r="N4398">
        <v>372166380</v>
      </c>
      <c r="P4398">
        <v>1384</v>
      </c>
      <c r="Q4398" t="s">
        <v>9141</v>
      </c>
    </row>
    <row r="4399" spans="1:17" x14ac:dyDescent="0.3">
      <c r="A4399" t="s">
        <v>4729</v>
      </c>
      <c r="B4399" t="str">
        <f>"300602"</f>
        <v>300602</v>
      </c>
      <c r="C4399" t="s">
        <v>9142</v>
      </c>
      <c r="D4399" t="s">
        <v>313</v>
      </c>
      <c r="F4399">
        <v>2451000822</v>
      </c>
      <c r="G4399">
        <v>2425716758</v>
      </c>
      <c r="H4399">
        <v>1529213426</v>
      </c>
      <c r="I4399">
        <v>1147578529</v>
      </c>
      <c r="J4399">
        <v>960362847</v>
      </c>
      <c r="K4399">
        <v>554674886</v>
      </c>
      <c r="L4399">
        <v>444816491</v>
      </c>
      <c r="M4399">
        <v>349378535</v>
      </c>
      <c r="N4399">
        <v>268765769</v>
      </c>
      <c r="P4399">
        <v>597</v>
      </c>
      <c r="Q4399" t="s">
        <v>9143</v>
      </c>
    </row>
    <row r="4400" spans="1:17" x14ac:dyDescent="0.3">
      <c r="A4400" t="s">
        <v>4729</v>
      </c>
      <c r="B4400" t="str">
        <f>"300603"</f>
        <v>300603</v>
      </c>
      <c r="C4400" t="s">
        <v>9144</v>
      </c>
      <c r="D4400" t="s">
        <v>5670</v>
      </c>
      <c r="F4400">
        <v>952830726</v>
      </c>
      <c r="G4400">
        <v>1481179730</v>
      </c>
      <c r="H4400">
        <v>2400799789</v>
      </c>
      <c r="I4400">
        <v>458081697</v>
      </c>
      <c r="J4400">
        <v>427087080</v>
      </c>
      <c r="K4400">
        <v>267576035</v>
      </c>
      <c r="L4400">
        <v>232104863</v>
      </c>
      <c r="M4400">
        <v>206110016</v>
      </c>
      <c r="N4400">
        <v>189579600</v>
      </c>
      <c r="P4400">
        <v>196</v>
      </c>
      <c r="Q4400" t="s">
        <v>9145</v>
      </c>
    </row>
    <row r="4401" spans="1:17" x14ac:dyDescent="0.3">
      <c r="A4401" t="s">
        <v>4729</v>
      </c>
      <c r="B4401" t="str">
        <f>"300604"</f>
        <v>300604</v>
      </c>
      <c r="C4401" t="s">
        <v>9146</v>
      </c>
      <c r="D4401" t="s">
        <v>3187</v>
      </c>
      <c r="F4401">
        <v>1767845372</v>
      </c>
      <c r="G4401">
        <v>1090518525</v>
      </c>
      <c r="H4401">
        <v>996569677</v>
      </c>
      <c r="I4401">
        <v>470561115</v>
      </c>
      <c r="J4401">
        <v>419280509</v>
      </c>
      <c r="K4401">
        <v>223960823</v>
      </c>
      <c r="L4401">
        <v>182544215</v>
      </c>
      <c r="M4401">
        <v>63882721</v>
      </c>
      <c r="P4401">
        <v>370</v>
      </c>
      <c r="Q4401" t="s">
        <v>9147</v>
      </c>
    </row>
    <row r="4402" spans="1:17" x14ac:dyDescent="0.3">
      <c r="A4402" t="s">
        <v>4729</v>
      </c>
      <c r="B4402" t="str">
        <f>"300605"</f>
        <v>300605</v>
      </c>
      <c r="C4402" t="s">
        <v>9148</v>
      </c>
      <c r="D4402" t="s">
        <v>945</v>
      </c>
      <c r="F4402">
        <v>517158324</v>
      </c>
      <c r="G4402">
        <v>480264477</v>
      </c>
      <c r="H4402">
        <v>552880587</v>
      </c>
      <c r="I4402">
        <v>493789365</v>
      </c>
      <c r="J4402">
        <v>443706857</v>
      </c>
      <c r="K4402">
        <v>231356025</v>
      </c>
      <c r="L4402">
        <v>193727413</v>
      </c>
      <c r="M4402">
        <v>158511001</v>
      </c>
      <c r="N4402">
        <v>78318867</v>
      </c>
      <c r="P4402">
        <v>93</v>
      </c>
      <c r="Q4402" t="s">
        <v>9149</v>
      </c>
    </row>
    <row r="4403" spans="1:17" x14ac:dyDescent="0.3">
      <c r="A4403" t="s">
        <v>4729</v>
      </c>
      <c r="B4403" t="str">
        <f>"300606"</f>
        <v>300606</v>
      </c>
      <c r="C4403" t="s">
        <v>9150</v>
      </c>
      <c r="D4403" t="s">
        <v>404</v>
      </c>
      <c r="F4403">
        <v>605231812</v>
      </c>
      <c r="G4403">
        <v>495640641</v>
      </c>
      <c r="H4403">
        <v>567058962</v>
      </c>
      <c r="I4403">
        <v>510209004</v>
      </c>
      <c r="J4403">
        <v>456605493</v>
      </c>
      <c r="K4403">
        <v>242570616</v>
      </c>
      <c r="L4403">
        <v>202362316</v>
      </c>
      <c r="M4403">
        <v>172444276</v>
      </c>
      <c r="N4403">
        <v>143372791</v>
      </c>
      <c r="P4403">
        <v>92</v>
      </c>
      <c r="Q4403" t="s">
        <v>9151</v>
      </c>
    </row>
    <row r="4404" spans="1:17" x14ac:dyDescent="0.3">
      <c r="A4404" t="s">
        <v>4729</v>
      </c>
      <c r="B4404" t="str">
        <f>"300607"</f>
        <v>300607</v>
      </c>
      <c r="C4404" t="s">
        <v>9152</v>
      </c>
      <c r="D4404" t="s">
        <v>2938</v>
      </c>
      <c r="F4404">
        <v>2131990544</v>
      </c>
      <c r="G4404">
        <v>2151339763</v>
      </c>
      <c r="H4404">
        <v>1672491826</v>
      </c>
      <c r="I4404">
        <v>911018705</v>
      </c>
      <c r="J4404">
        <v>765031279</v>
      </c>
      <c r="K4404">
        <v>336862370</v>
      </c>
      <c r="L4404">
        <v>298920763</v>
      </c>
      <c r="M4404">
        <v>246297395</v>
      </c>
      <c r="N4404">
        <v>123059363</v>
      </c>
      <c r="P4404">
        <v>1388</v>
      </c>
      <c r="Q4404" t="s">
        <v>9153</v>
      </c>
    </row>
    <row r="4405" spans="1:17" x14ac:dyDescent="0.3">
      <c r="A4405" t="s">
        <v>4729</v>
      </c>
      <c r="B4405" t="str">
        <f>"300608"</f>
        <v>300608</v>
      </c>
      <c r="C4405" t="s">
        <v>9154</v>
      </c>
      <c r="D4405" t="s">
        <v>945</v>
      </c>
      <c r="F4405">
        <v>919011540</v>
      </c>
      <c r="G4405">
        <v>804874131</v>
      </c>
      <c r="H4405">
        <v>778045626</v>
      </c>
      <c r="I4405">
        <v>714743611</v>
      </c>
      <c r="J4405">
        <v>651644801</v>
      </c>
      <c r="K4405">
        <v>371217689</v>
      </c>
      <c r="L4405">
        <v>321537464</v>
      </c>
      <c r="M4405">
        <v>279951687</v>
      </c>
      <c r="N4405">
        <v>201379073</v>
      </c>
      <c r="P4405">
        <v>217</v>
      </c>
      <c r="Q4405" t="s">
        <v>9155</v>
      </c>
    </row>
    <row r="4406" spans="1:17" x14ac:dyDescent="0.3">
      <c r="A4406" t="s">
        <v>4729</v>
      </c>
      <c r="B4406" t="str">
        <f>"300609"</f>
        <v>300609</v>
      </c>
      <c r="C4406" t="s">
        <v>9156</v>
      </c>
      <c r="D4406" t="s">
        <v>316</v>
      </c>
      <c r="F4406">
        <v>1106646768</v>
      </c>
      <c r="G4406">
        <v>1120421316</v>
      </c>
      <c r="H4406">
        <v>589465562</v>
      </c>
      <c r="I4406">
        <v>526478717</v>
      </c>
      <c r="J4406">
        <v>472228716</v>
      </c>
      <c r="K4406">
        <v>255561076</v>
      </c>
      <c r="L4406">
        <v>207259712</v>
      </c>
      <c r="M4406">
        <v>170102315</v>
      </c>
      <c r="N4406">
        <v>137842034</v>
      </c>
      <c r="P4406">
        <v>155</v>
      </c>
      <c r="Q4406" t="s">
        <v>9157</v>
      </c>
    </row>
    <row r="4407" spans="1:17" x14ac:dyDescent="0.3">
      <c r="A4407" t="s">
        <v>4729</v>
      </c>
      <c r="B4407" t="str">
        <f>"300610"</f>
        <v>300610</v>
      </c>
      <c r="C4407" t="s">
        <v>9158</v>
      </c>
      <c r="D4407" t="s">
        <v>1192</v>
      </c>
      <c r="F4407">
        <v>1048094135</v>
      </c>
      <c r="G4407">
        <v>954132725</v>
      </c>
      <c r="H4407">
        <v>852002609</v>
      </c>
      <c r="I4407">
        <v>755340369</v>
      </c>
      <c r="J4407">
        <v>683797428</v>
      </c>
      <c r="K4407">
        <v>390675100</v>
      </c>
      <c r="L4407">
        <v>339451771</v>
      </c>
      <c r="M4407">
        <v>295788476</v>
      </c>
      <c r="N4407">
        <v>259236950</v>
      </c>
      <c r="P4407">
        <v>129</v>
      </c>
      <c r="Q4407" t="s">
        <v>9159</v>
      </c>
    </row>
    <row r="4408" spans="1:17" x14ac:dyDescent="0.3">
      <c r="A4408" t="s">
        <v>4729</v>
      </c>
      <c r="B4408" t="str">
        <f>"300611"</f>
        <v>300611</v>
      </c>
      <c r="C4408" t="s">
        <v>9160</v>
      </c>
      <c r="D4408" t="s">
        <v>348</v>
      </c>
      <c r="F4408">
        <v>698578541</v>
      </c>
      <c r="G4408">
        <v>653128921</v>
      </c>
      <c r="H4408">
        <v>620606030</v>
      </c>
      <c r="I4408">
        <v>662165098</v>
      </c>
      <c r="J4408">
        <v>675288691</v>
      </c>
      <c r="K4408">
        <v>424162734</v>
      </c>
      <c r="L4408">
        <v>369174676</v>
      </c>
      <c r="M4408">
        <v>231021822</v>
      </c>
      <c r="N4408">
        <v>143472665</v>
      </c>
      <c r="P4408">
        <v>97</v>
      </c>
      <c r="Q4408" t="s">
        <v>9161</v>
      </c>
    </row>
    <row r="4409" spans="1:17" x14ac:dyDescent="0.3">
      <c r="A4409" t="s">
        <v>4729</v>
      </c>
      <c r="B4409" t="str">
        <f>"300612"</f>
        <v>300612</v>
      </c>
      <c r="C4409" t="s">
        <v>9162</v>
      </c>
      <c r="D4409" t="s">
        <v>207</v>
      </c>
      <c r="F4409">
        <v>297568814</v>
      </c>
      <c r="G4409">
        <v>288518633</v>
      </c>
      <c r="H4409">
        <v>412950177</v>
      </c>
      <c r="I4409">
        <v>409334901</v>
      </c>
      <c r="J4409">
        <v>478900637</v>
      </c>
      <c r="K4409">
        <v>189293546</v>
      </c>
      <c r="L4409">
        <v>141056090</v>
      </c>
      <c r="M4409">
        <v>87616088</v>
      </c>
      <c r="N4409">
        <v>90240448</v>
      </c>
      <c r="P4409">
        <v>84</v>
      </c>
      <c r="Q4409" t="s">
        <v>9163</v>
      </c>
    </row>
    <row r="4410" spans="1:17" x14ac:dyDescent="0.3">
      <c r="A4410" t="s">
        <v>4729</v>
      </c>
      <c r="B4410" t="str">
        <f>"300613"</f>
        <v>300613</v>
      </c>
      <c r="C4410" t="s">
        <v>9164</v>
      </c>
      <c r="D4410" t="s">
        <v>461</v>
      </c>
      <c r="F4410">
        <v>1742995573</v>
      </c>
      <c r="G4410">
        <v>1335270822</v>
      </c>
      <c r="H4410">
        <v>1139628472</v>
      </c>
      <c r="I4410">
        <v>1031123835</v>
      </c>
      <c r="J4410">
        <v>944722920</v>
      </c>
      <c r="K4410">
        <v>272025625</v>
      </c>
      <c r="L4410">
        <v>152363502</v>
      </c>
      <c r="M4410">
        <v>107166300</v>
      </c>
      <c r="P4410">
        <v>355</v>
      </c>
      <c r="Q4410" t="s">
        <v>9165</v>
      </c>
    </row>
    <row r="4411" spans="1:17" x14ac:dyDescent="0.3">
      <c r="A4411" t="s">
        <v>4729</v>
      </c>
      <c r="B4411" t="str">
        <f>"300614"</f>
        <v>300614</v>
      </c>
      <c r="C4411" t="s">
        <v>9166</v>
      </c>
      <c r="D4411" t="s">
        <v>499</v>
      </c>
      <c r="F4411">
        <v>1469148079</v>
      </c>
      <c r="G4411">
        <v>1033937880</v>
      </c>
      <c r="H4411">
        <v>908969241</v>
      </c>
      <c r="I4411">
        <v>786979690</v>
      </c>
      <c r="J4411">
        <v>689639298</v>
      </c>
      <c r="K4411">
        <v>535498001</v>
      </c>
      <c r="P4411">
        <v>41</v>
      </c>
      <c r="Q4411" t="s">
        <v>9167</v>
      </c>
    </row>
    <row r="4412" spans="1:17" x14ac:dyDescent="0.3">
      <c r="A4412" t="s">
        <v>4729</v>
      </c>
      <c r="B4412" t="str">
        <f>"300615"</f>
        <v>300615</v>
      </c>
      <c r="C4412" t="s">
        <v>9168</v>
      </c>
      <c r="D4412" t="s">
        <v>786</v>
      </c>
      <c r="F4412">
        <v>485218698</v>
      </c>
      <c r="G4412">
        <v>478313509</v>
      </c>
      <c r="H4412">
        <v>476377249</v>
      </c>
      <c r="I4412">
        <v>468055885</v>
      </c>
      <c r="J4412">
        <v>452623744</v>
      </c>
      <c r="K4412">
        <v>209795821</v>
      </c>
      <c r="L4412">
        <v>176126329</v>
      </c>
      <c r="M4412">
        <v>162362828</v>
      </c>
      <c r="N4412">
        <v>127255589</v>
      </c>
      <c r="P4412">
        <v>156</v>
      </c>
      <c r="Q4412" t="s">
        <v>9169</v>
      </c>
    </row>
    <row r="4413" spans="1:17" x14ac:dyDescent="0.3">
      <c r="A4413" t="s">
        <v>4729</v>
      </c>
      <c r="B4413" t="str">
        <f>"300616"</f>
        <v>300616</v>
      </c>
      <c r="C4413" t="s">
        <v>9170</v>
      </c>
      <c r="D4413" t="s">
        <v>2664</v>
      </c>
      <c r="F4413">
        <v>3577829878</v>
      </c>
      <c r="G4413">
        <v>3505028519</v>
      </c>
      <c r="H4413">
        <v>3517026317</v>
      </c>
      <c r="I4413">
        <v>3046810489</v>
      </c>
      <c r="J4413">
        <v>2619490415</v>
      </c>
      <c r="K4413">
        <v>834341361</v>
      </c>
      <c r="L4413">
        <v>610830569</v>
      </c>
      <c r="M4413">
        <v>471296117</v>
      </c>
      <c r="P4413">
        <v>694</v>
      </c>
      <c r="Q4413" t="s">
        <v>9171</v>
      </c>
    </row>
    <row r="4414" spans="1:17" x14ac:dyDescent="0.3">
      <c r="A4414" t="s">
        <v>4729</v>
      </c>
      <c r="B4414" t="str">
        <f>"300617"</f>
        <v>300617</v>
      </c>
      <c r="C4414" t="s">
        <v>9172</v>
      </c>
      <c r="D4414" t="s">
        <v>1164</v>
      </c>
      <c r="F4414">
        <v>2575930600</v>
      </c>
      <c r="G4414">
        <v>924534604</v>
      </c>
      <c r="H4414">
        <v>825989994</v>
      </c>
      <c r="I4414">
        <v>854728506</v>
      </c>
      <c r="J4414">
        <v>812788220</v>
      </c>
      <c r="K4414">
        <v>392375657</v>
      </c>
      <c r="L4414">
        <v>319792055</v>
      </c>
      <c r="M4414">
        <v>256014646</v>
      </c>
      <c r="P4414">
        <v>148</v>
      </c>
      <c r="Q4414" t="s">
        <v>9173</v>
      </c>
    </row>
    <row r="4415" spans="1:17" x14ac:dyDescent="0.3">
      <c r="A4415" t="s">
        <v>4729</v>
      </c>
      <c r="B4415" t="str">
        <f>"300618"</f>
        <v>300618</v>
      </c>
      <c r="C4415" t="s">
        <v>9174</v>
      </c>
      <c r="D4415" t="s">
        <v>1440</v>
      </c>
      <c r="F4415">
        <v>4733019299</v>
      </c>
      <c r="G4415">
        <v>3761188769</v>
      </c>
      <c r="H4415">
        <v>1654526687</v>
      </c>
      <c r="I4415">
        <v>1775882658</v>
      </c>
      <c r="J4415">
        <v>1113782341</v>
      </c>
      <c r="K4415">
        <v>373726705</v>
      </c>
      <c r="L4415">
        <v>287627612</v>
      </c>
      <c r="M4415">
        <v>246147501</v>
      </c>
      <c r="P4415">
        <v>574</v>
      </c>
      <c r="Q4415" t="s">
        <v>9175</v>
      </c>
    </row>
    <row r="4416" spans="1:17" x14ac:dyDescent="0.3">
      <c r="A4416" t="s">
        <v>4729</v>
      </c>
      <c r="B4416" t="str">
        <f>"300619"</f>
        <v>300619</v>
      </c>
      <c r="C4416" t="s">
        <v>9176</v>
      </c>
      <c r="D4416" t="s">
        <v>3776</v>
      </c>
      <c r="F4416">
        <v>701674012</v>
      </c>
      <c r="G4416">
        <v>498631919</v>
      </c>
      <c r="H4416">
        <v>491260368</v>
      </c>
      <c r="I4416">
        <v>457243395</v>
      </c>
      <c r="J4416">
        <v>416725295</v>
      </c>
      <c r="K4416">
        <v>204883661</v>
      </c>
      <c r="L4416">
        <v>167027939</v>
      </c>
      <c r="M4416">
        <v>148880506</v>
      </c>
      <c r="P4416">
        <v>94</v>
      </c>
      <c r="Q4416" t="s">
        <v>9177</v>
      </c>
    </row>
    <row r="4417" spans="1:17" x14ac:dyDescent="0.3">
      <c r="A4417" t="s">
        <v>4729</v>
      </c>
      <c r="B4417" t="str">
        <f>"300620"</f>
        <v>300620</v>
      </c>
      <c r="C4417" t="s">
        <v>9178</v>
      </c>
      <c r="D4417" t="s">
        <v>1019</v>
      </c>
      <c r="F4417">
        <v>1533526786</v>
      </c>
      <c r="G4417">
        <v>1402929594</v>
      </c>
      <c r="H4417">
        <v>634757337</v>
      </c>
      <c r="I4417">
        <v>551468746</v>
      </c>
      <c r="J4417">
        <v>476429425</v>
      </c>
      <c r="K4417">
        <v>197153210</v>
      </c>
      <c r="L4417">
        <v>147144515</v>
      </c>
      <c r="M4417">
        <v>86773294</v>
      </c>
      <c r="P4417">
        <v>245</v>
      </c>
      <c r="Q4417" t="s">
        <v>9179</v>
      </c>
    </row>
    <row r="4418" spans="1:17" x14ac:dyDescent="0.3">
      <c r="A4418" t="s">
        <v>4729</v>
      </c>
      <c r="B4418" t="str">
        <f>"300621"</f>
        <v>300621</v>
      </c>
      <c r="C4418" t="s">
        <v>9180</v>
      </c>
      <c r="D4418" t="s">
        <v>450</v>
      </c>
      <c r="F4418">
        <v>854468446</v>
      </c>
      <c r="G4418">
        <v>1027034906</v>
      </c>
      <c r="H4418">
        <v>953131700</v>
      </c>
      <c r="I4418">
        <v>861632694</v>
      </c>
      <c r="J4418">
        <v>789541147</v>
      </c>
      <c r="K4418">
        <v>450063467</v>
      </c>
      <c r="L4418">
        <v>390731949</v>
      </c>
      <c r="M4418">
        <v>282234402</v>
      </c>
      <c r="P4418">
        <v>56</v>
      </c>
      <c r="Q4418" t="s">
        <v>9181</v>
      </c>
    </row>
    <row r="4419" spans="1:17" x14ac:dyDescent="0.3">
      <c r="A4419" t="s">
        <v>4729</v>
      </c>
      <c r="B4419" t="str">
        <f>"300622"</f>
        <v>300622</v>
      </c>
      <c r="C4419" t="s">
        <v>9182</v>
      </c>
      <c r="D4419" t="s">
        <v>295</v>
      </c>
      <c r="F4419">
        <v>657892248</v>
      </c>
      <c r="G4419">
        <v>608980686</v>
      </c>
      <c r="H4419">
        <v>567649172</v>
      </c>
      <c r="I4419">
        <v>503655568</v>
      </c>
      <c r="J4419">
        <v>453130020</v>
      </c>
      <c r="K4419">
        <v>245391848</v>
      </c>
      <c r="L4419">
        <v>233347122</v>
      </c>
      <c r="M4419">
        <v>238054515</v>
      </c>
      <c r="P4419">
        <v>123</v>
      </c>
      <c r="Q4419" t="s">
        <v>9183</v>
      </c>
    </row>
    <row r="4420" spans="1:17" x14ac:dyDescent="0.3">
      <c r="A4420" t="s">
        <v>4729</v>
      </c>
      <c r="B4420" t="str">
        <f>"300623"</f>
        <v>300623</v>
      </c>
      <c r="C4420" t="s">
        <v>9184</v>
      </c>
      <c r="D4420" t="s">
        <v>795</v>
      </c>
      <c r="F4420">
        <v>2961734914</v>
      </c>
      <c r="G4420">
        <v>2487905136</v>
      </c>
      <c r="H4420">
        <v>2245937202</v>
      </c>
      <c r="I4420">
        <v>1350276466</v>
      </c>
      <c r="J4420">
        <v>1220652716</v>
      </c>
      <c r="K4420">
        <v>499322625</v>
      </c>
      <c r="L4420">
        <v>417896193</v>
      </c>
      <c r="M4420">
        <v>372180397</v>
      </c>
      <c r="N4420">
        <v>329956024</v>
      </c>
      <c r="P4420">
        <v>664</v>
      </c>
      <c r="Q4420" t="s">
        <v>9185</v>
      </c>
    </row>
    <row r="4421" spans="1:17" x14ac:dyDescent="0.3">
      <c r="A4421" t="s">
        <v>4729</v>
      </c>
      <c r="B4421" t="str">
        <f>"300624"</f>
        <v>300624</v>
      </c>
      <c r="C4421" t="s">
        <v>9186</v>
      </c>
      <c r="D4421" t="s">
        <v>1189</v>
      </c>
      <c r="F4421">
        <v>856467783</v>
      </c>
      <c r="G4421">
        <v>852468729</v>
      </c>
      <c r="H4421">
        <v>731369915</v>
      </c>
      <c r="I4421">
        <v>632633969</v>
      </c>
      <c r="J4421">
        <v>272830449</v>
      </c>
      <c r="K4421">
        <v>240277464</v>
      </c>
      <c r="L4421">
        <v>200792144</v>
      </c>
      <c r="M4421">
        <v>166754240</v>
      </c>
      <c r="P4421">
        <v>332</v>
      </c>
      <c r="Q4421" t="s">
        <v>9187</v>
      </c>
    </row>
    <row r="4422" spans="1:17" x14ac:dyDescent="0.3">
      <c r="A4422" t="s">
        <v>4729</v>
      </c>
      <c r="B4422" t="str">
        <f>"300625"</f>
        <v>300625</v>
      </c>
      <c r="C4422" t="s">
        <v>9188</v>
      </c>
      <c r="D4422" t="s">
        <v>598</v>
      </c>
      <c r="F4422">
        <v>2229613392</v>
      </c>
      <c r="G4422">
        <v>2396659942</v>
      </c>
      <c r="H4422">
        <v>2244856337</v>
      </c>
      <c r="I4422">
        <v>2089600015</v>
      </c>
      <c r="J4422">
        <v>2259332620</v>
      </c>
      <c r="K4422">
        <v>733581006</v>
      </c>
      <c r="L4422">
        <v>707219413</v>
      </c>
      <c r="M4422">
        <v>435301883</v>
      </c>
      <c r="P4422">
        <v>137</v>
      </c>
      <c r="Q4422" t="s">
        <v>9189</v>
      </c>
    </row>
    <row r="4423" spans="1:17" x14ac:dyDescent="0.3">
      <c r="A4423" t="s">
        <v>4729</v>
      </c>
      <c r="B4423" t="str">
        <f>"300626"</f>
        <v>300626</v>
      </c>
      <c r="C4423" t="s">
        <v>9190</v>
      </c>
      <c r="D4423" t="s">
        <v>1171</v>
      </c>
      <c r="F4423">
        <v>593185557</v>
      </c>
      <c r="G4423">
        <v>551350043</v>
      </c>
      <c r="H4423">
        <v>543219348</v>
      </c>
      <c r="I4423">
        <v>519051457</v>
      </c>
      <c r="J4423">
        <v>484967329</v>
      </c>
      <c r="K4423">
        <v>273970454</v>
      </c>
      <c r="L4423">
        <v>234463579</v>
      </c>
      <c r="M4423">
        <v>211902383</v>
      </c>
      <c r="P4423">
        <v>55</v>
      </c>
      <c r="Q4423" t="s">
        <v>9191</v>
      </c>
    </row>
    <row r="4424" spans="1:17" x14ac:dyDescent="0.3">
      <c r="A4424" t="s">
        <v>4729</v>
      </c>
      <c r="B4424" t="str">
        <f>"300627"</f>
        <v>300627</v>
      </c>
      <c r="C4424" t="s">
        <v>9192</v>
      </c>
      <c r="D4424" t="s">
        <v>786</v>
      </c>
      <c r="F4424">
        <v>2189365512</v>
      </c>
      <c r="G4424">
        <v>1085390421</v>
      </c>
      <c r="H4424">
        <v>990677046</v>
      </c>
      <c r="I4424">
        <v>865020765</v>
      </c>
      <c r="J4424">
        <v>773302987</v>
      </c>
      <c r="K4424">
        <v>307336438</v>
      </c>
      <c r="L4424">
        <v>223125482</v>
      </c>
      <c r="M4424">
        <v>132539601</v>
      </c>
      <c r="P4424">
        <v>295</v>
      </c>
      <c r="Q4424" t="s">
        <v>9193</v>
      </c>
    </row>
    <row r="4425" spans="1:17" x14ac:dyDescent="0.3">
      <c r="A4425" t="s">
        <v>4729</v>
      </c>
      <c r="B4425" t="str">
        <f>"300628"</f>
        <v>300628</v>
      </c>
      <c r="C4425" t="s">
        <v>9194</v>
      </c>
      <c r="D4425" t="s">
        <v>786</v>
      </c>
      <c r="F4425">
        <v>6331636076</v>
      </c>
      <c r="G4425">
        <v>5203372292</v>
      </c>
      <c r="H4425">
        <v>4395874607</v>
      </c>
      <c r="I4425">
        <v>3499418945</v>
      </c>
      <c r="J4425">
        <v>2874055019</v>
      </c>
      <c r="K4425">
        <v>804506239</v>
      </c>
      <c r="L4425">
        <v>442158558</v>
      </c>
      <c r="M4425">
        <v>250499784</v>
      </c>
      <c r="P4425">
        <v>2264</v>
      </c>
      <c r="Q4425" t="s">
        <v>9195</v>
      </c>
    </row>
    <row r="4426" spans="1:17" x14ac:dyDescent="0.3">
      <c r="A4426" t="s">
        <v>4729</v>
      </c>
      <c r="B4426" t="str">
        <f>"300629"</f>
        <v>300629</v>
      </c>
      <c r="C4426" t="s">
        <v>9196</v>
      </c>
      <c r="D4426" t="s">
        <v>404</v>
      </c>
      <c r="F4426">
        <v>1099835389</v>
      </c>
      <c r="G4426">
        <v>872444999</v>
      </c>
      <c r="H4426">
        <v>642597078</v>
      </c>
      <c r="I4426">
        <v>351122269</v>
      </c>
      <c r="J4426">
        <v>349595038</v>
      </c>
      <c r="K4426">
        <v>211720146</v>
      </c>
      <c r="L4426">
        <v>184886636</v>
      </c>
      <c r="M4426">
        <v>164711234</v>
      </c>
      <c r="N4426">
        <v>145109087</v>
      </c>
      <c r="P4426">
        <v>65</v>
      </c>
      <c r="Q4426" t="s">
        <v>9197</v>
      </c>
    </row>
    <row r="4427" spans="1:17" x14ac:dyDescent="0.3">
      <c r="A4427" t="s">
        <v>4729</v>
      </c>
      <c r="B4427" t="str">
        <f>"300630"</f>
        <v>300630</v>
      </c>
      <c r="C4427" t="s">
        <v>9198</v>
      </c>
      <c r="D4427" t="s">
        <v>143</v>
      </c>
      <c r="F4427">
        <v>2401761291</v>
      </c>
      <c r="G4427">
        <v>2039151309</v>
      </c>
      <c r="H4427">
        <v>1145941429</v>
      </c>
      <c r="I4427">
        <v>883261451</v>
      </c>
      <c r="J4427">
        <v>721372961</v>
      </c>
      <c r="K4427">
        <v>307120802</v>
      </c>
      <c r="L4427">
        <v>255659898</v>
      </c>
      <c r="M4427">
        <v>221443853</v>
      </c>
      <c r="P4427">
        <v>1261</v>
      </c>
      <c r="Q4427" t="s">
        <v>9199</v>
      </c>
    </row>
    <row r="4428" spans="1:17" x14ac:dyDescent="0.3">
      <c r="A4428" t="s">
        <v>4729</v>
      </c>
      <c r="B4428" t="str">
        <f>"300631"</f>
        <v>300631</v>
      </c>
      <c r="C4428" t="s">
        <v>9200</v>
      </c>
      <c r="D4428" t="s">
        <v>1070</v>
      </c>
      <c r="F4428">
        <v>1079897413</v>
      </c>
      <c r="G4428">
        <v>819055139</v>
      </c>
      <c r="H4428">
        <v>685929389</v>
      </c>
      <c r="I4428">
        <v>623786054</v>
      </c>
      <c r="J4428">
        <v>580813691</v>
      </c>
      <c r="K4428">
        <v>392253349</v>
      </c>
      <c r="L4428">
        <v>353992690</v>
      </c>
      <c r="M4428">
        <v>308503555</v>
      </c>
      <c r="N4428">
        <v>253988007</v>
      </c>
      <c r="P4428">
        <v>135</v>
      </c>
      <c r="Q4428" t="s">
        <v>9201</v>
      </c>
    </row>
    <row r="4429" spans="1:17" x14ac:dyDescent="0.3">
      <c r="A4429" t="s">
        <v>4729</v>
      </c>
      <c r="B4429" t="str">
        <f>"300632"</f>
        <v>300632</v>
      </c>
      <c r="C4429" t="s">
        <v>9202</v>
      </c>
      <c r="D4429" t="s">
        <v>803</v>
      </c>
      <c r="F4429">
        <v>1963863658</v>
      </c>
      <c r="G4429">
        <v>1916149552</v>
      </c>
      <c r="H4429">
        <v>798794846</v>
      </c>
      <c r="I4429">
        <v>623499099</v>
      </c>
      <c r="J4429">
        <v>514236324</v>
      </c>
      <c r="K4429">
        <v>285174934</v>
      </c>
      <c r="L4429">
        <v>242124343</v>
      </c>
      <c r="M4429">
        <v>208039331</v>
      </c>
      <c r="P4429">
        <v>201</v>
      </c>
      <c r="Q4429" t="s">
        <v>9203</v>
      </c>
    </row>
    <row r="4430" spans="1:17" x14ac:dyDescent="0.3">
      <c r="A4430" t="s">
        <v>4729</v>
      </c>
      <c r="B4430" t="str">
        <f>"300633"</f>
        <v>300633</v>
      </c>
      <c r="C4430" t="s">
        <v>9204</v>
      </c>
      <c r="D4430" t="s">
        <v>122</v>
      </c>
      <c r="F4430">
        <v>2355181381</v>
      </c>
      <c r="G4430">
        <v>1344992826</v>
      </c>
      <c r="H4430">
        <v>1404264725</v>
      </c>
      <c r="I4430">
        <v>1310988426</v>
      </c>
      <c r="J4430">
        <v>1059385142</v>
      </c>
      <c r="K4430">
        <v>720114133</v>
      </c>
      <c r="L4430">
        <v>566206884</v>
      </c>
      <c r="M4430">
        <v>444813560</v>
      </c>
      <c r="N4430">
        <v>365081656</v>
      </c>
      <c r="P4430">
        <v>515</v>
      </c>
      <c r="Q4430" t="s">
        <v>9205</v>
      </c>
    </row>
    <row r="4431" spans="1:17" x14ac:dyDescent="0.3">
      <c r="A4431" t="s">
        <v>4729</v>
      </c>
      <c r="B4431" t="str">
        <f>"300634"</f>
        <v>300634</v>
      </c>
      <c r="C4431" t="s">
        <v>9206</v>
      </c>
      <c r="D4431" t="s">
        <v>316</v>
      </c>
      <c r="F4431">
        <v>2070528919</v>
      </c>
      <c r="G4431">
        <v>1459137639</v>
      </c>
      <c r="H4431">
        <v>1359077345</v>
      </c>
      <c r="I4431">
        <v>1244326305</v>
      </c>
      <c r="J4431">
        <v>844347625</v>
      </c>
      <c r="K4431">
        <v>712679276</v>
      </c>
      <c r="L4431">
        <v>641707648</v>
      </c>
      <c r="P4431">
        <v>159</v>
      </c>
      <c r="Q4431" t="s">
        <v>9207</v>
      </c>
    </row>
    <row r="4432" spans="1:17" x14ac:dyDescent="0.3">
      <c r="A4432" t="s">
        <v>4729</v>
      </c>
      <c r="B4432" t="str">
        <f>"300635"</f>
        <v>300635</v>
      </c>
      <c r="C4432" t="s">
        <v>9208</v>
      </c>
      <c r="D4432" t="s">
        <v>1272</v>
      </c>
      <c r="F4432">
        <v>665753067</v>
      </c>
      <c r="G4432">
        <v>632710052</v>
      </c>
      <c r="H4432">
        <v>649227266</v>
      </c>
      <c r="I4432">
        <v>647026309</v>
      </c>
      <c r="J4432">
        <v>596530554</v>
      </c>
      <c r="K4432">
        <v>344002861</v>
      </c>
      <c r="L4432">
        <v>293546202</v>
      </c>
      <c r="M4432">
        <v>217070960</v>
      </c>
      <c r="P4432">
        <v>113</v>
      </c>
      <c r="Q4432" t="s">
        <v>9209</v>
      </c>
    </row>
    <row r="4433" spans="1:17" x14ac:dyDescent="0.3">
      <c r="A4433" t="s">
        <v>4729</v>
      </c>
      <c r="B4433" t="str">
        <f>"300636"</f>
        <v>300636</v>
      </c>
      <c r="C4433" t="s">
        <v>9210</v>
      </c>
      <c r="D4433" t="s">
        <v>496</v>
      </c>
      <c r="F4433">
        <v>837284606</v>
      </c>
      <c r="G4433">
        <v>765431160</v>
      </c>
      <c r="H4433">
        <v>706308395</v>
      </c>
      <c r="I4433">
        <v>658159955</v>
      </c>
      <c r="J4433">
        <v>637101061</v>
      </c>
      <c r="K4433">
        <v>304655079</v>
      </c>
      <c r="L4433">
        <v>246658764</v>
      </c>
      <c r="M4433">
        <v>118024967</v>
      </c>
      <c r="P4433">
        <v>136</v>
      </c>
      <c r="Q4433" t="s">
        <v>9211</v>
      </c>
    </row>
    <row r="4434" spans="1:17" x14ac:dyDescent="0.3">
      <c r="A4434" t="s">
        <v>4729</v>
      </c>
      <c r="B4434" t="str">
        <f>"300637"</f>
        <v>300637</v>
      </c>
      <c r="C4434" t="s">
        <v>9212</v>
      </c>
      <c r="D4434" t="s">
        <v>2408</v>
      </c>
      <c r="F4434">
        <v>766074599</v>
      </c>
      <c r="G4434">
        <v>760292532</v>
      </c>
      <c r="H4434">
        <v>774355185</v>
      </c>
      <c r="I4434">
        <v>701592054</v>
      </c>
      <c r="J4434">
        <v>563513235</v>
      </c>
      <c r="K4434">
        <v>278705671</v>
      </c>
      <c r="L4434">
        <v>253292277</v>
      </c>
      <c r="M4434">
        <v>230248196</v>
      </c>
      <c r="P4434">
        <v>117</v>
      </c>
      <c r="Q4434" t="s">
        <v>9213</v>
      </c>
    </row>
    <row r="4435" spans="1:17" x14ac:dyDescent="0.3">
      <c r="A4435" t="s">
        <v>4729</v>
      </c>
      <c r="B4435" t="str">
        <f>"300638"</f>
        <v>300638</v>
      </c>
      <c r="C4435" t="s">
        <v>9214</v>
      </c>
      <c r="D4435" t="s">
        <v>786</v>
      </c>
      <c r="F4435">
        <v>1953087913</v>
      </c>
      <c r="G4435">
        <v>1562132866</v>
      </c>
      <c r="H4435">
        <v>1303332759</v>
      </c>
      <c r="I4435">
        <v>448360731</v>
      </c>
      <c r="J4435">
        <v>368364359</v>
      </c>
      <c r="K4435">
        <v>142694555</v>
      </c>
      <c r="L4435">
        <v>112005781</v>
      </c>
      <c r="M4435">
        <v>87717553</v>
      </c>
      <c r="P4435">
        <v>757</v>
      </c>
      <c r="Q4435" t="s">
        <v>9215</v>
      </c>
    </row>
    <row r="4436" spans="1:17" x14ac:dyDescent="0.3">
      <c r="A4436" t="s">
        <v>4729</v>
      </c>
      <c r="B4436" t="str">
        <f>"300639"</f>
        <v>300639</v>
      </c>
      <c r="C4436" t="s">
        <v>9216</v>
      </c>
      <c r="D4436" t="s">
        <v>1305</v>
      </c>
      <c r="F4436">
        <v>3194384558</v>
      </c>
      <c r="G4436">
        <v>2390534390</v>
      </c>
      <c r="H4436">
        <v>1081718095</v>
      </c>
      <c r="I4436">
        <v>967448858</v>
      </c>
      <c r="J4436">
        <v>960600385</v>
      </c>
      <c r="K4436">
        <v>489489313</v>
      </c>
      <c r="L4436">
        <v>412006786</v>
      </c>
      <c r="M4436">
        <v>344601610</v>
      </c>
      <c r="P4436">
        <v>535</v>
      </c>
      <c r="Q4436" t="s">
        <v>9217</v>
      </c>
    </row>
    <row r="4437" spans="1:17" x14ac:dyDescent="0.3">
      <c r="A4437" t="s">
        <v>4729</v>
      </c>
      <c r="B4437" t="str">
        <f>"300640"</f>
        <v>300640</v>
      </c>
      <c r="C4437" t="s">
        <v>9218</v>
      </c>
      <c r="D4437" t="s">
        <v>2445</v>
      </c>
      <c r="F4437">
        <v>675747472</v>
      </c>
      <c r="G4437">
        <v>340063889</v>
      </c>
      <c r="H4437">
        <v>333759340</v>
      </c>
      <c r="I4437">
        <v>305602170</v>
      </c>
      <c r="J4437">
        <v>284506379</v>
      </c>
      <c r="K4437">
        <v>115478277</v>
      </c>
      <c r="L4437">
        <v>98612647</v>
      </c>
      <c r="M4437">
        <v>86235956</v>
      </c>
      <c r="P4437">
        <v>79</v>
      </c>
      <c r="Q4437" t="s">
        <v>9219</v>
      </c>
    </row>
    <row r="4438" spans="1:17" x14ac:dyDescent="0.3">
      <c r="A4438" t="s">
        <v>4729</v>
      </c>
      <c r="B4438" t="str">
        <f>"300641"</f>
        <v>300641</v>
      </c>
      <c r="C4438" t="s">
        <v>9220</v>
      </c>
      <c r="D4438" t="s">
        <v>386</v>
      </c>
      <c r="F4438">
        <v>1456452207</v>
      </c>
      <c r="G4438">
        <v>1358917069</v>
      </c>
      <c r="H4438">
        <v>1325662610</v>
      </c>
      <c r="I4438">
        <v>1304885836</v>
      </c>
      <c r="J4438">
        <v>1310804465</v>
      </c>
      <c r="K4438">
        <v>542826853</v>
      </c>
      <c r="L4438">
        <v>408375561</v>
      </c>
      <c r="M4438">
        <v>341056621</v>
      </c>
      <c r="P4438">
        <v>79</v>
      </c>
      <c r="Q4438" t="s">
        <v>9221</v>
      </c>
    </row>
    <row r="4439" spans="1:17" x14ac:dyDescent="0.3">
      <c r="A4439" t="s">
        <v>4729</v>
      </c>
      <c r="B4439" t="str">
        <f>"300642"</f>
        <v>300642</v>
      </c>
      <c r="C4439" t="s">
        <v>9222</v>
      </c>
      <c r="D4439" t="s">
        <v>1305</v>
      </c>
      <c r="F4439">
        <v>1393830623</v>
      </c>
      <c r="G4439">
        <v>1266582028</v>
      </c>
      <c r="H4439">
        <v>1168649154</v>
      </c>
      <c r="I4439">
        <v>1024151748</v>
      </c>
      <c r="J4439">
        <v>895856396</v>
      </c>
      <c r="K4439">
        <v>288652498</v>
      </c>
      <c r="L4439">
        <v>192325172</v>
      </c>
      <c r="M4439">
        <v>131046618</v>
      </c>
      <c r="P4439">
        <v>417</v>
      </c>
      <c r="Q4439" t="s">
        <v>9223</v>
      </c>
    </row>
    <row r="4440" spans="1:17" x14ac:dyDescent="0.3">
      <c r="A4440" t="s">
        <v>4729</v>
      </c>
      <c r="B4440" t="str">
        <f>"300643"</f>
        <v>300643</v>
      </c>
      <c r="C4440" t="s">
        <v>9224</v>
      </c>
      <c r="D4440" t="s">
        <v>985</v>
      </c>
      <c r="F4440">
        <v>825211036</v>
      </c>
      <c r="G4440">
        <v>456883101</v>
      </c>
      <c r="H4440">
        <v>430832498</v>
      </c>
      <c r="I4440">
        <v>423249701</v>
      </c>
      <c r="J4440">
        <v>412726620</v>
      </c>
      <c r="K4440">
        <v>217019243</v>
      </c>
      <c r="L4440">
        <v>190000986</v>
      </c>
      <c r="M4440">
        <v>99783370</v>
      </c>
      <c r="P4440">
        <v>96</v>
      </c>
      <c r="Q4440" t="s">
        <v>9225</v>
      </c>
    </row>
    <row r="4441" spans="1:17" x14ac:dyDescent="0.3">
      <c r="A4441" t="s">
        <v>4729</v>
      </c>
      <c r="B4441" t="str">
        <f>"300644"</f>
        <v>300644</v>
      </c>
      <c r="C4441" t="s">
        <v>9226</v>
      </c>
      <c r="D4441" t="s">
        <v>341</v>
      </c>
      <c r="F4441">
        <v>745087767</v>
      </c>
      <c r="G4441">
        <v>721654265</v>
      </c>
      <c r="H4441">
        <v>693689364</v>
      </c>
      <c r="I4441">
        <v>680093775</v>
      </c>
      <c r="J4441">
        <v>423634226</v>
      </c>
      <c r="K4441">
        <v>396001133</v>
      </c>
      <c r="L4441">
        <v>278751321</v>
      </c>
      <c r="P4441">
        <v>133</v>
      </c>
      <c r="Q4441" t="s">
        <v>9227</v>
      </c>
    </row>
    <row r="4442" spans="1:17" x14ac:dyDescent="0.3">
      <c r="A4442" t="s">
        <v>4729</v>
      </c>
      <c r="B4442" t="str">
        <f>"300645"</f>
        <v>300645</v>
      </c>
      <c r="C4442" t="s">
        <v>9228</v>
      </c>
      <c r="D4442" t="s">
        <v>236</v>
      </c>
      <c r="F4442">
        <v>714704661</v>
      </c>
      <c r="G4442">
        <v>652484636</v>
      </c>
      <c r="H4442">
        <v>621759309</v>
      </c>
      <c r="I4442">
        <v>584691496</v>
      </c>
      <c r="J4442">
        <v>544406054</v>
      </c>
      <c r="K4442">
        <v>343136610</v>
      </c>
      <c r="L4442">
        <v>295787111</v>
      </c>
      <c r="M4442">
        <v>258560998</v>
      </c>
      <c r="P4442">
        <v>111</v>
      </c>
      <c r="Q4442" t="s">
        <v>9229</v>
      </c>
    </row>
    <row r="4443" spans="1:17" x14ac:dyDescent="0.3">
      <c r="A4443" t="s">
        <v>4729</v>
      </c>
      <c r="B4443" t="str">
        <f>"300646"</f>
        <v>300646</v>
      </c>
      <c r="C4443" t="s">
        <v>9230</v>
      </c>
      <c r="D4443" t="s">
        <v>386</v>
      </c>
      <c r="P4443">
        <v>14</v>
      </c>
      <c r="Q4443" t="s">
        <v>9231</v>
      </c>
    </row>
    <row r="4444" spans="1:17" x14ac:dyDescent="0.3">
      <c r="A4444" t="s">
        <v>4729</v>
      </c>
      <c r="B4444" t="str">
        <f>"300647"</f>
        <v>300647</v>
      </c>
      <c r="C4444" t="s">
        <v>9232</v>
      </c>
      <c r="D4444" t="s">
        <v>313</v>
      </c>
      <c r="F4444">
        <v>1013085984</v>
      </c>
      <c r="G4444">
        <v>648637023</v>
      </c>
      <c r="H4444">
        <v>618472907</v>
      </c>
      <c r="I4444">
        <v>577457201</v>
      </c>
      <c r="J4444">
        <v>507785990</v>
      </c>
      <c r="K4444">
        <v>268483071</v>
      </c>
      <c r="L4444">
        <v>215672996</v>
      </c>
      <c r="M4444">
        <v>167938535</v>
      </c>
      <c r="P4444">
        <v>116</v>
      </c>
      <c r="Q4444" t="s">
        <v>9233</v>
      </c>
    </row>
    <row r="4445" spans="1:17" x14ac:dyDescent="0.3">
      <c r="A4445" t="s">
        <v>4729</v>
      </c>
      <c r="B4445" t="str">
        <f>"300648"</f>
        <v>300648</v>
      </c>
      <c r="C4445" t="s">
        <v>9234</v>
      </c>
      <c r="D4445" t="s">
        <v>3776</v>
      </c>
      <c r="F4445">
        <v>1046080904</v>
      </c>
      <c r="G4445">
        <v>587538897</v>
      </c>
      <c r="H4445">
        <v>531896526</v>
      </c>
      <c r="I4445">
        <v>530379912</v>
      </c>
      <c r="J4445">
        <v>516634384</v>
      </c>
      <c r="K4445">
        <v>222466122</v>
      </c>
      <c r="L4445">
        <v>174735516</v>
      </c>
      <c r="M4445">
        <v>109941549</v>
      </c>
      <c r="P4445">
        <v>266</v>
      </c>
      <c r="Q4445" t="s">
        <v>9235</v>
      </c>
    </row>
    <row r="4446" spans="1:17" x14ac:dyDescent="0.3">
      <c r="A4446" t="s">
        <v>4729</v>
      </c>
      <c r="B4446" t="str">
        <f>"300649"</f>
        <v>300649</v>
      </c>
      <c r="C4446" t="s">
        <v>9236</v>
      </c>
      <c r="D4446" t="s">
        <v>2417</v>
      </c>
      <c r="F4446">
        <v>530924083</v>
      </c>
      <c r="G4446">
        <v>446767449</v>
      </c>
      <c r="H4446">
        <v>409903631</v>
      </c>
      <c r="I4446">
        <v>355997687</v>
      </c>
      <c r="J4446">
        <v>313916283</v>
      </c>
      <c r="K4446">
        <v>177356518</v>
      </c>
      <c r="L4446">
        <v>158436510</v>
      </c>
      <c r="M4446">
        <v>154924980</v>
      </c>
      <c r="P4446">
        <v>91</v>
      </c>
      <c r="Q4446" t="s">
        <v>9237</v>
      </c>
    </row>
    <row r="4447" spans="1:17" x14ac:dyDescent="0.3">
      <c r="A4447" t="s">
        <v>4729</v>
      </c>
      <c r="B4447" t="str">
        <f>"300650"</f>
        <v>300650</v>
      </c>
      <c r="C4447" t="s">
        <v>9238</v>
      </c>
      <c r="D4447" t="s">
        <v>803</v>
      </c>
      <c r="F4447">
        <v>1091417955</v>
      </c>
      <c r="G4447">
        <v>555071757</v>
      </c>
      <c r="H4447">
        <v>526542808</v>
      </c>
      <c r="I4447">
        <v>510167146</v>
      </c>
      <c r="J4447">
        <v>468597520</v>
      </c>
      <c r="K4447">
        <v>225467337</v>
      </c>
      <c r="L4447">
        <v>183893314</v>
      </c>
      <c r="M4447">
        <v>128251096</v>
      </c>
      <c r="P4447">
        <v>125</v>
      </c>
      <c r="Q4447" t="s">
        <v>9239</v>
      </c>
    </row>
    <row r="4448" spans="1:17" x14ac:dyDescent="0.3">
      <c r="A4448" t="s">
        <v>4729</v>
      </c>
      <c r="B4448" t="str">
        <f>"300651"</f>
        <v>300651</v>
      </c>
      <c r="C4448" t="s">
        <v>9240</v>
      </c>
      <c r="D4448" t="s">
        <v>327</v>
      </c>
      <c r="F4448">
        <v>703159136</v>
      </c>
      <c r="G4448">
        <v>686388684</v>
      </c>
      <c r="H4448">
        <v>669179265</v>
      </c>
      <c r="I4448">
        <v>647884170</v>
      </c>
      <c r="J4448">
        <v>612480036</v>
      </c>
      <c r="K4448">
        <v>346451947</v>
      </c>
      <c r="L4448">
        <v>311501051</v>
      </c>
      <c r="M4448">
        <v>267363237</v>
      </c>
      <c r="P4448">
        <v>99</v>
      </c>
      <c r="Q4448" t="s">
        <v>9241</v>
      </c>
    </row>
    <row r="4449" spans="1:17" x14ac:dyDescent="0.3">
      <c r="A4449" t="s">
        <v>4729</v>
      </c>
      <c r="B4449" t="str">
        <f>"300652"</f>
        <v>300652</v>
      </c>
      <c r="C4449" t="s">
        <v>9242</v>
      </c>
      <c r="D4449" t="s">
        <v>422</v>
      </c>
      <c r="F4449">
        <v>985970896</v>
      </c>
      <c r="G4449">
        <v>937013569</v>
      </c>
      <c r="H4449">
        <v>775589670</v>
      </c>
      <c r="I4449">
        <v>730286023</v>
      </c>
      <c r="J4449">
        <v>656189178</v>
      </c>
      <c r="K4449">
        <v>273379273</v>
      </c>
      <c r="L4449">
        <v>221488431</v>
      </c>
      <c r="M4449">
        <v>159457994</v>
      </c>
      <c r="P4449">
        <v>92</v>
      </c>
      <c r="Q4449" t="s">
        <v>9243</v>
      </c>
    </row>
    <row r="4450" spans="1:17" x14ac:dyDescent="0.3">
      <c r="A4450" t="s">
        <v>4729</v>
      </c>
      <c r="B4450" t="str">
        <f>"300653"</f>
        <v>300653</v>
      </c>
      <c r="C4450" t="s">
        <v>9244</v>
      </c>
      <c r="D4450" t="s">
        <v>1077</v>
      </c>
      <c r="F4450">
        <v>785270987</v>
      </c>
      <c r="G4450">
        <v>646718402</v>
      </c>
      <c r="H4450">
        <v>588384417</v>
      </c>
      <c r="I4450">
        <v>528998030</v>
      </c>
      <c r="J4450">
        <v>483182963</v>
      </c>
      <c r="K4450">
        <v>228160481</v>
      </c>
      <c r="L4450">
        <v>179402806</v>
      </c>
      <c r="M4450">
        <v>63623063</v>
      </c>
      <c r="P4450">
        <v>898</v>
      </c>
      <c r="Q4450" t="s">
        <v>9245</v>
      </c>
    </row>
    <row r="4451" spans="1:17" x14ac:dyDescent="0.3">
      <c r="A4451" t="s">
        <v>4729</v>
      </c>
      <c r="B4451" t="str">
        <f>"300654"</f>
        <v>300654</v>
      </c>
      <c r="C4451" t="s">
        <v>9246</v>
      </c>
      <c r="D4451" t="s">
        <v>1536</v>
      </c>
      <c r="F4451">
        <v>512462955</v>
      </c>
      <c r="G4451">
        <v>493292369</v>
      </c>
      <c r="H4451">
        <v>470525694</v>
      </c>
      <c r="I4451">
        <v>446717166</v>
      </c>
      <c r="J4451">
        <v>424973809</v>
      </c>
      <c r="K4451">
        <v>248496480</v>
      </c>
      <c r="L4451">
        <v>215992664</v>
      </c>
      <c r="M4451">
        <v>182056748</v>
      </c>
      <c r="P4451">
        <v>73</v>
      </c>
      <c r="Q4451" t="s">
        <v>9247</v>
      </c>
    </row>
    <row r="4452" spans="1:17" x14ac:dyDescent="0.3">
      <c r="A4452" t="s">
        <v>4729</v>
      </c>
      <c r="B4452" t="str">
        <f>"300655"</f>
        <v>300655</v>
      </c>
      <c r="C4452" t="s">
        <v>9248</v>
      </c>
      <c r="D4452" t="s">
        <v>2408</v>
      </c>
      <c r="F4452">
        <v>1498454190</v>
      </c>
      <c r="G4452">
        <v>1300868945</v>
      </c>
      <c r="H4452">
        <v>526646334</v>
      </c>
      <c r="I4452">
        <v>509131957</v>
      </c>
      <c r="J4452">
        <v>446029866</v>
      </c>
      <c r="K4452">
        <v>290410510</v>
      </c>
      <c r="L4452">
        <v>260112809</v>
      </c>
      <c r="M4452">
        <v>233251541</v>
      </c>
      <c r="P4452">
        <v>3076</v>
      </c>
      <c r="Q4452" t="s">
        <v>9249</v>
      </c>
    </row>
    <row r="4453" spans="1:17" x14ac:dyDescent="0.3">
      <c r="A4453" t="s">
        <v>4729</v>
      </c>
      <c r="B4453" t="str">
        <f>"300656"</f>
        <v>300656</v>
      </c>
      <c r="C4453" t="s">
        <v>9250</v>
      </c>
      <c r="D4453" t="s">
        <v>651</v>
      </c>
      <c r="F4453">
        <v>556235180</v>
      </c>
      <c r="G4453">
        <v>534678202</v>
      </c>
      <c r="H4453">
        <v>496748782</v>
      </c>
      <c r="I4453">
        <v>457609672</v>
      </c>
      <c r="J4453">
        <v>419249866</v>
      </c>
      <c r="K4453">
        <v>166439767</v>
      </c>
      <c r="L4453">
        <v>120120129</v>
      </c>
      <c r="M4453">
        <v>44301674</v>
      </c>
      <c r="P4453">
        <v>80</v>
      </c>
      <c r="Q4453" t="s">
        <v>9251</v>
      </c>
    </row>
    <row r="4454" spans="1:17" x14ac:dyDescent="0.3">
      <c r="A4454" t="s">
        <v>4729</v>
      </c>
      <c r="B4454" t="str">
        <f>"300657"</f>
        <v>300657</v>
      </c>
      <c r="C4454" t="s">
        <v>9252</v>
      </c>
      <c r="D4454" t="s">
        <v>425</v>
      </c>
      <c r="F4454">
        <v>1584806750</v>
      </c>
      <c r="G4454">
        <v>1471898750</v>
      </c>
      <c r="H4454">
        <v>1414329800</v>
      </c>
      <c r="I4454">
        <v>596510958</v>
      </c>
      <c r="J4454">
        <v>512849408</v>
      </c>
      <c r="K4454">
        <v>471023854</v>
      </c>
      <c r="L4454">
        <v>432675732</v>
      </c>
      <c r="M4454">
        <v>412676499</v>
      </c>
      <c r="P4454">
        <v>257</v>
      </c>
      <c r="Q4454" t="s">
        <v>9253</v>
      </c>
    </row>
    <row r="4455" spans="1:17" x14ac:dyDescent="0.3">
      <c r="A4455" t="s">
        <v>4729</v>
      </c>
      <c r="B4455" t="str">
        <f>"300658"</f>
        <v>300658</v>
      </c>
      <c r="C4455" t="s">
        <v>9254</v>
      </c>
      <c r="D4455" t="s">
        <v>2751</v>
      </c>
      <c r="F4455">
        <v>1010017457</v>
      </c>
      <c r="G4455">
        <v>1093590613</v>
      </c>
      <c r="H4455">
        <v>840521209</v>
      </c>
      <c r="I4455">
        <v>773303648</v>
      </c>
      <c r="J4455">
        <v>750625357</v>
      </c>
      <c r="K4455">
        <v>248315523</v>
      </c>
      <c r="L4455">
        <v>175630651</v>
      </c>
      <c r="M4455">
        <v>122106707</v>
      </c>
      <c r="P4455">
        <v>232</v>
      </c>
      <c r="Q4455" t="s">
        <v>9255</v>
      </c>
    </row>
    <row r="4456" spans="1:17" x14ac:dyDescent="0.3">
      <c r="A4456" t="s">
        <v>4729</v>
      </c>
      <c r="B4456" t="str">
        <f>"300659"</f>
        <v>300659</v>
      </c>
      <c r="C4456" t="s">
        <v>9256</v>
      </c>
      <c r="D4456" t="s">
        <v>236</v>
      </c>
      <c r="F4456">
        <v>1675645392</v>
      </c>
      <c r="G4456">
        <v>1537041811</v>
      </c>
      <c r="H4456">
        <v>575078796</v>
      </c>
      <c r="I4456">
        <v>451586027</v>
      </c>
      <c r="J4456">
        <v>410779749</v>
      </c>
      <c r="K4456">
        <v>156002591</v>
      </c>
      <c r="L4456">
        <v>145091884</v>
      </c>
      <c r="M4456">
        <v>101033587</v>
      </c>
      <c r="P4456">
        <v>272</v>
      </c>
      <c r="Q4456" t="s">
        <v>9257</v>
      </c>
    </row>
    <row r="4457" spans="1:17" x14ac:dyDescent="0.3">
      <c r="A4457" t="s">
        <v>4729</v>
      </c>
      <c r="B4457" t="str">
        <f>"300660"</f>
        <v>300660</v>
      </c>
      <c r="C4457" t="s">
        <v>9258</v>
      </c>
      <c r="D4457" t="s">
        <v>1171</v>
      </c>
      <c r="F4457">
        <v>2710992375</v>
      </c>
      <c r="G4457">
        <v>2524961794</v>
      </c>
      <c r="H4457">
        <v>2317958840</v>
      </c>
      <c r="I4457">
        <v>2121905890</v>
      </c>
      <c r="J4457">
        <v>1990706023</v>
      </c>
      <c r="K4457">
        <v>702144526</v>
      </c>
      <c r="L4457">
        <v>516763449</v>
      </c>
      <c r="M4457">
        <v>422835349</v>
      </c>
      <c r="P4457">
        <v>108</v>
      </c>
      <c r="Q4457" t="s">
        <v>9259</v>
      </c>
    </row>
    <row r="4458" spans="1:17" x14ac:dyDescent="0.3">
      <c r="A4458" t="s">
        <v>4729</v>
      </c>
      <c r="B4458" t="str">
        <f>"300661"</f>
        <v>300661</v>
      </c>
      <c r="C4458" t="s">
        <v>9260</v>
      </c>
      <c r="D4458" t="s">
        <v>401</v>
      </c>
      <c r="F4458">
        <v>2405775210</v>
      </c>
      <c r="G4458">
        <v>1494332284</v>
      </c>
      <c r="H4458">
        <v>1115438995</v>
      </c>
      <c r="I4458">
        <v>876490657</v>
      </c>
      <c r="J4458">
        <v>761303038</v>
      </c>
      <c r="K4458">
        <v>262659758</v>
      </c>
      <c r="L4458">
        <v>220100286</v>
      </c>
      <c r="M4458">
        <v>184392637</v>
      </c>
      <c r="P4458">
        <v>1054</v>
      </c>
      <c r="Q4458" t="s">
        <v>9261</v>
      </c>
    </row>
    <row r="4459" spans="1:17" x14ac:dyDescent="0.3">
      <c r="A4459" t="s">
        <v>4729</v>
      </c>
      <c r="B4459" t="str">
        <f>"300662"</f>
        <v>300662</v>
      </c>
      <c r="C4459" t="s">
        <v>9262</v>
      </c>
      <c r="D4459" t="s">
        <v>9263</v>
      </c>
      <c r="F4459">
        <v>2050730110</v>
      </c>
      <c r="G4459">
        <v>1038342488</v>
      </c>
      <c r="H4459">
        <v>861320814</v>
      </c>
      <c r="I4459">
        <v>728015342</v>
      </c>
      <c r="J4459">
        <v>624828249</v>
      </c>
      <c r="K4459">
        <v>293215608</v>
      </c>
      <c r="L4459">
        <v>250866851</v>
      </c>
      <c r="M4459">
        <v>186369003</v>
      </c>
      <c r="P4459">
        <v>688</v>
      </c>
      <c r="Q4459" t="s">
        <v>9264</v>
      </c>
    </row>
    <row r="4460" spans="1:17" x14ac:dyDescent="0.3">
      <c r="A4460" t="s">
        <v>4729</v>
      </c>
      <c r="B4460" t="str">
        <f>"300663"</f>
        <v>300663</v>
      </c>
      <c r="C4460" t="s">
        <v>9265</v>
      </c>
      <c r="D4460" t="s">
        <v>945</v>
      </c>
      <c r="F4460">
        <v>1120728940</v>
      </c>
      <c r="G4460">
        <v>1095158667</v>
      </c>
      <c r="H4460">
        <v>750499576</v>
      </c>
      <c r="I4460">
        <v>721015684</v>
      </c>
      <c r="J4460">
        <v>678188834</v>
      </c>
      <c r="K4460">
        <v>433567391</v>
      </c>
      <c r="L4460">
        <v>390799290</v>
      </c>
      <c r="M4460">
        <v>355520059</v>
      </c>
      <c r="P4460">
        <v>261</v>
      </c>
      <c r="Q4460" t="s">
        <v>9266</v>
      </c>
    </row>
    <row r="4461" spans="1:17" x14ac:dyDescent="0.3">
      <c r="A4461" t="s">
        <v>4729</v>
      </c>
      <c r="B4461" t="str">
        <f>"300664"</f>
        <v>300664</v>
      </c>
      <c r="C4461" t="s">
        <v>9267</v>
      </c>
      <c r="D4461" t="s">
        <v>33</v>
      </c>
      <c r="F4461">
        <v>3789456072</v>
      </c>
      <c r="G4461">
        <v>3516149914</v>
      </c>
      <c r="H4461">
        <v>3321100282</v>
      </c>
      <c r="I4461">
        <v>3024586135</v>
      </c>
      <c r="J4461">
        <v>2223064831</v>
      </c>
      <c r="K4461">
        <v>2003742759</v>
      </c>
      <c r="L4461">
        <v>1740883138</v>
      </c>
      <c r="M4461">
        <v>1565405635</v>
      </c>
      <c r="P4461">
        <v>118</v>
      </c>
      <c r="Q4461" t="s">
        <v>9268</v>
      </c>
    </row>
    <row r="4462" spans="1:17" x14ac:dyDescent="0.3">
      <c r="A4462" t="s">
        <v>4729</v>
      </c>
      <c r="B4462" t="str">
        <f>"300665"</f>
        <v>300665</v>
      </c>
      <c r="C4462" t="s">
        <v>9269</v>
      </c>
      <c r="D4462" t="s">
        <v>2585</v>
      </c>
      <c r="F4462">
        <v>513489713</v>
      </c>
      <c r="G4462">
        <v>482825187</v>
      </c>
      <c r="H4462">
        <v>452728892</v>
      </c>
      <c r="I4462">
        <v>457548039</v>
      </c>
      <c r="J4462">
        <v>438090517</v>
      </c>
      <c r="K4462">
        <v>247030538</v>
      </c>
      <c r="L4462">
        <v>218175243</v>
      </c>
      <c r="M4462">
        <v>172915539</v>
      </c>
      <c r="P4462">
        <v>109</v>
      </c>
      <c r="Q4462" t="s">
        <v>9270</v>
      </c>
    </row>
    <row r="4463" spans="1:17" x14ac:dyDescent="0.3">
      <c r="A4463" t="s">
        <v>4729</v>
      </c>
      <c r="B4463" t="str">
        <f>"300666"</f>
        <v>300666</v>
      </c>
      <c r="C4463" t="s">
        <v>9271</v>
      </c>
      <c r="D4463" t="s">
        <v>475</v>
      </c>
      <c r="F4463">
        <v>1310915557</v>
      </c>
      <c r="G4463">
        <v>1077110177</v>
      </c>
      <c r="H4463">
        <v>682626410</v>
      </c>
      <c r="I4463">
        <v>613456738</v>
      </c>
      <c r="J4463">
        <v>564989048</v>
      </c>
      <c r="K4463">
        <v>289704894</v>
      </c>
      <c r="L4463">
        <v>234599815</v>
      </c>
      <c r="M4463">
        <v>210750584</v>
      </c>
      <c r="P4463">
        <v>519</v>
      </c>
      <c r="Q4463" t="s">
        <v>9272</v>
      </c>
    </row>
    <row r="4464" spans="1:17" x14ac:dyDescent="0.3">
      <c r="A4464" t="s">
        <v>4729</v>
      </c>
      <c r="B4464" t="str">
        <f>"300667"</f>
        <v>300667</v>
      </c>
      <c r="C4464" t="s">
        <v>9273</v>
      </c>
      <c r="D4464" t="s">
        <v>2566</v>
      </c>
      <c r="F4464">
        <v>1244427769</v>
      </c>
      <c r="G4464">
        <v>1140810851</v>
      </c>
      <c r="H4464">
        <v>843141463</v>
      </c>
      <c r="I4464">
        <v>400472773</v>
      </c>
      <c r="J4464">
        <v>359267517</v>
      </c>
      <c r="K4464">
        <v>161621773</v>
      </c>
      <c r="L4464">
        <v>129361365</v>
      </c>
      <c r="M4464">
        <v>105106739</v>
      </c>
      <c r="P4464">
        <v>144</v>
      </c>
      <c r="Q4464" t="s">
        <v>9274</v>
      </c>
    </row>
    <row r="4465" spans="1:17" x14ac:dyDescent="0.3">
      <c r="A4465" t="s">
        <v>4729</v>
      </c>
      <c r="B4465" t="str">
        <f>"300668"</f>
        <v>300668</v>
      </c>
      <c r="C4465" t="s">
        <v>9275</v>
      </c>
      <c r="D4465" t="s">
        <v>1272</v>
      </c>
      <c r="F4465">
        <v>453907526</v>
      </c>
      <c r="G4465">
        <v>463175203</v>
      </c>
      <c r="H4465">
        <v>494514874</v>
      </c>
      <c r="I4465">
        <v>408299170</v>
      </c>
      <c r="J4465">
        <v>383772570</v>
      </c>
      <c r="K4465">
        <v>130544636</v>
      </c>
      <c r="L4465">
        <v>89405982</v>
      </c>
      <c r="M4465">
        <v>53303032</v>
      </c>
      <c r="P4465">
        <v>207</v>
      </c>
      <c r="Q4465" t="s">
        <v>9276</v>
      </c>
    </row>
    <row r="4466" spans="1:17" x14ac:dyDescent="0.3">
      <c r="A4466" t="s">
        <v>4729</v>
      </c>
      <c r="B4466" t="str">
        <f>"300669"</f>
        <v>300669</v>
      </c>
      <c r="C4466" t="s">
        <v>9277</v>
      </c>
      <c r="D4466" t="s">
        <v>1691</v>
      </c>
      <c r="F4466">
        <v>837313497</v>
      </c>
      <c r="G4466">
        <v>561783018</v>
      </c>
      <c r="H4466">
        <v>512306485</v>
      </c>
      <c r="I4466">
        <v>465670989</v>
      </c>
      <c r="J4466">
        <v>442888405</v>
      </c>
      <c r="K4466">
        <v>221352945</v>
      </c>
      <c r="L4466">
        <v>177779436</v>
      </c>
      <c r="M4466">
        <v>100917457</v>
      </c>
      <c r="P4466">
        <v>102</v>
      </c>
      <c r="Q4466" t="s">
        <v>9278</v>
      </c>
    </row>
    <row r="4467" spans="1:17" x14ac:dyDescent="0.3">
      <c r="A4467" t="s">
        <v>4729</v>
      </c>
      <c r="B4467" t="str">
        <f>"300670"</f>
        <v>300670</v>
      </c>
      <c r="C4467" t="s">
        <v>9279</v>
      </c>
      <c r="D4467" t="s">
        <v>657</v>
      </c>
      <c r="F4467">
        <v>958236226</v>
      </c>
      <c r="G4467">
        <v>926255148</v>
      </c>
      <c r="H4467">
        <v>862756331</v>
      </c>
      <c r="I4467">
        <v>587776409</v>
      </c>
      <c r="J4467">
        <v>573580255</v>
      </c>
      <c r="K4467">
        <v>247476335</v>
      </c>
      <c r="L4467">
        <v>193081896</v>
      </c>
      <c r="M4467">
        <v>110935740</v>
      </c>
      <c r="P4467">
        <v>67</v>
      </c>
      <c r="Q4467" t="s">
        <v>9280</v>
      </c>
    </row>
    <row r="4468" spans="1:17" x14ac:dyDescent="0.3">
      <c r="A4468" t="s">
        <v>4729</v>
      </c>
      <c r="B4468" t="str">
        <f>"300671"</f>
        <v>300671</v>
      </c>
      <c r="C4468" t="s">
        <v>9281</v>
      </c>
      <c r="D4468" t="s">
        <v>401</v>
      </c>
      <c r="F4468">
        <v>2385004683</v>
      </c>
      <c r="G4468">
        <v>1036381066</v>
      </c>
      <c r="H4468">
        <v>592096996</v>
      </c>
      <c r="I4468">
        <v>554994162</v>
      </c>
      <c r="J4468">
        <v>500013045</v>
      </c>
      <c r="K4468">
        <v>269080025</v>
      </c>
      <c r="L4468">
        <v>229905976</v>
      </c>
      <c r="M4468">
        <v>201184359</v>
      </c>
      <c r="P4468">
        <v>301</v>
      </c>
      <c r="Q4468" t="s">
        <v>9282</v>
      </c>
    </row>
    <row r="4469" spans="1:17" x14ac:dyDescent="0.3">
      <c r="A4469" t="s">
        <v>4729</v>
      </c>
      <c r="B4469" t="str">
        <f>"300672"</f>
        <v>300672</v>
      </c>
      <c r="C4469" t="s">
        <v>9283</v>
      </c>
      <c r="D4469" t="s">
        <v>461</v>
      </c>
      <c r="F4469">
        <v>1518143658</v>
      </c>
      <c r="G4469">
        <v>1257014692</v>
      </c>
      <c r="H4469">
        <v>1143130329</v>
      </c>
      <c r="I4469">
        <v>1025550543</v>
      </c>
      <c r="J4469">
        <v>968073845</v>
      </c>
      <c r="K4469">
        <v>711269748</v>
      </c>
      <c r="L4469">
        <v>649928900</v>
      </c>
      <c r="M4469">
        <v>161126672</v>
      </c>
      <c r="P4469">
        <v>305</v>
      </c>
      <c r="Q4469" t="s">
        <v>9284</v>
      </c>
    </row>
    <row r="4470" spans="1:17" x14ac:dyDescent="0.3">
      <c r="A4470" t="s">
        <v>4729</v>
      </c>
      <c r="B4470" t="str">
        <f>"300673"</f>
        <v>300673</v>
      </c>
      <c r="C4470" t="s">
        <v>9285</v>
      </c>
      <c r="D4470" t="s">
        <v>7554</v>
      </c>
      <c r="F4470">
        <v>1653965960</v>
      </c>
      <c r="G4470">
        <v>1615283634</v>
      </c>
      <c r="H4470">
        <v>1026103809</v>
      </c>
      <c r="I4470">
        <v>970035640</v>
      </c>
      <c r="J4470">
        <v>850207874</v>
      </c>
      <c r="K4470">
        <v>390078361</v>
      </c>
      <c r="L4470">
        <v>336925146</v>
      </c>
      <c r="M4470">
        <v>272800274</v>
      </c>
      <c r="P4470">
        <v>512</v>
      </c>
      <c r="Q4470" t="s">
        <v>9286</v>
      </c>
    </row>
    <row r="4471" spans="1:17" x14ac:dyDescent="0.3">
      <c r="A4471" t="s">
        <v>4729</v>
      </c>
      <c r="B4471" t="str">
        <f>"300674"</f>
        <v>300674</v>
      </c>
      <c r="C4471" t="s">
        <v>9287</v>
      </c>
      <c r="D4471" t="s">
        <v>316</v>
      </c>
      <c r="F4471">
        <v>2748081147</v>
      </c>
      <c r="G4471">
        <v>2324035133</v>
      </c>
      <c r="H4471">
        <v>1846220094</v>
      </c>
      <c r="I4471">
        <v>1664287965</v>
      </c>
      <c r="J4471">
        <v>1180157444</v>
      </c>
      <c r="K4471">
        <v>993135178</v>
      </c>
      <c r="L4471">
        <v>793414236</v>
      </c>
      <c r="P4471">
        <v>348</v>
      </c>
      <c r="Q4471" t="s">
        <v>9288</v>
      </c>
    </row>
    <row r="4472" spans="1:17" x14ac:dyDescent="0.3">
      <c r="A4472" t="s">
        <v>4729</v>
      </c>
      <c r="B4472" t="str">
        <f>"300675"</f>
        <v>300675</v>
      </c>
      <c r="C4472" t="s">
        <v>9289</v>
      </c>
      <c r="D4472" t="s">
        <v>1272</v>
      </c>
      <c r="F4472">
        <v>534848700</v>
      </c>
      <c r="G4472">
        <v>503541913</v>
      </c>
      <c r="H4472">
        <v>469624579</v>
      </c>
      <c r="I4472">
        <v>443270305</v>
      </c>
      <c r="J4472">
        <v>418172867</v>
      </c>
      <c r="K4472">
        <v>285320793</v>
      </c>
      <c r="L4472">
        <v>260821155</v>
      </c>
      <c r="M4472">
        <v>244200168</v>
      </c>
      <c r="P4472">
        <v>85</v>
      </c>
      <c r="Q4472" t="s">
        <v>9290</v>
      </c>
    </row>
    <row r="4473" spans="1:17" x14ac:dyDescent="0.3">
      <c r="A4473" t="s">
        <v>4729</v>
      </c>
      <c r="B4473" t="str">
        <f>"300676"</f>
        <v>300676</v>
      </c>
      <c r="C4473" t="s">
        <v>9291</v>
      </c>
      <c r="D4473" t="s">
        <v>1305</v>
      </c>
      <c r="F4473">
        <v>9318407626</v>
      </c>
      <c r="G4473">
        <v>5910105054</v>
      </c>
      <c r="H4473">
        <v>4314048690</v>
      </c>
      <c r="I4473">
        <v>4164959595</v>
      </c>
      <c r="J4473">
        <v>4148624623</v>
      </c>
      <c r="K4473">
        <v>3359761999</v>
      </c>
      <c r="L4473">
        <v>3095017773</v>
      </c>
      <c r="M4473">
        <v>1185946474</v>
      </c>
      <c r="P4473">
        <v>1481</v>
      </c>
      <c r="Q4473" t="s">
        <v>9292</v>
      </c>
    </row>
    <row r="4474" spans="1:17" x14ac:dyDescent="0.3">
      <c r="A4474" t="s">
        <v>4729</v>
      </c>
      <c r="B4474" t="str">
        <f>"300677"</f>
        <v>300677</v>
      </c>
      <c r="C4474" t="s">
        <v>9293</v>
      </c>
      <c r="D4474" t="s">
        <v>1077</v>
      </c>
      <c r="F4474">
        <v>15870963084</v>
      </c>
      <c r="G4474">
        <v>9333091690</v>
      </c>
      <c r="H4474">
        <v>1436212781</v>
      </c>
      <c r="I4474">
        <v>1273080261</v>
      </c>
      <c r="J4474">
        <v>1087510461</v>
      </c>
      <c r="K4474">
        <v>502404486</v>
      </c>
      <c r="L4474">
        <v>415190932</v>
      </c>
      <c r="M4474">
        <v>168375767</v>
      </c>
      <c r="P4474">
        <v>1821</v>
      </c>
      <c r="Q4474" t="s">
        <v>9294</v>
      </c>
    </row>
    <row r="4475" spans="1:17" x14ac:dyDescent="0.3">
      <c r="A4475" t="s">
        <v>4729</v>
      </c>
      <c r="B4475" t="str">
        <f>"300678"</f>
        <v>300678</v>
      </c>
      <c r="C4475" t="s">
        <v>9295</v>
      </c>
      <c r="D4475" t="s">
        <v>316</v>
      </c>
      <c r="F4475">
        <v>633686515</v>
      </c>
      <c r="G4475">
        <v>616495153</v>
      </c>
      <c r="H4475">
        <v>592935136</v>
      </c>
      <c r="I4475">
        <v>566646168</v>
      </c>
      <c r="J4475">
        <v>524838969</v>
      </c>
      <c r="K4475">
        <v>334127638</v>
      </c>
      <c r="L4475">
        <v>304641629</v>
      </c>
      <c r="M4475">
        <v>269961358</v>
      </c>
      <c r="P4475">
        <v>105</v>
      </c>
      <c r="Q4475" t="s">
        <v>9296</v>
      </c>
    </row>
    <row r="4476" spans="1:17" x14ac:dyDescent="0.3">
      <c r="A4476" t="s">
        <v>4729</v>
      </c>
      <c r="B4476" t="str">
        <f>"300679"</f>
        <v>300679</v>
      </c>
      <c r="C4476" t="s">
        <v>9297</v>
      </c>
      <c r="D4476" t="s">
        <v>313</v>
      </c>
      <c r="F4476">
        <v>3865921474</v>
      </c>
      <c r="G4476">
        <v>3573782986</v>
      </c>
      <c r="H4476">
        <v>3447268701</v>
      </c>
      <c r="I4476">
        <v>3347492356</v>
      </c>
      <c r="J4476">
        <v>3107606426</v>
      </c>
      <c r="K4476">
        <v>1006807532</v>
      </c>
      <c r="L4476">
        <v>716174244</v>
      </c>
      <c r="M4476">
        <v>501545310</v>
      </c>
      <c r="P4476">
        <v>334</v>
      </c>
      <c r="Q4476" t="s">
        <v>9298</v>
      </c>
    </row>
    <row r="4477" spans="1:17" x14ac:dyDescent="0.3">
      <c r="A4477" t="s">
        <v>4729</v>
      </c>
      <c r="B4477" t="str">
        <f>"300680"</f>
        <v>300680</v>
      </c>
      <c r="C4477" t="s">
        <v>9299</v>
      </c>
      <c r="D4477" t="s">
        <v>348</v>
      </c>
      <c r="F4477">
        <v>899680549</v>
      </c>
      <c r="G4477">
        <v>816416718</v>
      </c>
      <c r="H4477">
        <v>547186289</v>
      </c>
      <c r="I4477">
        <v>524605198</v>
      </c>
      <c r="J4477">
        <v>339411065</v>
      </c>
      <c r="K4477">
        <v>201081867</v>
      </c>
      <c r="L4477">
        <v>178767934</v>
      </c>
      <c r="M4477">
        <v>161253666</v>
      </c>
      <c r="P4477">
        <v>114</v>
      </c>
      <c r="Q4477" t="s">
        <v>9300</v>
      </c>
    </row>
    <row r="4478" spans="1:17" x14ac:dyDescent="0.3">
      <c r="A4478" t="s">
        <v>4729</v>
      </c>
      <c r="B4478" t="str">
        <f>"300681"</f>
        <v>300681</v>
      </c>
      <c r="C4478" t="s">
        <v>9301</v>
      </c>
      <c r="D4478" t="s">
        <v>1415</v>
      </c>
      <c r="F4478">
        <v>678222523</v>
      </c>
      <c r="G4478">
        <v>578598352</v>
      </c>
      <c r="H4478">
        <v>563477294</v>
      </c>
      <c r="I4478">
        <v>650379812</v>
      </c>
      <c r="J4478">
        <v>642663748</v>
      </c>
      <c r="K4478">
        <v>266951556</v>
      </c>
      <c r="L4478">
        <v>201576376</v>
      </c>
      <c r="M4478">
        <v>24572252</v>
      </c>
      <c r="P4478">
        <v>89</v>
      </c>
      <c r="Q4478" t="s">
        <v>9302</v>
      </c>
    </row>
    <row r="4479" spans="1:17" x14ac:dyDescent="0.3">
      <c r="A4479" t="s">
        <v>4729</v>
      </c>
      <c r="B4479" t="str">
        <f>"300682"</f>
        <v>300682</v>
      </c>
      <c r="C4479" t="s">
        <v>9303</v>
      </c>
      <c r="D4479" t="s">
        <v>316</v>
      </c>
      <c r="F4479">
        <v>6313842244</v>
      </c>
      <c r="G4479">
        <v>5412773611</v>
      </c>
      <c r="H4479">
        <v>4639018773</v>
      </c>
      <c r="I4479">
        <v>1360337298</v>
      </c>
      <c r="J4479">
        <v>1158277487</v>
      </c>
      <c r="K4479">
        <v>809604902</v>
      </c>
      <c r="L4479">
        <v>713974708</v>
      </c>
      <c r="M4479">
        <v>695778844</v>
      </c>
      <c r="P4479">
        <v>254</v>
      </c>
      <c r="Q4479" t="s">
        <v>9304</v>
      </c>
    </row>
    <row r="4480" spans="1:17" x14ac:dyDescent="0.3">
      <c r="A4480" t="s">
        <v>4729</v>
      </c>
      <c r="B4480" t="str">
        <f>"300683"</f>
        <v>300683</v>
      </c>
      <c r="C4480" t="s">
        <v>9305</v>
      </c>
      <c r="D4480" t="s">
        <v>1379</v>
      </c>
      <c r="F4480">
        <v>2324400644</v>
      </c>
      <c r="G4480">
        <v>1708652007</v>
      </c>
      <c r="H4480">
        <v>1752293191</v>
      </c>
      <c r="I4480">
        <v>1699551639</v>
      </c>
      <c r="J4480">
        <v>1636420406</v>
      </c>
      <c r="K4480">
        <v>696824130</v>
      </c>
      <c r="L4480">
        <v>596039245</v>
      </c>
      <c r="M4480">
        <v>534555324</v>
      </c>
      <c r="P4480">
        <v>123</v>
      </c>
      <c r="Q4480" t="s">
        <v>9306</v>
      </c>
    </row>
    <row r="4481" spans="1:17" x14ac:dyDescent="0.3">
      <c r="A4481" t="s">
        <v>4729</v>
      </c>
      <c r="B4481" t="str">
        <f>"300684"</f>
        <v>300684</v>
      </c>
      <c r="C4481" t="s">
        <v>9307</v>
      </c>
      <c r="D4481" t="s">
        <v>313</v>
      </c>
      <c r="F4481">
        <v>1650577471</v>
      </c>
      <c r="G4481">
        <v>1691829385</v>
      </c>
      <c r="H4481">
        <v>781079513</v>
      </c>
      <c r="I4481">
        <v>679282464</v>
      </c>
      <c r="J4481">
        <v>554100415</v>
      </c>
      <c r="K4481">
        <v>331666006</v>
      </c>
      <c r="L4481">
        <v>300852380</v>
      </c>
      <c r="M4481">
        <v>292007476</v>
      </c>
      <c r="P4481">
        <v>348</v>
      </c>
      <c r="Q4481" t="s">
        <v>9308</v>
      </c>
    </row>
    <row r="4482" spans="1:17" x14ac:dyDescent="0.3">
      <c r="A4482" t="s">
        <v>4729</v>
      </c>
      <c r="B4482" t="str">
        <f>"300685"</f>
        <v>300685</v>
      </c>
      <c r="C4482" t="s">
        <v>9309</v>
      </c>
      <c r="D4482" t="s">
        <v>1305</v>
      </c>
      <c r="F4482">
        <v>1364580688</v>
      </c>
      <c r="G4482">
        <v>1128491766</v>
      </c>
      <c r="H4482">
        <v>902105138</v>
      </c>
      <c r="I4482">
        <v>756739591</v>
      </c>
      <c r="J4482">
        <v>649201676</v>
      </c>
      <c r="K4482">
        <v>307905911</v>
      </c>
      <c r="L4482">
        <v>240871962</v>
      </c>
      <c r="M4482">
        <v>87537900</v>
      </c>
      <c r="P4482">
        <v>974</v>
      </c>
      <c r="Q4482" t="s">
        <v>9310</v>
      </c>
    </row>
    <row r="4483" spans="1:17" x14ac:dyDescent="0.3">
      <c r="A4483" t="s">
        <v>4729</v>
      </c>
      <c r="B4483" t="str">
        <f>"300686"</f>
        <v>300686</v>
      </c>
      <c r="C4483" t="s">
        <v>9311</v>
      </c>
      <c r="D4483" t="s">
        <v>313</v>
      </c>
      <c r="F4483">
        <v>1728212905</v>
      </c>
      <c r="G4483">
        <v>1912156396</v>
      </c>
      <c r="H4483">
        <v>757005078</v>
      </c>
      <c r="I4483">
        <v>621293049</v>
      </c>
      <c r="J4483">
        <v>617708343</v>
      </c>
      <c r="K4483">
        <v>333911360</v>
      </c>
      <c r="L4483">
        <v>278555537</v>
      </c>
      <c r="M4483">
        <v>230550648</v>
      </c>
      <c r="P4483">
        <v>192</v>
      </c>
      <c r="Q4483" t="s">
        <v>9312</v>
      </c>
    </row>
    <row r="4484" spans="1:17" x14ac:dyDescent="0.3">
      <c r="A4484" t="s">
        <v>4729</v>
      </c>
      <c r="B4484" t="str">
        <f>"300687"</f>
        <v>300687</v>
      </c>
      <c r="C4484" t="s">
        <v>9313</v>
      </c>
      <c r="D4484" t="s">
        <v>316</v>
      </c>
      <c r="F4484">
        <v>2181482613</v>
      </c>
      <c r="G4484">
        <v>966700059</v>
      </c>
      <c r="H4484">
        <v>837694309</v>
      </c>
      <c r="I4484">
        <v>862870740</v>
      </c>
      <c r="J4484">
        <v>764490921</v>
      </c>
      <c r="K4484">
        <v>265853438</v>
      </c>
      <c r="L4484">
        <v>183853905</v>
      </c>
      <c r="M4484">
        <v>90028570</v>
      </c>
      <c r="P4484">
        <v>266</v>
      </c>
      <c r="Q4484" t="s">
        <v>9314</v>
      </c>
    </row>
    <row r="4485" spans="1:17" x14ac:dyDescent="0.3">
      <c r="A4485" t="s">
        <v>4729</v>
      </c>
      <c r="B4485" t="str">
        <f>"300688"</f>
        <v>300688</v>
      </c>
      <c r="C4485" t="s">
        <v>9315</v>
      </c>
      <c r="D4485" t="s">
        <v>1336</v>
      </c>
      <c r="F4485">
        <v>594557011</v>
      </c>
      <c r="G4485">
        <v>375241488</v>
      </c>
      <c r="H4485">
        <v>376223048</v>
      </c>
      <c r="I4485">
        <v>382947621</v>
      </c>
      <c r="J4485">
        <v>376302848</v>
      </c>
      <c r="K4485">
        <v>176226641</v>
      </c>
      <c r="L4485">
        <v>134577121</v>
      </c>
      <c r="M4485">
        <v>42189313</v>
      </c>
      <c r="P4485">
        <v>83</v>
      </c>
      <c r="Q4485" t="s">
        <v>9316</v>
      </c>
    </row>
    <row r="4486" spans="1:17" x14ac:dyDescent="0.3">
      <c r="A4486" t="s">
        <v>4729</v>
      </c>
      <c r="B4486" t="str">
        <f>"300689"</f>
        <v>300689</v>
      </c>
      <c r="C4486" t="s">
        <v>9317</v>
      </c>
      <c r="D4486" t="s">
        <v>786</v>
      </c>
      <c r="F4486">
        <v>633344331</v>
      </c>
      <c r="G4486">
        <v>614290683</v>
      </c>
      <c r="H4486">
        <v>601228422</v>
      </c>
      <c r="I4486">
        <v>571927620</v>
      </c>
      <c r="J4486">
        <v>534679392</v>
      </c>
      <c r="K4486">
        <v>268129211</v>
      </c>
      <c r="L4486">
        <v>221760186</v>
      </c>
      <c r="M4486">
        <v>194123920</v>
      </c>
      <c r="P4486">
        <v>76</v>
      </c>
      <c r="Q4486" t="s">
        <v>9318</v>
      </c>
    </row>
    <row r="4487" spans="1:17" x14ac:dyDescent="0.3">
      <c r="A4487" t="s">
        <v>4729</v>
      </c>
      <c r="B4487" t="str">
        <f>"300690"</f>
        <v>300690</v>
      </c>
      <c r="C4487" t="s">
        <v>9319</v>
      </c>
      <c r="D4487" t="s">
        <v>950</v>
      </c>
      <c r="F4487">
        <v>1327525227</v>
      </c>
      <c r="G4487">
        <v>1284487321</v>
      </c>
      <c r="H4487">
        <v>1028229334</v>
      </c>
      <c r="I4487">
        <v>913870901</v>
      </c>
      <c r="J4487">
        <v>932683938</v>
      </c>
      <c r="K4487">
        <v>391083438</v>
      </c>
      <c r="L4487">
        <v>325116935</v>
      </c>
      <c r="M4487">
        <v>240880845</v>
      </c>
      <c r="P4487">
        <v>214</v>
      </c>
      <c r="Q4487" t="s">
        <v>9320</v>
      </c>
    </row>
    <row r="4488" spans="1:17" x14ac:dyDescent="0.3">
      <c r="A4488" t="s">
        <v>4729</v>
      </c>
      <c r="B4488" t="str">
        <f>"300691"</f>
        <v>300691</v>
      </c>
      <c r="C4488" t="s">
        <v>9321</v>
      </c>
      <c r="D4488" t="s">
        <v>2980</v>
      </c>
      <c r="F4488">
        <v>1528955681</v>
      </c>
      <c r="G4488">
        <v>950083455</v>
      </c>
      <c r="H4488">
        <v>904491254</v>
      </c>
      <c r="I4488">
        <v>844085447</v>
      </c>
      <c r="J4488">
        <v>771628775</v>
      </c>
      <c r="K4488">
        <v>388805675</v>
      </c>
      <c r="L4488">
        <v>313732446</v>
      </c>
      <c r="M4488">
        <v>216670388</v>
      </c>
      <c r="P4488">
        <v>186</v>
      </c>
      <c r="Q4488" t="s">
        <v>9322</v>
      </c>
    </row>
    <row r="4489" spans="1:17" x14ac:dyDescent="0.3">
      <c r="A4489" t="s">
        <v>4729</v>
      </c>
      <c r="B4489" t="str">
        <f>"300692"</f>
        <v>300692</v>
      </c>
      <c r="C4489" t="s">
        <v>9323</v>
      </c>
      <c r="D4489" t="s">
        <v>33</v>
      </c>
      <c r="F4489">
        <v>1994431967</v>
      </c>
      <c r="G4489">
        <v>1813245872</v>
      </c>
      <c r="H4489">
        <v>890805755</v>
      </c>
      <c r="I4489">
        <v>752580748</v>
      </c>
      <c r="J4489">
        <v>697469526</v>
      </c>
      <c r="K4489">
        <v>446712425</v>
      </c>
      <c r="L4489">
        <v>400524578</v>
      </c>
      <c r="M4489">
        <v>160706377</v>
      </c>
      <c r="P4489">
        <v>162</v>
      </c>
      <c r="Q4489" t="s">
        <v>9324</v>
      </c>
    </row>
    <row r="4490" spans="1:17" x14ac:dyDescent="0.3">
      <c r="A4490" t="s">
        <v>4729</v>
      </c>
      <c r="B4490" t="str">
        <f>"300693"</f>
        <v>300693</v>
      </c>
      <c r="C4490" t="s">
        <v>9325</v>
      </c>
      <c r="D4490" t="s">
        <v>880</v>
      </c>
      <c r="F4490">
        <v>846329139</v>
      </c>
      <c r="G4490">
        <v>754782192</v>
      </c>
      <c r="H4490">
        <v>662184582</v>
      </c>
      <c r="I4490">
        <v>609794642</v>
      </c>
      <c r="J4490">
        <v>584786010</v>
      </c>
      <c r="K4490">
        <v>251957198</v>
      </c>
      <c r="L4490">
        <v>184523109</v>
      </c>
      <c r="M4490">
        <v>96850362</v>
      </c>
      <c r="P4490">
        <v>214</v>
      </c>
      <c r="Q4490" t="s">
        <v>9326</v>
      </c>
    </row>
    <row r="4491" spans="1:17" x14ac:dyDescent="0.3">
      <c r="A4491" t="s">
        <v>4729</v>
      </c>
      <c r="B4491" t="str">
        <f>"300694"</f>
        <v>300694</v>
      </c>
      <c r="C4491" t="s">
        <v>9327</v>
      </c>
      <c r="D4491" t="s">
        <v>348</v>
      </c>
      <c r="F4491">
        <v>1216022391</v>
      </c>
      <c r="G4491">
        <v>1248533056</v>
      </c>
      <c r="H4491">
        <v>1219942669</v>
      </c>
      <c r="I4491">
        <v>1126726094</v>
      </c>
      <c r="J4491">
        <v>603440551</v>
      </c>
      <c r="K4491">
        <v>505441813</v>
      </c>
      <c r="L4491">
        <v>415894263</v>
      </c>
      <c r="P4491">
        <v>74</v>
      </c>
      <c r="Q4491" t="s">
        <v>9328</v>
      </c>
    </row>
    <row r="4492" spans="1:17" x14ac:dyDescent="0.3">
      <c r="A4492" t="s">
        <v>4729</v>
      </c>
      <c r="B4492" t="str">
        <f>"300695"</f>
        <v>300695</v>
      </c>
      <c r="C4492" t="s">
        <v>9329</v>
      </c>
      <c r="D4492" t="s">
        <v>422</v>
      </c>
      <c r="F4492">
        <v>1959828363</v>
      </c>
      <c r="G4492">
        <v>1833701949</v>
      </c>
      <c r="H4492">
        <v>1873885492</v>
      </c>
      <c r="I4492">
        <v>1723924912</v>
      </c>
      <c r="J4492">
        <v>1628000505</v>
      </c>
      <c r="K4492">
        <v>465429827</v>
      </c>
      <c r="L4492">
        <v>416762059</v>
      </c>
      <c r="M4492">
        <v>456932321</v>
      </c>
      <c r="P4492">
        <v>125</v>
      </c>
      <c r="Q4492" t="s">
        <v>9330</v>
      </c>
    </row>
    <row r="4493" spans="1:17" x14ac:dyDescent="0.3">
      <c r="A4493" t="s">
        <v>4729</v>
      </c>
      <c r="B4493" t="str">
        <f>"300696"</f>
        <v>300696</v>
      </c>
      <c r="C4493" t="s">
        <v>9331</v>
      </c>
      <c r="D4493" t="s">
        <v>98</v>
      </c>
      <c r="F4493">
        <v>1703305887</v>
      </c>
      <c r="G4493">
        <v>961430062</v>
      </c>
      <c r="H4493">
        <v>844088262</v>
      </c>
      <c r="I4493">
        <v>748728046</v>
      </c>
      <c r="J4493">
        <v>698614813</v>
      </c>
      <c r="K4493">
        <v>285854083</v>
      </c>
      <c r="L4493">
        <v>231244925</v>
      </c>
      <c r="M4493">
        <v>159789961</v>
      </c>
      <c r="P4493">
        <v>222</v>
      </c>
      <c r="Q4493" t="s">
        <v>9332</v>
      </c>
    </row>
    <row r="4494" spans="1:17" x14ac:dyDescent="0.3">
      <c r="A4494" t="s">
        <v>4729</v>
      </c>
      <c r="B4494" t="str">
        <f>"300697"</f>
        <v>300697</v>
      </c>
      <c r="C4494" t="s">
        <v>9333</v>
      </c>
      <c r="D4494" t="s">
        <v>263</v>
      </c>
      <c r="F4494">
        <v>917231730</v>
      </c>
      <c r="G4494">
        <v>897843728</v>
      </c>
      <c r="H4494">
        <v>842024738</v>
      </c>
      <c r="I4494">
        <v>751996938</v>
      </c>
      <c r="J4494">
        <v>711080064</v>
      </c>
      <c r="K4494">
        <v>393195619</v>
      </c>
      <c r="L4494">
        <v>294904342</v>
      </c>
      <c r="M4494">
        <v>230243864</v>
      </c>
      <c r="P4494">
        <v>77</v>
      </c>
      <c r="Q4494" t="s">
        <v>9334</v>
      </c>
    </row>
    <row r="4495" spans="1:17" x14ac:dyDescent="0.3">
      <c r="A4495" t="s">
        <v>4729</v>
      </c>
      <c r="B4495" t="str">
        <f>"300698"</f>
        <v>300698</v>
      </c>
      <c r="C4495" t="s">
        <v>9335</v>
      </c>
      <c r="D4495" t="s">
        <v>1019</v>
      </c>
      <c r="F4495">
        <v>378624555</v>
      </c>
      <c r="G4495">
        <v>374564886</v>
      </c>
      <c r="H4495">
        <v>384549221</v>
      </c>
      <c r="I4495">
        <v>380605751</v>
      </c>
      <c r="J4495">
        <v>379525282</v>
      </c>
      <c r="K4495">
        <v>183702592</v>
      </c>
      <c r="L4495">
        <v>146786888</v>
      </c>
      <c r="M4495">
        <v>92344654</v>
      </c>
      <c r="P4495">
        <v>121</v>
      </c>
      <c r="Q4495" t="s">
        <v>9336</v>
      </c>
    </row>
    <row r="4496" spans="1:17" x14ac:dyDescent="0.3">
      <c r="A4496" t="s">
        <v>4729</v>
      </c>
      <c r="B4496" t="str">
        <f>"300699"</f>
        <v>300699</v>
      </c>
      <c r="C4496" t="s">
        <v>9337</v>
      </c>
      <c r="D4496" t="s">
        <v>98</v>
      </c>
      <c r="F4496">
        <v>4146384357</v>
      </c>
      <c r="G4496">
        <v>3636188707</v>
      </c>
      <c r="H4496">
        <v>3245487222</v>
      </c>
      <c r="I4496">
        <v>2862585743</v>
      </c>
      <c r="J4496">
        <v>2592450789</v>
      </c>
      <c r="K4496">
        <v>1412327381</v>
      </c>
      <c r="L4496">
        <v>1212987316</v>
      </c>
      <c r="M4496">
        <v>1036594097</v>
      </c>
      <c r="P4496">
        <v>914</v>
      </c>
      <c r="Q4496" t="s">
        <v>9338</v>
      </c>
    </row>
    <row r="4497" spans="1:17" x14ac:dyDescent="0.3">
      <c r="A4497" t="s">
        <v>4729</v>
      </c>
      <c r="B4497" t="str">
        <f>"300700"</f>
        <v>300700</v>
      </c>
      <c r="C4497" t="s">
        <v>9339</v>
      </c>
      <c r="D4497" t="s">
        <v>404</v>
      </c>
      <c r="F4497">
        <v>412648475</v>
      </c>
      <c r="G4497">
        <v>490691648</v>
      </c>
      <c r="H4497">
        <v>489054106</v>
      </c>
      <c r="I4497">
        <v>542584787</v>
      </c>
      <c r="J4497">
        <v>533295356</v>
      </c>
      <c r="K4497">
        <v>235300308</v>
      </c>
      <c r="L4497">
        <v>196000433</v>
      </c>
      <c r="M4497">
        <v>166675421</v>
      </c>
      <c r="P4497">
        <v>140</v>
      </c>
      <c r="Q4497" t="s">
        <v>9340</v>
      </c>
    </row>
    <row r="4498" spans="1:17" x14ac:dyDescent="0.3">
      <c r="A4498" t="s">
        <v>4729</v>
      </c>
      <c r="B4498" t="str">
        <f>"300701"</f>
        <v>300701</v>
      </c>
      <c r="C4498" t="s">
        <v>9341</v>
      </c>
      <c r="D4498" t="s">
        <v>164</v>
      </c>
      <c r="F4498">
        <v>743562203</v>
      </c>
      <c r="G4498">
        <v>678009954</v>
      </c>
      <c r="H4498">
        <v>541707112</v>
      </c>
      <c r="I4498">
        <v>477367782</v>
      </c>
      <c r="J4498">
        <v>437047098</v>
      </c>
      <c r="K4498">
        <v>170828143</v>
      </c>
      <c r="L4498">
        <v>143427991</v>
      </c>
      <c r="M4498">
        <v>126762403</v>
      </c>
      <c r="P4498">
        <v>746</v>
      </c>
      <c r="Q4498" t="s">
        <v>9342</v>
      </c>
    </row>
    <row r="4499" spans="1:17" x14ac:dyDescent="0.3">
      <c r="A4499" t="s">
        <v>4729</v>
      </c>
      <c r="B4499" t="str">
        <f>"300702"</f>
        <v>300702</v>
      </c>
      <c r="C4499" t="s">
        <v>9343</v>
      </c>
      <c r="D4499" t="s">
        <v>496</v>
      </c>
      <c r="F4499">
        <v>3709213350</v>
      </c>
      <c r="G4499">
        <v>2652680096</v>
      </c>
      <c r="H4499">
        <v>2037135649</v>
      </c>
      <c r="I4499">
        <v>1446459954</v>
      </c>
      <c r="J4499">
        <v>1287660339</v>
      </c>
      <c r="K4499">
        <v>607309491</v>
      </c>
      <c r="L4499">
        <v>495771801</v>
      </c>
      <c r="M4499">
        <v>456216986</v>
      </c>
      <c r="P4499">
        <v>411</v>
      </c>
      <c r="Q4499" t="s">
        <v>9344</v>
      </c>
    </row>
    <row r="4500" spans="1:17" x14ac:dyDescent="0.3">
      <c r="A4500" t="s">
        <v>4729</v>
      </c>
      <c r="B4500" t="str">
        <f>"300703"</f>
        <v>300703</v>
      </c>
      <c r="C4500" t="s">
        <v>9345</v>
      </c>
      <c r="D4500" t="s">
        <v>3410</v>
      </c>
      <c r="F4500">
        <v>690291665</v>
      </c>
      <c r="G4500">
        <v>710342832</v>
      </c>
      <c r="H4500">
        <v>716667355</v>
      </c>
      <c r="I4500">
        <v>638547077</v>
      </c>
      <c r="J4500">
        <v>583293081</v>
      </c>
      <c r="K4500">
        <v>188458638</v>
      </c>
      <c r="L4500">
        <v>130573198</v>
      </c>
      <c r="M4500">
        <v>109121706</v>
      </c>
      <c r="P4500">
        <v>109</v>
      </c>
      <c r="Q4500" t="s">
        <v>9346</v>
      </c>
    </row>
    <row r="4501" spans="1:17" x14ac:dyDescent="0.3">
      <c r="A4501" t="s">
        <v>4729</v>
      </c>
      <c r="B4501" t="str">
        <f>"300705"</f>
        <v>300705</v>
      </c>
      <c r="C4501" t="s">
        <v>9347</v>
      </c>
      <c r="D4501" t="s">
        <v>143</v>
      </c>
      <c r="F4501">
        <v>1030031056</v>
      </c>
      <c r="G4501">
        <v>835682214</v>
      </c>
      <c r="H4501">
        <v>761870926</v>
      </c>
      <c r="I4501">
        <v>718159434</v>
      </c>
      <c r="J4501">
        <v>660255213</v>
      </c>
      <c r="K4501">
        <v>323428125</v>
      </c>
      <c r="L4501">
        <v>254508844</v>
      </c>
      <c r="M4501">
        <v>209866058</v>
      </c>
      <c r="P4501">
        <v>167</v>
      </c>
      <c r="Q4501" t="s">
        <v>9348</v>
      </c>
    </row>
    <row r="4502" spans="1:17" x14ac:dyDescent="0.3">
      <c r="A4502" t="s">
        <v>4729</v>
      </c>
      <c r="B4502" t="str">
        <f>"300706"</f>
        <v>300706</v>
      </c>
      <c r="C4502" t="s">
        <v>9349</v>
      </c>
      <c r="D4502" t="s">
        <v>475</v>
      </c>
      <c r="F4502">
        <v>744083391</v>
      </c>
      <c r="G4502">
        <v>442941371</v>
      </c>
      <c r="H4502">
        <v>441806931</v>
      </c>
      <c r="I4502">
        <v>431219364</v>
      </c>
      <c r="J4502">
        <v>407851211</v>
      </c>
      <c r="K4502">
        <v>202753746</v>
      </c>
      <c r="L4502">
        <v>166728200</v>
      </c>
      <c r="M4502">
        <v>80562544</v>
      </c>
      <c r="P4502">
        <v>178</v>
      </c>
      <c r="Q4502" t="s">
        <v>9350</v>
      </c>
    </row>
    <row r="4503" spans="1:17" x14ac:dyDescent="0.3">
      <c r="A4503" t="s">
        <v>4729</v>
      </c>
      <c r="B4503" t="str">
        <f>"300707"</f>
        <v>300707</v>
      </c>
      <c r="C4503" t="s">
        <v>9351</v>
      </c>
      <c r="D4503" t="s">
        <v>985</v>
      </c>
      <c r="F4503">
        <v>725555580</v>
      </c>
      <c r="G4503">
        <v>677306144</v>
      </c>
      <c r="H4503">
        <v>648881551</v>
      </c>
      <c r="I4503">
        <v>636612612</v>
      </c>
      <c r="J4503">
        <v>580393038</v>
      </c>
      <c r="K4503">
        <v>247466147</v>
      </c>
      <c r="L4503">
        <v>164308514</v>
      </c>
      <c r="M4503">
        <v>96488976</v>
      </c>
      <c r="P4503">
        <v>140</v>
      </c>
      <c r="Q4503" t="s">
        <v>9352</v>
      </c>
    </row>
    <row r="4504" spans="1:17" x14ac:dyDescent="0.3">
      <c r="A4504" t="s">
        <v>4729</v>
      </c>
      <c r="B4504" t="str">
        <f>"300708"</f>
        <v>300708</v>
      </c>
      <c r="C4504" t="s">
        <v>9353</v>
      </c>
      <c r="D4504" t="s">
        <v>803</v>
      </c>
      <c r="F4504">
        <v>1652060002</v>
      </c>
      <c r="G4504">
        <v>765536803</v>
      </c>
      <c r="H4504">
        <v>730006011</v>
      </c>
      <c r="I4504">
        <v>730492333</v>
      </c>
      <c r="J4504">
        <v>713335691</v>
      </c>
      <c r="K4504">
        <v>469444638</v>
      </c>
      <c r="L4504">
        <v>416556187</v>
      </c>
      <c r="M4504">
        <v>313699872</v>
      </c>
      <c r="P4504">
        <v>164</v>
      </c>
      <c r="Q4504" t="s">
        <v>9354</v>
      </c>
    </row>
    <row r="4505" spans="1:17" x14ac:dyDescent="0.3">
      <c r="A4505" t="s">
        <v>4729</v>
      </c>
      <c r="B4505" t="str">
        <f>"300709"</f>
        <v>300709</v>
      </c>
      <c r="C4505" t="s">
        <v>9355</v>
      </c>
      <c r="D4505" t="s">
        <v>313</v>
      </c>
      <c r="F4505">
        <v>2337276614</v>
      </c>
      <c r="G4505">
        <v>1561609317</v>
      </c>
      <c r="H4505">
        <v>1430689070</v>
      </c>
      <c r="I4505">
        <v>1264433929</v>
      </c>
      <c r="J4505">
        <v>1270820161</v>
      </c>
      <c r="K4505">
        <v>400613406</v>
      </c>
      <c r="L4505">
        <v>259206145</v>
      </c>
      <c r="M4505">
        <v>137621522</v>
      </c>
      <c r="P4505">
        <v>220</v>
      </c>
      <c r="Q4505" t="s">
        <v>9356</v>
      </c>
    </row>
    <row r="4506" spans="1:17" x14ac:dyDescent="0.3">
      <c r="A4506" t="s">
        <v>4729</v>
      </c>
      <c r="B4506" t="str">
        <f>"300710"</f>
        <v>300710</v>
      </c>
      <c r="C4506" t="s">
        <v>9357</v>
      </c>
      <c r="D4506" t="s">
        <v>1019</v>
      </c>
      <c r="F4506">
        <v>671366083</v>
      </c>
      <c r="G4506">
        <v>643909946</v>
      </c>
      <c r="H4506">
        <v>586244743</v>
      </c>
      <c r="I4506">
        <v>576774500</v>
      </c>
      <c r="J4506">
        <v>576054280</v>
      </c>
      <c r="K4506">
        <v>295170536</v>
      </c>
      <c r="L4506">
        <v>250167452</v>
      </c>
      <c r="M4506">
        <v>230762460</v>
      </c>
      <c r="P4506">
        <v>107</v>
      </c>
      <c r="Q4506" t="s">
        <v>9358</v>
      </c>
    </row>
    <row r="4507" spans="1:17" x14ac:dyDescent="0.3">
      <c r="A4507" t="s">
        <v>4729</v>
      </c>
      <c r="B4507" t="str">
        <f>"300711"</f>
        <v>300711</v>
      </c>
      <c r="C4507" t="s">
        <v>9359</v>
      </c>
      <c r="D4507" t="s">
        <v>595</v>
      </c>
      <c r="F4507">
        <v>634798096</v>
      </c>
      <c r="G4507">
        <v>598977531</v>
      </c>
      <c r="H4507">
        <v>572999435</v>
      </c>
      <c r="I4507">
        <v>559438072</v>
      </c>
      <c r="J4507">
        <v>555354233</v>
      </c>
      <c r="K4507">
        <v>259986239</v>
      </c>
      <c r="L4507">
        <v>206293855</v>
      </c>
      <c r="M4507">
        <v>164460796</v>
      </c>
      <c r="P4507">
        <v>130</v>
      </c>
      <c r="Q4507" t="s">
        <v>9360</v>
      </c>
    </row>
    <row r="4508" spans="1:17" x14ac:dyDescent="0.3">
      <c r="A4508" t="s">
        <v>4729</v>
      </c>
      <c r="B4508" t="str">
        <f>"300712"</f>
        <v>300712</v>
      </c>
      <c r="C4508" t="s">
        <v>9361</v>
      </c>
      <c r="D4508" t="s">
        <v>1992</v>
      </c>
      <c r="F4508">
        <v>1116859748</v>
      </c>
      <c r="G4508">
        <v>1023464925</v>
      </c>
      <c r="H4508">
        <v>988652515</v>
      </c>
      <c r="I4508">
        <v>929923750</v>
      </c>
      <c r="J4508">
        <v>870398416</v>
      </c>
      <c r="K4508">
        <v>419342298</v>
      </c>
      <c r="L4508">
        <v>346042835</v>
      </c>
      <c r="M4508">
        <v>256264991</v>
      </c>
      <c r="P4508">
        <v>125</v>
      </c>
      <c r="Q4508" t="s">
        <v>9362</v>
      </c>
    </row>
    <row r="4509" spans="1:17" x14ac:dyDescent="0.3">
      <c r="A4509" t="s">
        <v>4729</v>
      </c>
      <c r="B4509" t="str">
        <f>"300713"</f>
        <v>300713</v>
      </c>
      <c r="C4509" t="s">
        <v>9363</v>
      </c>
      <c r="D4509" t="s">
        <v>880</v>
      </c>
      <c r="F4509">
        <v>729198400</v>
      </c>
      <c r="G4509">
        <v>720263565</v>
      </c>
      <c r="H4509">
        <v>696131346</v>
      </c>
      <c r="I4509">
        <v>717559796</v>
      </c>
      <c r="J4509">
        <v>710860797</v>
      </c>
      <c r="K4509">
        <v>241629013</v>
      </c>
      <c r="L4509">
        <v>143936231</v>
      </c>
      <c r="M4509">
        <v>83044728</v>
      </c>
      <c r="P4509">
        <v>81</v>
      </c>
      <c r="Q4509" t="s">
        <v>9364</v>
      </c>
    </row>
    <row r="4510" spans="1:17" x14ac:dyDescent="0.3">
      <c r="A4510" t="s">
        <v>4729</v>
      </c>
      <c r="B4510" t="str">
        <f>"300715"</f>
        <v>300715</v>
      </c>
      <c r="C4510" t="s">
        <v>9365</v>
      </c>
      <c r="D4510" t="s">
        <v>6333</v>
      </c>
      <c r="F4510">
        <v>2814946408</v>
      </c>
      <c r="G4510">
        <v>1336449161</v>
      </c>
      <c r="H4510">
        <v>1058721478</v>
      </c>
      <c r="I4510">
        <v>433152277</v>
      </c>
      <c r="J4510">
        <v>381827843</v>
      </c>
      <c r="K4510">
        <v>152823884</v>
      </c>
      <c r="L4510">
        <v>112586926</v>
      </c>
      <c r="M4510">
        <v>68061675</v>
      </c>
      <c r="P4510">
        <v>413</v>
      </c>
      <c r="Q4510" t="s">
        <v>9366</v>
      </c>
    </row>
    <row r="4511" spans="1:17" x14ac:dyDescent="0.3">
      <c r="A4511" t="s">
        <v>4729</v>
      </c>
      <c r="B4511" t="str">
        <f>"300716"</f>
        <v>300716</v>
      </c>
      <c r="C4511" t="s">
        <v>9367</v>
      </c>
      <c r="D4511" t="s">
        <v>341</v>
      </c>
      <c r="F4511">
        <v>276971040</v>
      </c>
      <c r="G4511">
        <v>512188705</v>
      </c>
      <c r="H4511">
        <v>844035281</v>
      </c>
      <c r="I4511">
        <v>828606946</v>
      </c>
      <c r="J4511">
        <v>788873443</v>
      </c>
      <c r="K4511">
        <v>449110836</v>
      </c>
      <c r="L4511">
        <v>346813576</v>
      </c>
      <c r="M4511">
        <v>225308049</v>
      </c>
      <c r="P4511">
        <v>59</v>
      </c>
      <c r="Q4511" t="s">
        <v>9368</v>
      </c>
    </row>
    <row r="4512" spans="1:17" x14ac:dyDescent="0.3">
      <c r="A4512" t="s">
        <v>4729</v>
      </c>
      <c r="B4512" t="str">
        <f>"300717"</f>
        <v>300717</v>
      </c>
      <c r="C4512" t="s">
        <v>9369</v>
      </c>
      <c r="D4512" t="s">
        <v>1192</v>
      </c>
      <c r="F4512">
        <v>614635170</v>
      </c>
      <c r="G4512">
        <v>600678909</v>
      </c>
      <c r="H4512">
        <v>585081615</v>
      </c>
      <c r="I4512">
        <v>539521343</v>
      </c>
      <c r="J4512">
        <v>505637561</v>
      </c>
      <c r="K4512">
        <v>262542569</v>
      </c>
      <c r="L4512">
        <v>240510753</v>
      </c>
      <c r="M4512">
        <v>198231991</v>
      </c>
      <c r="P4512">
        <v>71</v>
      </c>
      <c r="Q4512" t="s">
        <v>9370</v>
      </c>
    </row>
    <row r="4513" spans="1:17" x14ac:dyDescent="0.3">
      <c r="A4513" t="s">
        <v>4729</v>
      </c>
      <c r="B4513" t="str">
        <f>"300718"</f>
        <v>300718</v>
      </c>
      <c r="C4513" t="s">
        <v>9371</v>
      </c>
      <c r="D4513" t="s">
        <v>2007</v>
      </c>
      <c r="F4513">
        <v>1355807324</v>
      </c>
      <c r="G4513">
        <v>1289201884</v>
      </c>
      <c r="H4513">
        <v>1186911799</v>
      </c>
      <c r="I4513">
        <v>1125909706</v>
      </c>
      <c r="J4513">
        <v>1015569034</v>
      </c>
      <c r="K4513">
        <v>497971607</v>
      </c>
      <c r="L4513">
        <v>455221379</v>
      </c>
      <c r="M4513">
        <v>391421298</v>
      </c>
      <c r="P4513">
        <v>100</v>
      </c>
      <c r="Q4513" t="s">
        <v>9372</v>
      </c>
    </row>
    <row r="4514" spans="1:17" x14ac:dyDescent="0.3">
      <c r="A4514" t="s">
        <v>4729</v>
      </c>
      <c r="B4514" t="str">
        <f>"300719"</f>
        <v>300719</v>
      </c>
      <c r="C4514" t="s">
        <v>9373</v>
      </c>
      <c r="D4514" t="s">
        <v>98</v>
      </c>
      <c r="F4514">
        <v>1014854329</v>
      </c>
      <c r="G4514">
        <v>1051263859</v>
      </c>
      <c r="H4514">
        <v>979479998</v>
      </c>
      <c r="I4514">
        <v>946288058</v>
      </c>
      <c r="J4514">
        <v>961772805</v>
      </c>
      <c r="K4514">
        <v>399321068</v>
      </c>
      <c r="L4514">
        <v>242137141</v>
      </c>
      <c r="M4514">
        <v>216072973</v>
      </c>
      <c r="P4514">
        <v>93</v>
      </c>
      <c r="Q4514" t="s">
        <v>9374</v>
      </c>
    </row>
    <row r="4515" spans="1:17" x14ac:dyDescent="0.3">
      <c r="A4515" t="s">
        <v>4729</v>
      </c>
      <c r="B4515" t="str">
        <f>"300720"</f>
        <v>300720</v>
      </c>
      <c r="C4515" t="s">
        <v>9375</v>
      </c>
      <c r="D4515" t="s">
        <v>2566</v>
      </c>
      <c r="F4515">
        <v>575885464</v>
      </c>
      <c r="G4515">
        <v>531405824</v>
      </c>
      <c r="H4515">
        <v>478359605</v>
      </c>
      <c r="I4515">
        <v>455551479</v>
      </c>
      <c r="J4515">
        <v>421876654</v>
      </c>
      <c r="K4515">
        <v>225388376</v>
      </c>
      <c r="L4515">
        <v>198511122</v>
      </c>
      <c r="M4515">
        <v>177422272</v>
      </c>
      <c r="P4515">
        <v>70</v>
      </c>
      <c r="Q4515" t="s">
        <v>9376</v>
      </c>
    </row>
    <row r="4516" spans="1:17" x14ac:dyDescent="0.3">
      <c r="A4516" t="s">
        <v>4729</v>
      </c>
      <c r="B4516" t="str">
        <f>"300721"</f>
        <v>300721</v>
      </c>
      <c r="C4516" t="s">
        <v>9377</v>
      </c>
      <c r="D4516" t="s">
        <v>386</v>
      </c>
      <c r="F4516">
        <v>1128379096</v>
      </c>
      <c r="G4516">
        <v>834019444</v>
      </c>
      <c r="H4516">
        <v>844308293</v>
      </c>
      <c r="I4516">
        <v>870725793</v>
      </c>
      <c r="J4516">
        <v>852746817</v>
      </c>
      <c r="K4516">
        <v>489627402</v>
      </c>
      <c r="L4516">
        <v>324817595</v>
      </c>
      <c r="M4516">
        <v>279573836</v>
      </c>
      <c r="P4516">
        <v>73</v>
      </c>
      <c r="Q4516" t="s">
        <v>9378</v>
      </c>
    </row>
    <row r="4517" spans="1:17" x14ac:dyDescent="0.3">
      <c r="A4517" t="s">
        <v>4729</v>
      </c>
      <c r="B4517" t="str">
        <f>"300722"</f>
        <v>300722</v>
      </c>
      <c r="C4517" t="s">
        <v>9379</v>
      </c>
      <c r="D4517" t="s">
        <v>284</v>
      </c>
      <c r="F4517">
        <v>499624498</v>
      </c>
      <c r="G4517">
        <v>469820474</v>
      </c>
      <c r="H4517">
        <v>448078136</v>
      </c>
      <c r="I4517">
        <v>435721175</v>
      </c>
      <c r="J4517">
        <v>385138500</v>
      </c>
      <c r="K4517">
        <v>214231056</v>
      </c>
      <c r="L4517">
        <v>185266809</v>
      </c>
      <c r="M4517">
        <v>110111664</v>
      </c>
      <c r="P4517">
        <v>113</v>
      </c>
      <c r="Q4517" t="s">
        <v>9380</v>
      </c>
    </row>
    <row r="4518" spans="1:17" x14ac:dyDescent="0.3">
      <c r="A4518" t="s">
        <v>4729</v>
      </c>
      <c r="B4518" t="str">
        <f>"300723"</f>
        <v>300723</v>
      </c>
      <c r="C4518" t="s">
        <v>9381</v>
      </c>
      <c r="D4518" t="s">
        <v>143</v>
      </c>
      <c r="F4518">
        <v>1764172436</v>
      </c>
      <c r="G4518">
        <v>1484911948</v>
      </c>
      <c r="H4518">
        <v>1328906898</v>
      </c>
      <c r="I4518">
        <v>1298422075</v>
      </c>
      <c r="J4518">
        <v>1107036367</v>
      </c>
      <c r="K4518">
        <v>333227304</v>
      </c>
      <c r="L4518">
        <v>195877791</v>
      </c>
      <c r="M4518">
        <v>127524245</v>
      </c>
      <c r="P4518">
        <v>222</v>
      </c>
      <c r="Q4518" t="s">
        <v>9382</v>
      </c>
    </row>
    <row r="4519" spans="1:17" x14ac:dyDescent="0.3">
      <c r="A4519" t="s">
        <v>4729</v>
      </c>
      <c r="B4519" t="str">
        <f>"300724"</f>
        <v>300724</v>
      </c>
      <c r="C4519" t="s">
        <v>9383</v>
      </c>
      <c r="D4519" t="s">
        <v>2671</v>
      </c>
      <c r="F4519">
        <v>6202409268</v>
      </c>
      <c r="G4519">
        <v>3036163328</v>
      </c>
      <c r="H4519">
        <v>2552252349</v>
      </c>
      <c r="I4519">
        <v>2227435736</v>
      </c>
      <c r="J4519">
        <v>933640485</v>
      </c>
      <c r="K4519">
        <v>718001195</v>
      </c>
      <c r="L4519">
        <v>600293337</v>
      </c>
      <c r="P4519">
        <v>573</v>
      </c>
      <c r="Q4519" t="s">
        <v>9384</v>
      </c>
    </row>
    <row r="4520" spans="1:17" x14ac:dyDescent="0.3">
      <c r="A4520" t="s">
        <v>4729</v>
      </c>
      <c r="B4520" t="str">
        <f>"300725"</f>
        <v>300725</v>
      </c>
      <c r="C4520" t="s">
        <v>9385</v>
      </c>
      <c r="D4520" t="s">
        <v>1461</v>
      </c>
      <c r="F4520">
        <v>2427424730</v>
      </c>
      <c r="G4520">
        <v>1894720361</v>
      </c>
      <c r="H4520">
        <v>740866684</v>
      </c>
      <c r="I4520">
        <v>599729719</v>
      </c>
      <c r="J4520">
        <v>495255421</v>
      </c>
      <c r="K4520">
        <v>245300639</v>
      </c>
      <c r="L4520">
        <v>145697819</v>
      </c>
      <c r="M4520">
        <v>87037039</v>
      </c>
      <c r="P4520">
        <v>1114</v>
      </c>
      <c r="Q4520" t="s">
        <v>9386</v>
      </c>
    </row>
    <row r="4521" spans="1:17" x14ac:dyDescent="0.3">
      <c r="A4521" t="s">
        <v>4729</v>
      </c>
      <c r="B4521" t="str">
        <f>"300726"</f>
        <v>300726</v>
      </c>
      <c r="C4521" t="s">
        <v>9387</v>
      </c>
      <c r="D4521" t="s">
        <v>1136</v>
      </c>
      <c r="F4521">
        <v>3862443882</v>
      </c>
      <c r="G4521">
        <v>2113155015</v>
      </c>
      <c r="H4521">
        <v>1755520045</v>
      </c>
      <c r="I4521">
        <v>1553318829</v>
      </c>
      <c r="J4521">
        <v>1370337197</v>
      </c>
      <c r="K4521">
        <v>806150027</v>
      </c>
      <c r="L4521">
        <v>550453552</v>
      </c>
      <c r="M4521">
        <v>510986916</v>
      </c>
      <c r="P4521">
        <v>748</v>
      </c>
      <c r="Q4521" t="s">
        <v>9388</v>
      </c>
    </row>
    <row r="4522" spans="1:17" x14ac:dyDescent="0.3">
      <c r="A4522" t="s">
        <v>4729</v>
      </c>
      <c r="B4522" t="str">
        <f>"300727"</f>
        <v>300727</v>
      </c>
      <c r="C4522" t="s">
        <v>9389</v>
      </c>
      <c r="D4522" t="s">
        <v>1205</v>
      </c>
      <c r="F4522">
        <v>677581274</v>
      </c>
      <c r="G4522">
        <v>598258024</v>
      </c>
      <c r="H4522">
        <v>562545239</v>
      </c>
      <c r="I4522">
        <v>525770302</v>
      </c>
      <c r="J4522">
        <v>464754357</v>
      </c>
      <c r="K4522">
        <v>244438275</v>
      </c>
      <c r="L4522">
        <v>177911970</v>
      </c>
      <c r="M4522">
        <v>132767669</v>
      </c>
      <c r="P4522">
        <v>73</v>
      </c>
      <c r="Q4522" t="s">
        <v>9390</v>
      </c>
    </row>
    <row r="4523" spans="1:17" x14ac:dyDescent="0.3">
      <c r="A4523" t="s">
        <v>4729</v>
      </c>
      <c r="B4523" t="str">
        <f>"300728"</f>
        <v>300728</v>
      </c>
      <c r="C4523" t="s">
        <v>9391</v>
      </c>
      <c r="K4523">
        <v>432218571</v>
      </c>
      <c r="L4523">
        <v>370572030</v>
      </c>
      <c r="M4523">
        <v>328262855</v>
      </c>
      <c r="P4523">
        <v>10</v>
      </c>
      <c r="Q4523" t="s">
        <v>9392</v>
      </c>
    </row>
    <row r="4524" spans="1:17" x14ac:dyDescent="0.3">
      <c r="A4524" t="s">
        <v>4729</v>
      </c>
      <c r="B4524" t="str">
        <f>"300729"</f>
        <v>300729</v>
      </c>
      <c r="C4524" t="s">
        <v>9393</v>
      </c>
      <c r="D4524" t="s">
        <v>2445</v>
      </c>
      <c r="F4524">
        <v>1867700256</v>
      </c>
      <c r="G4524">
        <v>983538260</v>
      </c>
      <c r="H4524">
        <v>794558794</v>
      </c>
      <c r="I4524">
        <v>738794381</v>
      </c>
      <c r="J4524">
        <v>687295913</v>
      </c>
      <c r="K4524">
        <v>336916590</v>
      </c>
      <c r="L4524">
        <v>246537099</v>
      </c>
      <c r="M4524">
        <v>203011636</v>
      </c>
      <c r="P4524">
        <v>219</v>
      </c>
      <c r="Q4524" t="s">
        <v>9394</v>
      </c>
    </row>
    <row r="4525" spans="1:17" x14ac:dyDescent="0.3">
      <c r="A4525" t="s">
        <v>4729</v>
      </c>
      <c r="B4525" t="str">
        <f>"300730"</f>
        <v>300730</v>
      </c>
      <c r="C4525" t="s">
        <v>9395</v>
      </c>
      <c r="D4525" t="s">
        <v>945</v>
      </c>
      <c r="F4525">
        <v>496301930</v>
      </c>
      <c r="G4525">
        <v>456580979</v>
      </c>
      <c r="H4525">
        <v>431130163</v>
      </c>
      <c r="I4525">
        <v>404703052</v>
      </c>
      <c r="J4525">
        <v>378886127</v>
      </c>
      <c r="K4525">
        <v>177314919</v>
      </c>
      <c r="L4525">
        <v>148188823</v>
      </c>
      <c r="M4525">
        <v>118031877</v>
      </c>
      <c r="P4525">
        <v>98</v>
      </c>
      <c r="Q4525" t="s">
        <v>9396</v>
      </c>
    </row>
    <row r="4526" spans="1:17" x14ac:dyDescent="0.3">
      <c r="A4526" t="s">
        <v>4729</v>
      </c>
      <c r="B4526" t="str">
        <f>"300731"</f>
        <v>300731</v>
      </c>
      <c r="C4526" t="s">
        <v>9397</v>
      </c>
      <c r="D4526" t="s">
        <v>2469</v>
      </c>
      <c r="F4526">
        <v>581963997</v>
      </c>
      <c r="G4526">
        <v>602811369</v>
      </c>
      <c r="H4526">
        <v>552200610</v>
      </c>
      <c r="I4526">
        <v>500223559</v>
      </c>
      <c r="J4526">
        <v>486335415</v>
      </c>
      <c r="K4526">
        <v>192545155</v>
      </c>
      <c r="L4526">
        <v>163498616</v>
      </c>
      <c r="M4526">
        <v>109580350</v>
      </c>
      <c r="P4526">
        <v>186</v>
      </c>
      <c r="Q4526" t="s">
        <v>9398</v>
      </c>
    </row>
    <row r="4527" spans="1:17" x14ac:dyDescent="0.3">
      <c r="A4527" t="s">
        <v>4729</v>
      </c>
      <c r="B4527" t="str">
        <f>"300732"</f>
        <v>300732</v>
      </c>
      <c r="C4527" t="s">
        <v>9399</v>
      </c>
      <c r="D4527" t="s">
        <v>1272</v>
      </c>
      <c r="F4527">
        <v>2689604879</v>
      </c>
      <c r="G4527">
        <v>2406698150</v>
      </c>
      <c r="H4527">
        <v>2191621458</v>
      </c>
      <c r="I4527">
        <v>2088042222</v>
      </c>
      <c r="J4527">
        <v>1535646607</v>
      </c>
      <c r="K4527">
        <v>635566579</v>
      </c>
      <c r="L4527">
        <v>522047953</v>
      </c>
      <c r="M4527">
        <v>419600017</v>
      </c>
      <c r="P4527">
        <v>151</v>
      </c>
      <c r="Q4527" t="s">
        <v>9400</v>
      </c>
    </row>
    <row r="4528" spans="1:17" x14ac:dyDescent="0.3">
      <c r="A4528" t="s">
        <v>4729</v>
      </c>
      <c r="B4528" t="str">
        <f>"300733"</f>
        <v>300733</v>
      </c>
      <c r="C4528" t="s">
        <v>9401</v>
      </c>
      <c r="D4528" t="s">
        <v>348</v>
      </c>
      <c r="F4528">
        <v>1317002174</v>
      </c>
      <c r="G4528">
        <v>1135311344</v>
      </c>
      <c r="H4528">
        <v>1140628355</v>
      </c>
      <c r="I4528">
        <v>1138292330</v>
      </c>
      <c r="J4528">
        <v>622690148</v>
      </c>
      <c r="K4528">
        <v>515875485</v>
      </c>
      <c r="L4528">
        <v>423119400</v>
      </c>
      <c r="M4528">
        <v>390152838</v>
      </c>
      <c r="P4528">
        <v>60</v>
      </c>
      <c r="Q4528" t="s">
        <v>9402</v>
      </c>
    </row>
    <row r="4529" spans="1:17" x14ac:dyDescent="0.3">
      <c r="A4529" t="s">
        <v>4729</v>
      </c>
      <c r="B4529" t="str">
        <f>"300735"</f>
        <v>300735</v>
      </c>
      <c r="C4529" t="s">
        <v>9403</v>
      </c>
      <c r="D4529" t="s">
        <v>313</v>
      </c>
      <c r="F4529">
        <v>4431247415</v>
      </c>
      <c r="G4529">
        <v>4222153988</v>
      </c>
      <c r="H4529">
        <v>2137437712</v>
      </c>
      <c r="I4529">
        <v>1813412763</v>
      </c>
      <c r="J4529">
        <v>1607951200</v>
      </c>
      <c r="K4529">
        <v>611255826</v>
      </c>
      <c r="L4529">
        <v>369649166</v>
      </c>
      <c r="M4529">
        <v>419557903</v>
      </c>
      <c r="P4529">
        <v>453</v>
      </c>
      <c r="Q4529" t="s">
        <v>9404</v>
      </c>
    </row>
    <row r="4530" spans="1:17" x14ac:dyDescent="0.3">
      <c r="A4530" t="s">
        <v>4729</v>
      </c>
      <c r="B4530" t="str">
        <f>"300736"</f>
        <v>300736</v>
      </c>
      <c r="C4530" t="s">
        <v>9405</v>
      </c>
      <c r="D4530" t="s">
        <v>651</v>
      </c>
      <c r="F4530">
        <v>160458223</v>
      </c>
      <c r="G4530">
        <v>183751251</v>
      </c>
      <c r="H4530">
        <v>271019047</v>
      </c>
      <c r="I4530">
        <v>403071971</v>
      </c>
      <c r="J4530">
        <v>202775022</v>
      </c>
      <c r="K4530">
        <v>195725027</v>
      </c>
      <c r="L4530">
        <v>172010715</v>
      </c>
      <c r="M4530">
        <v>146200631</v>
      </c>
      <c r="P4530">
        <v>114</v>
      </c>
      <c r="Q4530" t="s">
        <v>9406</v>
      </c>
    </row>
    <row r="4531" spans="1:17" x14ac:dyDescent="0.3">
      <c r="A4531" t="s">
        <v>4729</v>
      </c>
      <c r="B4531" t="str">
        <f>"300737"</f>
        <v>300737</v>
      </c>
      <c r="C4531" t="s">
        <v>9407</v>
      </c>
      <c r="D4531" t="s">
        <v>6333</v>
      </c>
      <c r="F4531">
        <v>4967875432</v>
      </c>
      <c r="G4531">
        <v>4152488797</v>
      </c>
      <c r="H4531">
        <v>3148524899</v>
      </c>
      <c r="I4531">
        <v>2909924934</v>
      </c>
      <c r="J4531">
        <v>1443101912</v>
      </c>
      <c r="K4531">
        <v>1257788177</v>
      </c>
      <c r="L4531">
        <v>559589326</v>
      </c>
      <c r="M4531">
        <v>322025054</v>
      </c>
      <c r="P4531">
        <v>459</v>
      </c>
      <c r="Q4531" t="s">
        <v>9408</v>
      </c>
    </row>
    <row r="4532" spans="1:17" x14ac:dyDescent="0.3">
      <c r="A4532" t="s">
        <v>4729</v>
      </c>
      <c r="B4532" t="str">
        <f>"300738"</f>
        <v>300738</v>
      </c>
      <c r="C4532" t="s">
        <v>9409</v>
      </c>
      <c r="D4532" t="s">
        <v>316</v>
      </c>
      <c r="F4532">
        <v>1445262398</v>
      </c>
      <c r="G4532">
        <v>1297308378</v>
      </c>
      <c r="H4532">
        <v>685904413</v>
      </c>
      <c r="I4532">
        <v>571422663</v>
      </c>
      <c r="J4532">
        <v>259206604</v>
      </c>
      <c r="K4532">
        <v>207727489</v>
      </c>
      <c r="L4532">
        <v>90801378</v>
      </c>
      <c r="M4532">
        <v>12123368</v>
      </c>
      <c r="P4532">
        <v>300</v>
      </c>
      <c r="Q4532" t="s">
        <v>9410</v>
      </c>
    </row>
    <row r="4533" spans="1:17" x14ac:dyDescent="0.3">
      <c r="A4533" t="s">
        <v>4729</v>
      </c>
      <c r="B4533" t="str">
        <f>"300739"</f>
        <v>300739</v>
      </c>
      <c r="C4533" t="s">
        <v>9411</v>
      </c>
      <c r="D4533" t="s">
        <v>425</v>
      </c>
      <c r="F4533">
        <v>1688404544</v>
      </c>
      <c r="G4533">
        <v>1396726130</v>
      </c>
      <c r="H4533">
        <v>1323347854</v>
      </c>
      <c r="I4533">
        <v>1253512504</v>
      </c>
      <c r="J4533">
        <v>526907212</v>
      </c>
      <c r="K4533">
        <v>442642467</v>
      </c>
      <c r="L4533">
        <v>301752793</v>
      </c>
      <c r="M4533">
        <v>253225092</v>
      </c>
      <c r="P4533">
        <v>170</v>
      </c>
      <c r="Q4533" t="s">
        <v>9412</v>
      </c>
    </row>
    <row r="4534" spans="1:17" x14ac:dyDescent="0.3">
      <c r="A4534" t="s">
        <v>4729</v>
      </c>
      <c r="B4534" t="str">
        <f>"300740"</f>
        <v>300740</v>
      </c>
      <c r="C4534" t="s">
        <v>9413</v>
      </c>
      <c r="D4534" t="s">
        <v>709</v>
      </c>
      <c r="F4534">
        <v>1599352614</v>
      </c>
      <c r="G4534">
        <v>1353305679</v>
      </c>
      <c r="H4534">
        <v>1218270037</v>
      </c>
      <c r="I4534">
        <v>1399643233</v>
      </c>
      <c r="J4534">
        <v>539917333</v>
      </c>
      <c r="K4534">
        <v>371020614</v>
      </c>
      <c r="L4534">
        <v>172136408</v>
      </c>
      <c r="P4534">
        <v>256</v>
      </c>
      <c r="Q4534" t="s">
        <v>9414</v>
      </c>
    </row>
    <row r="4535" spans="1:17" x14ac:dyDescent="0.3">
      <c r="A4535" t="s">
        <v>4729</v>
      </c>
      <c r="B4535" t="str">
        <f>"300741"</f>
        <v>300741</v>
      </c>
      <c r="C4535" t="s">
        <v>9415</v>
      </c>
      <c r="D4535" t="s">
        <v>677</v>
      </c>
      <c r="F4535">
        <v>7707268109</v>
      </c>
      <c r="G4535">
        <v>7722651979</v>
      </c>
      <c r="H4535">
        <v>7772240105</v>
      </c>
      <c r="I4535">
        <v>8988630484</v>
      </c>
      <c r="J4535">
        <v>5604468679</v>
      </c>
      <c r="K4535">
        <v>4467504364</v>
      </c>
      <c r="L4535">
        <v>5839652188</v>
      </c>
      <c r="P4535">
        <v>458</v>
      </c>
      <c r="Q4535" t="s">
        <v>9416</v>
      </c>
    </row>
    <row r="4536" spans="1:17" x14ac:dyDescent="0.3">
      <c r="A4536" t="s">
        <v>4729</v>
      </c>
      <c r="B4536" t="str">
        <f>"300742"</f>
        <v>300742</v>
      </c>
      <c r="C4536" t="s">
        <v>9417</v>
      </c>
      <c r="D4536" t="s">
        <v>348</v>
      </c>
      <c r="F4536">
        <v>128413490</v>
      </c>
      <c r="G4536">
        <v>358150843</v>
      </c>
      <c r="H4536">
        <v>290465795</v>
      </c>
      <c r="I4536">
        <v>1131107950</v>
      </c>
      <c r="J4536">
        <v>688762575</v>
      </c>
      <c r="K4536">
        <v>613932135</v>
      </c>
      <c r="L4536">
        <v>232067030</v>
      </c>
      <c r="P4536">
        <v>90</v>
      </c>
      <c r="Q4536" t="s">
        <v>9418</v>
      </c>
    </row>
    <row r="4537" spans="1:17" x14ac:dyDescent="0.3">
      <c r="A4537" t="s">
        <v>4729</v>
      </c>
      <c r="B4537" t="str">
        <f>"300743"</f>
        <v>300743</v>
      </c>
      <c r="C4537" t="s">
        <v>9419</v>
      </c>
      <c r="D4537" t="s">
        <v>236</v>
      </c>
      <c r="F4537">
        <v>389603987</v>
      </c>
      <c r="G4537">
        <v>392503045</v>
      </c>
      <c r="H4537">
        <v>390414515</v>
      </c>
      <c r="I4537">
        <v>384894943</v>
      </c>
      <c r="J4537">
        <v>161863682</v>
      </c>
      <c r="K4537">
        <v>130190239</v>
      </c>
      <c r="L4537">
        <v>97727197</v>
      </c>
      <c r="P4537">
        <v>54</v>
      </c>
      <c r="Q4537" t="s">
        <v>9420</v>
      </c>
    </row>
    <row r="4538" spans="1:17" x14ac:dyDescent="0.3">
      <c r="A4538" t="s">
        <v>4729</v>
      </c>
      <c r="B4538" t="str">
        <f>"300745"</f>
        <v>300745</v>
      </c>
      <c r="C4538" t="s">
        <v>9421</v>
      </c>
      <c r="D4538" t="s">
        <v>985</v>
      </c>
      <c r="F4538">
        <v>1155703661</v>
      </c>
      <c r="G4538">
        <v>814328289</v>
      </c>
      <c r="H4538">
        <v>1097543209</v>
      </c>
      <c r="I4538">
        <v>1079662848</v>
      </c>
      <c r="J4538">
        <v>700071519</v>
      </c>
      <c r="K4538">
        <v>608574705</v>
      </c>
      <c r="L4538">
        <v>196813638</v>
      </c>
      <c r="P4538">
        <v>76</v>
      </c>
      <c r="Q4538" t="s">
        <v>9422</v>
      </c>
    </row>
    <row r="4539" spans="1:17" x14ac:dyDescent="0.3">
      <c r="A4539" t="s">
        <v>4729</v>
      </c>
      <c r="B4539" t="str">
        <f>"300746"</f>
        <v>300746</v>
      </c>
      <c r="C4539" t="s">
        <v>9423</v>
      </c>
      <c r="D4539" t="s">
        <v>1272</v>
      </c>
      <c r="F4539">
        <v>1308410957</v>
      </c>
      <c r="G4539">
        <v>1230763008</v>
      </c>
      <c r="H4539">
        <v>1195018239</v>
      </c>
      <c r="I4539">
        <v>912196049</v>
      </c>
      <c r="J4539">
        <v>598657724</v>
      </c>
      <c r="K4539">
        <v>538172390</v>
      </c>
      <c r="L4539">
        <v>490488604</v>
      </c>
      <c r="P4539">
        <v>66</v>
      </c>
      <c r="Q4539" t="s">
        <v>9424</v>
      </c>
    </row>
    <row r="4540" spans="1:17" x14ac:dyDescent="0.3">
      <c r="A4540" t="s">
        <v>4729</v>
      </c>
      <c r="B4540" t="str">
        <f>"300747"</f>
        <v>300747</v>
      </c>
      <c r="C4540" t="s">
        <v>9425</v>
      </c>
      <c r="D4540" t="s">
        <v>3811</v>
      </c>
      <c r="F4540">
        <v>2999817460</v>
      </c>
      <c r="G4540">
        <v>2565563225</v>
      </c>
      <c r="H4540">
        <v>2295579935</v>
      </c>
      <c r="I4540">
        <v>2034373523</v>
      </c>
      <c r="J4540">
        <v>514375064</v>
      </c>
      <c r="K4540">
        <v>293969764</v>
      </c>
      <c r="L4540">
        <v>186002052</v>
      </c>
      <c r="P4540">
        <v>3347</v>
      </c>
      <c r="Q4540" t="s">
        <v>9426</v>
      </c>
    </row>
    <row r="4541" spans="1:17" x14ac:dyDescent="0.3">
      <c r="A4541" t="s">
        <v>4729</v>
      </c>
      <c r="B4541" t="str">
        <f>"300748"</f>
        <v>300748</v>
      </c>
      <c r="C4541" t="s">
        <v>9427</v>
      </c>
      <c r="D4541" t="s">
        <v>808</v>
      </c>
      <c r="F4541">
        <v>2965400072</v>
      </c>
      <c r="G4541">
        <v>1460112564</v>
      </c>
      <c r="H4541">
        <v>1222888738</v>
      </c>
      <c r="I4541">
        <v>1111491992</v>
      </c>
      <c r="J4541">
        <v>819038204</v>
      </c>
      <c r="K4541">
        <v>709657016</v>
      </c>
      <c r="L4541">
        <v>409357911</v>
      </c>
      <c r="P4541">
        <v>341</v>
      </c>
      <c r="Q4541" t="s">
        <v>9428</v>
      </c>
    </row>
    <row r="4542" spans="1:17" x14ac:dyDescent="0.3">
      <c r="A4542" t="s">
        <v>4729</v>
      </c>
      <c r="B4542" t="str">
        <f>"300749"</f>
        <v>300749</v>
      </c>
      <c r="C4542" t="s">
        <v>9429</v>
      </c>
      <c r="D4542" t="s">
        <v>2664</v>
      </c>
      <c r="F4542">
        <v>701447186</v>
      </c>
      <c r="G4542">
        <v>806285225</v>
      </c>
      <c r="H4542">
        <v>789865162</v>
      </c>
      <c r="I4542">
        <v>739685917</v>
      </c>
      <c r="J4542">
        <v>349096507</v>
      </c>
      <c r="K4542">
        <v>282051384</v>
      </c>
      <c r="L4542">
        <v>230512695</v>
      </c>
      <c r="P4542">
        <v>97</v>
      </c>
      <c r="Q4542" t="s">
        <v>9430</v>
      </c>
    </row>
    <row r="4543" spans="1:17" x14ac:dyDescent="0.3">
      <c r="A4543" t="s">
        <v>4729</v>
      </c>
      <c r="B4543" t="str">
        <f>"300750"</f>
        <v>300750</v>
      </c>
      <c r="C4543" t="s">
        <v>9431</v>
      </c>
      <c r="D4543" t="s">
        <v>359</v>
      </c>
      <c r="F4543">
        <v>84513271334</v>
      </c>
      <c r="G4543">
        <v>64207299367</v>
      </c>
      <c r="H4543">
        <v>38134983894</v>
      </c>
      <c r="I4543">
        <v>32938280895</v>
      </c>
      <c r="J4543">
        <v>24701439571</v>
      </c>
      <c r="K4543">
        <v>15488646283</v>
      </c>
      <c r="L4543">
        <v>1253665179</v>
      </c>
      <c r="P4543">
        <v>4825</v>
      </c>
      <c r="Q4543" t="s">
        <v>9432</v>
      </c>
    </row>
    <row r="4544" spans="1:17" x14ac:dyDescent="0.3">
      <c r="A4544" t="s">
        <v>4729</v>
      </c>
      <c r="B4544" t="str">
        <f>"300751"</f>
        <v>300751</v>
      </c>
      <c r="C4544" t="s">
        <v>9433</v>
      </c>
      <c r="D4544" t="s">
        <v>2671</v>
      </c>
      <c r="F4544">
        <v>5871693928</v>
      </c>
      <c r="G4544">
        <v>1746353669</v>
      </c>
      <c r="H4544">
        <v>1358870859</v>
      </c>
      <c r="I4544">
        <v>1141164403</v>
      </c>
      <c r="J4544">
        <v>310527717</v>
      </c>
      <c r="K4544">
        <v>204632395</v>
      </c>
      <c r="L4544">
        <v>72680805</v>
      </c>
      <c r="P4544">
        <v>627</v>
      </c>
      <c r="Q4544" t="s">
        <v>9434</v>
      </c>
    </row>
    <row r="4545" spans="1:17" x14ac:dyDescent="0.3">
      <c r="A4545" t="s">
        <v>4729</v>
      </c>
      <c r="B4545" t="str">
        <f>"300752"</f>
        <v>300752</v>
      </c>
      <c r="C4545" t="s">
        <v>9435</v>
      </c>
      <c r="D4545" t="s">
        <v>803</v>
      </c>
      <c r="F4545">
        <v>1081101093</v>
      </c>
      <c r="G4545">
        <v>880730150</v>
      </c>
      <c r="H4545">
        <v>811495342</v>
      </c>
      <c r="I4545">
        <v>798421982</v>
      </c>
      <c r="J4545">
        <v>286711564</v>
      </c>
      <c r="K4545">
        <v>187669786</v>
      </c>
      <c r="L4545">
        <v>71042813</v>
      </c>
      <c r="P4545">
        <v>140</v>
      </c>
      <c r="Q4545" t="s">
        <v>9436</v>
      </c>
    </row>
    <row r="4546" spans="1:17" x14ac:dyDescent="0.3">
      <c r="A4546" t="s">
        <v>4729</v>
      </c>
      <c r="B4546" t="str">
        <f>"300753"</f>
        <v>300753</v>
      </c>
      <c r="C4546" t="s">
        <v>9437</v>
      </c>
      <c r="D4546" t="s">
        <v>122</v>
      </c>
      <c r="F4546">
        <v>779618095</v>
      </c>
      <c r="G4546">
        <v>739520007</v>
      </c>
      <c r="H4546">
        <v>674881425</v>
      </c>
      <c r="I4546">
        <v>604857955</v>
      </c>
      <c r="J4546">
        <v>271838133</v>
      </c>
      <c r="K4546">
        <v>223916618</v>
      </c>
      <c r="L4546">
        <v>141013300</v>
      </c>
      <c r="P4546">
        <v>243</v>
      </c>
      <c r="Q4546" t="s">
        <v>9438</v>
      </c>
    </row>
    <row r="4547" spans="1:17" x14ac:dyDescent="0.3">
      <c r="A4547" t="s">
        <v>4729</v>
      </c>
      <c r="B4547" t="str">
        <f>"300755"</f>
        <v>300755</v>
      </c>
      <c r="C4547" t="s">
        <v>9439</v>
      </c>
      <c r="D4547" t="s">
        <v>295</v>
      </c>
      <c r="F4547">
        <v>3413569724</v>
      </c>
      <c r="G4547">
        <v>2816265453</v>
      </c>
      <c r="H4547">
        <v>2507611114</v>
      </c>
      <c r="I4547">
        <v>1348626001</v>
      </c>
      <c r="J4547">
        <v>1125037986</v>
      </c>
      <c r="K4547">
        <v>920882952</v>
      </c>
      <c r="L4547">
        <v>1024041087</v>
      </c>
      <c r="P4547">
        <v>246</v>
      </c>
      <c r="Q4547" t="s">
        <v>9440</v>
      </c>
    </row>
    <row r="4548" spans="1:17" x14ac:dyDescent="0.3">
      <c r="A4548" t="s">
        <v>4729</v>
      </c>
      <c r="B4548" t="str">
        <f>"300756"</f>
        <v>300756</v>
      </c>
      <c r="C4548" t="s">
        <v>9441</v>
      </c>
      <c r="D4548" t="s">
        <v>2931</v>
      </c>
      <c r="F4548">
        <v>1038582694</v>
      </c>
      <c r="G4548">
        <v>1024909952</v>
      </c>
      <c r="H4548">
        <v>1056445892</v>
      </c>
      <c r="I4548">
        <v>974928668</v>
      </c>
      <c r="J4548">
        <v>425316216</v>
      </c>
      <c r="K4548">
        <v>321543917</v>
      </c>
      <c r="L4548">
        <v>231544001</v>
      </c>
      <c r="P4548">
        <v>76</v>
      </c>
      <c r="Q4548" t="s">
        <v>9442</v>
      </c>
    </row>
    <row r="4549" spans="1:17" x14ac:dyDescent="0.3">
      <c r="A4549" t="s">
        <v>4729</v>
      </c>
      <c r="B4549" t="str">
        <f>"300757"</f>
        <v>300757</v>
      </c>
      <c r="C4549" t="s">
        <v>9443</v>
      </c>
      <c r="D4549" t="s">
        <v>3477</v>
      </c>
      <c r="F4549">
        <v>845706919</v>
      </c>
      <c r="G4549">
        <v>695129109</v>
      </c>
      <c r="H4549">
        <v>747317101</v>
      </c>
      <c r="I4549">
        <v>315490424</v>
      </c>
      <c r="J4549">
        <v>220147497</v>
      </c>
      <c r="K4549">
        <v>133121379</v>
      </c>
      <c r="L4549">
        <v>36995116</v>
      </c>
      <c r="P4549">
        <v>76</v>
      </c>
      <c r="Q4549" t="s">
        <v>9444</v>
      </c>
    </row>
    <row r="4550" spans="1:17" x14ac:dyDescent="0.3">
      <c r="A4550" t="s">
        <v>4729</v>
      </c>
      <c r="B4550" t="str">
        <f>"300758"</f>
        <v>300758</v>
      </c>
      <c r="C4550" t="s">
        <v>9445</v>
      </c>
      <c r="D4550" t="s">
        <v>2585</v>
      </c>
      <c r="F4550">
        <v>1717258777</v>
      </c>
      <c r="G4550">
        <v>1227864246</v>
      </c>
      <c r="H4550">
        <v>1127083901</v>
      </c>
      <c r="I4550">
        <v>515080950</v>
      </c>
      <c r="J4550">
        <v>409704068</v>
      </c>
      <c r="K4550">
        <v>358779849</v>
      </c>
      <c r="L4550">
        <v>363109910</v>
      </c>
      <c r="P4550">
        <v>104</v>
      </c>
      <c r="Q4550" t="s">
        <v>9446</v>
      </c>
    </row>
    <row r="4551" spans="1:17" x14ac:dyDescent="0.3">
      <c r="A4551" t="s">
        <v>4729</v>
      </c>
      <c r="B4551" t="str">
        <f>"300759"</f>
        <v>300759</v>
      </c>
      <c r="C4551" t="s">
        <v>9447</v>
      </c>
      <c r="D4551" t="s">
        <v>1461</v>
      </c>
      <c r="F4551">
        <v>9930686775</v>
      </c>
      <c r="G4551">
        <v>8870319872</v>
      </c>
      <c r="H4551">
        <v>7767063399</v>
      </c>
      <c r="I4551">
        <v>2328927980</v>
      </c>
      <c r="J4551">
        <v>1997673601</v>
      </c>
      <c r="K4551">
        <v>1763423685</v>
      </c>
      <c r="L4551">
        <v>168431657</v>
      </c>
      <c r="P4551">
        <v>1080</v>
      </c>
      <c r="Q4551" t="s">
        <v>9448</v>
      </c>
    </row>
    <row r="4552" spans="1:17" x14ac:dyDescent="0.3">
      <c r="A4552" t="s">
        <v>4729</v>
      </c>
      <c r="B4552" t="str">
        <f>"300760"</f>
        <v>300760</v>
      </c>
      <c r="C4552" t="s">
        <v>9449</v>
      </c>
      <c r="D4552" t="s">
        <v>122</v>
      </c>
      <c r="F4552">
        <v>26952803219</v>
      </c>
      <c r="G4552">
        <v>23277631000</v>
      </c>
      <c r="H4552">
        <v>18593110199</v>
      </c>
      <c r="I4552">
        <v>15158323506</v>
      </c>
      <c r="J4552">
        <v>6619930218</v>
      </c>
      <c r="K4552">
        <v>4519808727</v>
      </c>
      <c r="L4552">
        <v>6373384346</v>
      </c>
      <c r="P4552">
        <v>4593</v>
      </c>
      <c r="Q4552" t="s">
        <v>9450</v>
      </c>
    </row>
    <row r="4553" spans="1:17" x14ac:dyDescent="0.3">
      <c r="A4553" t="s">
        <v>4729</v>
      </c>
      <c r="B4553" t="str">
        <f>"300761"</f>
        <v>300761</v>
      </c>
      <c r="C4553" t="s">
        <v>9451</v>
      </c>
      <c r="D4553" t="s">
        <v>6260</v>
      </c>
      <c r="F4553">
        <v>6259043664</v>
      </c>
      <c r="G4553">
        <v>6679601209</v>
      </c>
      <c r="H4553">
        <v>6824465464</v>
      </c>
      <c r="I4553">
        <v>4148135441</v>
      </c>
      <c r="J4553">
        <v>2848442408</v>
      </c>
      <c r="K4553">
        <v>2094165451</v>
      </c>
      <c r="L4553">
        <v>1662610318</v>
      </c>
      <c r="P4553">
        <v>369</v>
      </c>
      <c r="Q4553" t="s">
        <v>9452</v>
      </c>
    </row>
    <row r="4554" spans="1:17" x14ac:dyDescent="0.3">
      <c r="A4554" t="s">
        <v>4729</v>
      </c>
      <c r="B4554" t="str">
        <f>"300762"</f>
        <v>300762</v>
      </c>
      <c r="C4554" t="s">
        <v>9453</v>
      </c>
      <c r="D4554" t="s">
        <v>1136</v>
      </c>
      <c r="F4554">
        <v>2613671081</v>
      </c>
      <c r="G4554">
        <v>1376763200</v>
      </c>
      <c r="H4554">
        <v>1217961800</v>
      </c>
      <c r="I4554">
        <v>613447095</v>
      </c>
      <c r="J4554">
        <v>510852695</v>
      </c>
      <c r="K4554">
        <v>443421882</v>
      </c>
      <c r="P4554">
        <v>181</v>
      </c>
      <c r="Q4554" t="s">
        <v>9454</v>
      </c>
    </row>
    <row r="4555" spans="1:17" x14ac:dyDescent="0.3">
      <c r="A4555" t="s">
        <v>4729</v>
      </c>
      <c r="B4555" t="str">
        <f>"300763"</f>
        <v>300763</v>
      </c>
      <c r="C4555" t="s">
        <v>9455</v>
      </c>
      <c r="D4555" t="s">
        <v>3824</v>
      </c>
      <c r="F4555">
        <v>2240258530</v>
      </c>
      <c r="G4555">
        <v>1828826439</v>
      </c>
      <c r="H4555">
        <v>869097558</v>
      </c>
      <c r="I4555">
        <v>349827228</v>
      </c>
      <c r="J4555">
        <v>231752063</v>
      </c>
      <c r="K4555">
        <v>135161408</v>
      </c>
      <c r="P4555">
        <v>582</v>
      </c>
      <c r="Q4555" t="s">
        <v>9456</v>
      </c>
    </row>
    <row r="4556" spans="1:17" x14ac:dyDescent="0.3">
      <c r="A4556" t="s">
        <v>4729</v>
      </c>
      <c r="B4556" t="str">
        <f>"300765"</f>
        <v>300765</v>
      </c>
      <c r="C4556" t="s">
        <v>9457</v>
      </c>
      <c r="D4556" t="s">
        <v>496</v>
      </c>
      <c r="F4556">
        <v>2952078875</v>
      </c>
      <c r="G4556">
        <v>2678111938</v>
      </c>
      <c r="H4556">
        <v>2406399708</v>
      </c>
      <c r="I4556">
        <v>990767205</v>
      </c>
      <c r="J4556">
        <v>766927061</v>
      </c>
      <c r="K4556">
        <v>572015915</v>
      </c>
      <c r="P4556">
        <v>173</v>
      </c>
      <c r="Q4556" t="s">
        <v>9458</v>
      </c>
    </row>
    <row r="4557" spans="1:17" x14ac:dyDescent="0.3">
      <c r="A4557" t="s">
        <v>4729</v>
      </c>
      <c r="B4557" t="str">
        <f>"300766"</f>
        <v>300766</v>
      </c>
      <c r="C4557" t="s">
        <v>9459</v>
      </c>
      <c r="D4557" t="s">
        <v>1189</v>
      </c>
      <c r="F4557">
        <v>1687093917</v>
      </c>
      <c r="G4557">
        <v>1677612035</v>
      </c>
      <c r="H4557">
        <v>1666930892</v>
      </c>
      <c r="I4557">
        <v>1129866400</v>
      </c>
      <c r="J4557">
        <v>881079800</v>
      </c>
      <c r="K4557">
        <v>734231405</v>
      </c>
      <c r="P4557">
        <v>140</v>
      </c>
      <c r="Q4557" t="s">
        <v>9460</v>
      </c>
    </row>
    <row r="4558" spans="1:17" x14ac:dyDescent="0.3">
      <c r="A4558" t="s">
        <v>4729</v>
      </c>
      <c r="B4558" t="str">
        <f>"300767"</f>
        <v>300767</v>
      </c>
      <c r="C4558" t="s">
        <v>9461</v>
      </c>
      <c r="D4558" t="s">
        <v>2469</v>
      </c>
      <c r="F4558">
        <v>1199395082</v>
      </c>
      <c r="G4558">
        <v>1109377413</v>
      </c>
      <c r="H4558">
        <v>967060829</v>
      </c>
      <c r="I4558">
        <v>560264135</v>
      </c>
      <c r="J4558">
        <v>445830103</v>
      </c>
      <c r="K4558">
        <v>380434189</v>
      </c>
      <c r="P4558">
        <v>197</v>
      </c>
      <c r="Q4558" t="s">
        <v>9462</v>
      </c>
    </row>
    <row r="4559" spans="1:17" x14ac:dyDescent="0.3">
      <c r="A4559" t="s">
        <v>4729</v>
      </c>
      <c r="B4559" t="str">
        <f>"300768"</f>
        <v>300768</v>
      </c>
      <c r="C4559" t="s">
        <v>9463</v>
      </c>
      <c r="D4559" t="s">
        <v>1189</v>
      </c>
      <c r="F4559">
        <v>3199747139</v>
      </c>
      <c r="G4559">
        <v>1924917880</v>
      </c>
      <c r="H4559">
        <v>1698560063</v>
      </c>
      <c r="I4559">
        <v>1033300291</v>
      </c>
      <c r="J4559">
        <v>832293390</v>
      </c>
      <c r="K4559">
        <v>678302749</v>
      </c>
      <c r="P4559">
        <v>240</v>
      </c>
      <c r="Q4559" t="s">
        <v>9464</v>
      </c>
    </row>
    <row r="4560" spans="1:17" x14ac:dyDescent="0.3">
      <c r="A4560" t="s">
        <v>4729</v>
      </c>
      <c r="B4560" t="str">
        <f>"300769"</f>
        <v>300769</v>
      </c>
      <c r="C4560" t="s">
        <v>9465</v>
      </c>
      <c r="D4560" t="s">
        <v>1790</v>
      </c>
      <c r="F4560">
        <v>3062598796</v>
      </c>
      <c r="G4560">
        <v>2108883767</v>
      </c>
      <c r="H4560">
        <v>947901884</v>
      </c>
      <c r="I4560">
        <v>497289748</v>
      </c>
      <c r="J4560">
        <v>399173548</v>
      </c>
      <c r="K4560">
        <v>306445967</v>
      </c>
      <c r="P4560">
        <v>325</v>
      </c>
      <c r="Q4560" t="s">
        <v>9466</v>
      </c>
    </row>
    <row r="4561" spans="1:17" x14ac:dyDescent="0.3">
      <c r="A4561" t="s">
        <v>4729</v>
      </c>
      <c r="B4561" t="str">
        <f>"300770"</f>
        <v>300770</v>
      </c>
      <c r="C4561" t="s">
        <v>9467</v>
      </c>
      <c r="D4561" t="s">
        <v>95</v>
      </c>
      <c r="F4561">
        <v>3050736793</v>
      </c>
      <c r="G4561">
        <v>2646216864</v>
      </c>
      <c r="H4561">
        <v>2183989221</v>
      </c>
      <c r="I4561">
        <v>711484569</v>
      </c>
      <c r="J4561">
        <v>557237333</v>
      </c>
      <c r="K4561">
        <v>447424451</v>
      </c>
      <c r="P4561">
        <v>632</v>
      </c>
      <c r="Q4561" t="s">
        <v>9468</v>
      </c>
    </row>
    <row r="4562" spans="1:17" x14ac:dyDescent="0.3">
      <c r="A4562" t="s">
        <v>4729</v>
      </c>
      <c r="B4562" t="str">
        <f>"300771"</f>
        <v>300771</v>
      </c>
      <c r="C4562" t="s">
        <v>9469</v>
      </c>
      <c r="D4562" t="s">
        <v>236</v>
      </c>
      <c r="F4562">
        <v>1872635312</v>
      </c>
      <c r="G4562">
        <v>1772553083</v>
      </c>
      <c r="H4562">
        <v>1585377532</v>
      </c>
      <c r="I4562">
        <v>630484722</v>
      </c>
      <c r="J4562">
        <v>418916657</v>
      </c>
      <c r="K4562">
        <v>303631366</v>
      </c>
      <c r="P4562">
        <v>229</v>
      </c>
      <c r="Q4562" t="s">
        <v>9470</v>
      </c>
    </row>
    <row r="4563" spans="1:17" x14ac:dyDescent="0.3">
      <c r="A4563" t="s">
        <v>4729</v>
      </c>
      <c r="B4563" t="str">
        <f>"300772"</f>
        <v>300772</v>
      </c>
      <c r="C4563" t="s">
        <v>9471</v>
      </c>
      <c r="D4563" t="s">
        <v>895</v>
      </c>
      <c r="F4563">
        <v>2722420612</v>
      </c>
      <c r="G4563">
        <v>1643537773</v>
      </c>
      <c r="H4563">
        <v>1516881527</v>
      </c>
      <c r="I4563">
        <v>961663125</v>
      </c>
      <c r="J4563">
        <v>841711010</v>
      </c>
      <c r="K4563">
        <v>816196198</v>
      </c>
      <c r="P4563">
        <v>177</v>
      </c>
      <c r="Q4563" t="s">
        <v>9472</v>
      </c>
    </row>
    <row r="4564" spans="1:17" x14ac:dyDescent="0.3">
      <c r="A4564" t="s">
        <v>4729</v>
      </c>
      <c r="B4564" t="str">
        <f>"300773"</f>
        <v>300773</v>
      </c>
      <c r="C4564" t="s">
        <v>9473</v>
      </c>
      <c r="D4564" t="s">
        <v>6424</v>
      </c>
      <c r="F4564">
        <v>4788195994</v>
      </c>
      <c r="G4564">
        <v>5142287146</v>
      </c>
      <c r="H4564">
        <v>4956041948</v>
      </c>
      <c r="I4564">
        <v>2914975165</v>
      </c>
      <c r="J4564">
        <v>2315042851</v>
      </c>
      <c r="K4564">
        <v>1849935404</v>
      </c>
      <c r="P4564">
        <v>472</v>
      </c>
      <c r="Q4564" t="s">
        <v>9474</v>
      </c>
    </row>
    <row r="4565" spans="1:17" x14ac:dyDescent="0.3">
      <c r="A4565" t="s">
        <v>4729</v>
      </c>
      <c r="B4565" t="str">
        <f>"300774"</f>
        <v>300774</v>
      </c>
      <c r="C4565" t="s">
        <v>9475</v>
      </c>
      <c r="D4565" t="s">
        <v>33</v>
      </c>
      <c r="F4565">
        <v>1437943966</v>
      </c>
      <c r="G4565">
        <v>1116089383</v>
      </c>
      <c r="H4565">
        <v>1006507785</v>
      </c>
      <c r="I4565">
        <v>923845320</v>
      </c>
      <c r="J4565">
        <v>861554148</v>
      </c>
      <c r="P4565">
        <v>24</v>
      </c>
      <c r="Q4565" t="s">
        <v>9476</v>
      </c>
    </row>
    <row r="4566" spans="1:17" x14ac:dyDescent="0.3">
      <c r="A4566" t="s">
        <v>4729</v>
      </c>
      <c r="B4566" t="str">
        <f>"300775"</f>
        <v>300775</v>
      </c>
      <c r="C4566" t="s">
        <v>9477</v>
      </c>
      <c r="D4566" t="s">
        <v>98</v>
      </c>
      <c r="F4566">
        <v>2298222087</v>
      </c>
      <c r="G4566">
        <v>1926184799</v>
      </c>
      <c r="H4566">
        <v>1771327018</v>
      </c>
      <c r="I4566">
        <v>1368696000</v>
      </c>
      <c r="J4566">
        <v>1219089794</v>
      </c>
      <c r="K4566">
        <v>1086550352</v>
      </c>
      <c r="P4566">
        <v>186</v>
      </c>
      <c r="Q4566" t="s">
        <v>9478</v>
      </c>
    </row>
    <row r="4567" spans="1:17" x14ac:dyDescent="0.3">
      <c r="A4567" t="s">
        <v>4729</v>
      </c>
      <c r="B4567" t="str">
        <f>"300776"</f>
        <v>300776</v>
      </c>
      <c r="C4567" t="s">
        <v>9479</v>
      </c>
      <c r="D4567" t="s">
        <v>2671</v>
      </c>
      <c r="F4567">
        <v>2159991395</v>
      </c>
      <c r="G4567">
        <v>1799875142</v>
      </c>
      <c r="H4567">
        <v>1458154012</v>
      </c>
      <c r="I4567">
        <v>319705355</v>
      </c>
      <c r="J4567">
        <v>151798411</v>
      </c>
      <c r="K4567">
        <v>71643125</v>
      </c>
      <c r="P4567">
        <v>397</v>
      </c>
      <c r="Q4567" t="s">
        <v>9480</v>
      </c>
    </row>
    <row r="4568" spans="1:17" x14ac:dyDescent="0.3">
      <c r="A4568" t="s">
        <v>4729</v>
      </c>
      <c r="B4568" t="str">
        <f>"300777"</f>
        <v>300777</v>
      </c>
      <c r="C4568" t="s">
        <v>9481</v>
      </c>
      <c r="D4568" t="s">
        <v>98</v>
      </c>
      <c r="F4568">
        <v>1344174696</v>
      </c>
      <c r="G4568">
        <v>1184667829</v>
      </c>
      <c r="H4568">
        <v>979924863</v>
      </c>
      <c r="I4568">
        <v>632572785</v>
      </c>
      <c r="J4568">
        <v>512136024</v>
      </c>
      <c r="K4568">
        <v>408869460</v>
      </c>
      <c r="P4568">
        <v>371</v>
      </c>
      <c r="Q4568" t="s">
        <v>9482</v>
      </c>
    </row>
    <row r="4569" spans="1:17" x14ac:dyDescent="0.3">
      <c r="A4569" t="s">
        <v>4729</v>
      </c>
      <c r="B4569" t="str">
        <f>"300778"</f>
        <v>300778</v>
      </c>
      <c r="C4569" t="s">
        <v>9483</v>
      </c>
      <c r="D4569" t="s">
        <v>1272</v>
      </c>
      <c r="F4569">
        <v>1018957474</v>
      </c>
      <c r="G4569">
        <v>977101043</v>
      </c>
      <c r="H4569">
        <v>916298945</v>
      </c>
      <c r="I4569">
        <v>329102712</v>
      </c>
      <c r="J4569">
        <v>228577791</v>
      </c>
      <c r="K4569">
        <v>206360533</v>
      </c>
      <c r="P4569">
        <v>104</v>
      </c>
      <c r="Q4569" t="s">
        <v>9484</v>
      </c>
    </row>
    <row r="4570" spans="1:17" x14ac:dyDescent="0.3">
      <c r="A4570" t="s">
        <v>4729</v>
      </c>
      <c r="B4570" t="str">
        <f>"300779"</f>
        <v>300779</v>
      </c>
      <c r="C4570" t="s">
        <v>9485</v>
      </c>
      <c r="D4570" t="s">
        <v>499</v>
      </c>
      <c r="F4570">
        <v>667867093</v>
      </c>
      <c r="G4570">
        <v>665960368</v>
      </c>
      <c r="H4570">
        <v>648939964</v>
      </c>
      <c r="I4570">
        <v>327875404</v>
      </c>
      <c r="J4570">
        <v>275277216</v>
      </c>
      <c r="K4570">
        <v>236328293</v>
      </c>
      <c r="P4570">
        <v>62</v>
      </c>
      <c r="Q4570" t="s">
        <v>9486</v>
      </c>
    </row>
    <row r="4571" spans="1:17" x14ac:dyDescent="0.3">
      <c r="A4571" t="s">
        <v>4729</v>
      </c>
      <c r="B4571" t="str">
        <f>"300780"</f>
        <v>300780</v>
      </c>
      <c r="C4571" t="s">
        <v>9487</v>
      </c>
      <c r="D4571" t="s">
        <v>274</v>
      </c>
      <c r="F4571">
        <v>1108440932</v>
      </c>
      <c r="G4571">
        <v>1055444990</v>
      </c>
      <c r="H4571">
        <v>972317523</v>
      </c>
      <c r="I4571">
        <v>529502495</v>
      </c>
      <c r="J4571">
        <v>461741790</v>
      </c>
      <c r="K4571">
        <v>322079201</v>
      </c>
      <c r="P4571">
        <v>56</v>
      </c>
      <c r="Q4571" t="s">
        <v>9488</v>
      </c>
    </row>
    <row r="4572" spans="1:17" x14ac:dyDescent="0.3">
      <c r="A4572" t="s">
        <v>4729</v>
      </c>
      <c r="B4572" t="str">
        <f>"300781"</f>
        <v>300781</v>
      </c>
      <c r="C4572" t="s">
        <v>9489</v>
      </c>
      <c r="D4572" t="s">
        <v>207</v>
      </c>
      <c r="F4572">
        <v>675017534</v>
      </c>
      <c r="G4572">
        <v>621866410</v>
      </c>
      <c r="H4572">
        <v>622452841</v>
      </c>
      <c r="I4572">
        <v>307292206</v>
      </c>
      <c r="J4572">
        <v>241659061</v>
      </c>
      <c r="K4572">
        <v>208008646</v>
      </c>
      <c r="P4572">
        <v>100</v>
      </c>
      <c r="Q4572" t="s">
        <v>9490</v>
      </c>
    </row>
    <row r="4573" spans="1:17" x14ac:dyDescent="0.3">
      <c r="A4573" t="s">
        <v>4729</v>
      </c>
      <c r="B4573" t="str">
        <f>"300782"</f>
        <v>300782</v>
      </c>
      <c r="C4573" t="s">
        <v>9491</v>
      </c>
      <c r="D4573" t="s">
        <v>401</v>
      </c>
      <c r="F4573">
        <v>7642320241</v>
      </c>
      <c r="G4573">
        <v>2659860022</v>
      </c>
      <c r="H4573">
        <v>1703107042</v>
      </c>
      <c r="I4573">
        <v>475304885</v>
      </c>
      <c r="J4573">
        <v>310513709</v>
      </c>
      <c r="K4573">
        <v>144044358</v>
      </c>
      <c r="P4573">
        <v>1609</v>
      </c>
      <c r="Q4573" t="s">
        <v>9492</v>
      </c>
    </row>
    <row r="4574" spans="1:17" x14ac:dyDescent="0.3">
      <c r="A4574" t="s">
        <v>4729</v>
      </c>
      <c r="B4574" t="str">
        <f>"300783"</f>
        <v>300783</v>
      </c>
      <c r="C4574" t="s">
        <v>9493</v>
      </c>
      <c r="D4574" t="s">
        <v>3194</v>
      </c>
      <c r="F4574">
        <v>2257918881</v>
      </c>
      <c r="G4574">
        <v>2096404472</v>
      </c>
      <c r="H4574">
        <v>1895288109</v>
      </c>
      <c r="I4574">
        <v>1111779069</v>
      </c>
      <c r="J4574">
        <v>807919228</v>
      </c>
      <c r="K4574">
        <v>605902828</v>
      </c>
      <c r="P4574">
        <v>730</v>
      </c>
      <c r="Q4574" t="s">
        <v>9494</v>
      </c>
    </row>
    <row r="4575" spans="1:17" x14ac:dyDescent="0.3">
      <c r="A4575" t="s">
        <v>4729</v>
      </c>
      <c r="B4575" t="str">
        <f>"300785"</f>
        <v>300785</v>
      </c>
      <c r="C4575" t="s">
        <v>9495</v>
      </c>
      <c r="D4575" t="s">
        <v>522</v>
      </c>
      <c r="F4575">
        <v>1781096250</v>
      </c>
      <c r="G4575">
        <v>1652976016</v>
      </c>
      <c r="H4575">
        <v>750861284</v>
      </c>
      <c r="I4575">
        <v>327681798</v>
      </c>
      <c r="J4575">
        <v>253962630</v>
      </c>
      <c r="K4575">
        <v>173721278</v>
      </c>
      <c r="P4575">
        <v>332</v>
      </c>
      <c r="Q4575" t="s">
        <v>9496</v>
      </c>
    </row>
    <row r="4576" spans="1:17" x14ac:dyDescent="0.3">
      <c r="A4576" t="s">
        <v>4729</v>
      </c>
      <c r="B4576" t="str">
        <f>"300786"</f>
        <v>300786</v>
      </c>
      <c r="C4576" t="s">
        <v>9497</v>
      </c>
      <c r="D4576" t="s">
        <v>1070</v>
      </c>
      <c r="F4576">
        <v>1243916155</v>
      </c>
      <c r="G4576">
        <v>833382009</v>
      </c>
      <c r="H4576">
        <v>767789299</v>
      </c>
      <c r="I4576">
        <v>399476137</v>
      </c>
      <c r="J4576">
        <v>342574899</v>
      </c>
      <c r="K4576">
        <v>300828426</v>
      </c>
      <c r="P4576">
        <v>95</v>
      </c>
      <c r="Q4576" t="s">
        <v>9498</v>
      </c>
    </row>
    <row r="4577" spans="1:17" x14ac:dyDescent="0.3">
      <c r="A4577" t="s">
        <v>4729</v>
      </c>
      <c r="B4577" t="str">
        <f>"300787"</f>
        <v>300787</v>
      </c>
      <c r="C4577" t="s">
        <v>9499</v>
      </c>
      <c r="D4577" t="s">
        <v>313</v>
      </c>
      <c r="F4577">
        <v>1355881146</v>
      </c>
      <c r="G4577">
        <v>1204354448</v>
      </c>
      <c r="H4577">
        <v>1128476611</v>
      </c>
      <c r="I4577">
        <v>504993329</v>
      </c>
      <c r="J4577">
        <v>428342889</v>
      </c>
      <c r="K4577">
        <v>343569689</v>
      </c>
      <c r="P4577">
        <v>87</v>
      </c>
      <c r="Q4577" t="s">
        <v>9500</v>
      </c>
    </row>
    <row r="4578" spans="1:17" x14ac:dyDescent="0.3">
      <c r="A4578" t="s">
        <v>4729</v>
      </c>
      <c r="B4578" t="str">
        <f>"300788"</f>
        <v>300788</v>
      </c>
      <c r="C4578" t="s">
        <v>9501</v>
      </c>
      <c r="D4578" t="s">
        <v>525</v>
      </c>
      <c r="F4578">
        <v>2032586829</v>
      </c>
      <c r="G4578">
        <v>1907048392</v>
      </c>
      <c r="H4578">
        <v>1704130791</v>
      </c>
      <c r="I4578">
        <v>874771886</v>
      </c>
      <c r="J4578">
        <v>734496234</v>
      </c>
      <c r="K4578">
        <v>595372666</v>
      </c>
      <c r="P4578">
        <v>347</v>
      </c>
      <c r="Q4578" t="s">
        <v>9502</v>
      </c>
    </row>
    <row r="4579" spans="1:17" x14ac:dyDescent="0.3">
      <c r="A4579" t="s">
        <v>4729</v>
      </c>
      <c r="B4579" t="str">
        <f>"300789"</f>
        <v>300789</v>
      </c>
      <c r="C4579" t="s">
        <v>9503</v>
      </c>
      <c r="D4579" t="s">
        <v>236</v>
      </c>
      <c r="F4579">
        <v>807264578</v>
      </c>
      <c r="G4579">
        <v>745858939</v>
      </c>
      <c r="H4579">
        <v>697378491</v>
      </c>
      <c r="I4579">
        <v>263349461</v>
      </c>
      <c r="J4579">
        <v>179205827</v>
      </c>
      <c r="K4579">
        <v>116679242</v>
      </c>
      <c r="P4579">
        <v>79</v>
      </c>
      <c r="Q4579" t="s">
        <v>9504</v>
      </c>
    </row>
    <row r="4580" spans="1:17" x14ac:dyDescent="0.3">
      <c r="A4580" t="s">
        <v>4729</v>
      </c>
      <c r="B4580" t="str">
        <f>"300790"</f>
        <v>300790</v>
      </c>
      <c r="C4580" t="s">
        <v>9505</v>
      </c>
      <c r="D4580" t="s">
        <v>2980</v>
      </c>
      <c r="F4580">
        <v>1635685594</v>
      </c>
      <c r="G4580">
        <v>1282470402</v>
      </c>
      <c r="H4580">
        <v>1191345765</v>
      </c>
      <c r="I4580">
        <v>614240836</v>
      </c>
      <c r="J4580">
        <v>516168715</v>
      </c>
      <c r="K4580">
        <v>233305573</v>
      </c>
      <c r="P4580">
        <v>158</v>
      </c>
      <c r="Q4580" t="s">
        <v>9506</v>
      </c>
    </row>
    <row r="4581" spans="1:17" x14ac:dyDescent="0.3">
      <c r="A4581" t="s">
        <v>4729</v>
      </c>
      <c r="B4581" t="str">
        <f>"300791"</f>
        <v>300791</v>
      </c>
      <c r="C4581" t="s">
        <v>9507</v>
      </c>
      <c r="D4581" t="s">
        <v>838</v>
      </c>
      <c r="F4581">
        <v>2343137865</v>
      </c>
      <c r="G4581">
        <v>2182687276</v>
      </c>
      <c r="H4581">
        <v>1945023028</v>
      </c>
      <c r="I4581">
        <v>784045322</v>
      </c>
      <c r="J4581">
        <v>580204148</v>
      </c>
      <c r="K4581">
        <v>461935321</v>
      </c>
      <c r="P4581">
        <v>286</v>
      </c>
      <c r="Q4581" t="s">
        <v>9508</v>
      </c>
    </row>
    <row r="4582" spans="1:17" x14ac:dyDescent="0.3">
      <c r="A4582" t="s">
        <v>4729</v>
      </c>
      <c r="B4582" t="str">
        <f>"300792"</f>
        <v>300792</v>
      </c>
      <c r="C4582" t="s">
        <v>9509</v>
      </c>
      <c r="D4582" t="s">
        <v>3617</v>
      </c>
      <c r="F4582">
        <v>2649491705</v>
      </c>
      <c r="G4582">
        <v>1512584928</v>
      </c>
      <c r="H4582">
        <v>1278049891</v>
      </c>
      <c r="I4582">
        <v>400016608</v>
      </c>
      <c r="J4582">
        <v>288483466</v>
      </c>
      <c r="K4582">
        <v>163610300</v>
      </c>
      <c r="P4582">
        <v>369</v>
      </c>
      <c r="Q4582" t="s">
        <v>9510</v>
      </c>
    </row>
    <row r="4583" spans="1:17" x14ac:dyDescent="0.3">
      <c r="A4583" t="s">
        <v>4729</v>
      </c>
      <c r="B4583" t="str">
        <f>"300793"</f>
        <v>300793</v>
      </c>
      <c r="C4583" t="s">
        <v>9511</v>
      </c>
      <c r="D4583" t="s">
        <v>313</v>
      </c>
      <c r="F4583">
        <v>2263196340</v>
      </c>
      <c r="G4583">
        <v>1219006563</v>
      </c>
      <c r="H4583">
        <v>1195775390</v>
      </c>
      <c r="I4583">
        <v>566958764</v>
      </c>
      <c r="J4583">
        <v>455344778</v>
      </c>
      <c r="K4583">
        <v>422480388</v>
      </c>
      <c r="P4583">
        <v>144</v>
      </c>
      <c r="Q4583" t="s">
        <v>9512</v>
      </c>
    </row>
    <row r="4584" spans="1:17" x14ac:dyDescent="0.3">
      <c r="A4584" t="s">
        <v>4729</v>
      </c>
      <c r="B4584" t="str">
        <f>"300795"</f>
        <v>300795</v>
      </c>
      <c r="C4584" t="s">
        <v>9513</v>
      </c>
      <c r="D4584" t="s">
        <v>1673</v>
      </c>
      <c r="F4584">
        <v>383969054</v>
      </c>
      <c r="G4584">
        <v>434081500</v>
      </c>
      <c r="H4584">
        <v>601517675</v>
      </c>
      <c r="I4584">
        <v>232435311</v>
      </c>
      <c r="J4584">
        <v>215099755</v>
      </c>
      <c r="K4584">
        <v>199273773</v>
      </c>
      <c r="P4584">
        <v>109</v>
      </c>
      <c r="Q4584" t="s">
        <v>9514</v>
      </c>
    </row>
    <row r="4585" spans="1:17" x14ac:dyDescent="0.3">
      <c r="A4585" t="s">
        <v>4729</v>
      </c>
      <c r="B4585" t="str">
        <f>"300796"</f>
        <v>300796</v>
      </c>
      <c r="C4585" t="s">
        <v>9515</v>
      </c>
      <c r="D4585" t="s">
        <v>853</v>
      </c>
      <c r="F4585">
        <v>1068916503</v>
      </c>
      <c r="G4585">
        <v>1027154062</v>
      </c>
      <c r="H4585">
        <v>998434546</v>
      </c>
      <c r="I4585">
        <v>541804151</v>
      </c>
      <c r="J4585">
        <v>463852114</v>
      </c>
      <c r="K4585">
        <v>240269702</v>
      </c>
      <c r="P4585">
        <v>45</v>
      </c>
      <c r="Q4585" t="s">
        <v>9516</v>
      </c>
    </row>
    <row r="4586" spans="1:17" x14ac:dyDescent="0.3">
      <c r="A4586" t="s">
        <v>4729</v>
      </c>
      <c r="B4586" t="str">
        <f>"300797"</f>
        <v>300797</v>
      </c>
      <c r="C4586" t="s">
        <v>9517</v>
      </c>
      <c r="D4586" t="s">
        <v>110</v>
      </c>
      <c r="F4586">
        <v>848215849</v>
      </c>
      <c r="G4586">
        <v>788200968</v>
      </c>
      <c r="H4586">
        <v>716489979</v>
      </c>
      <c r="I4586">
        <v>401098925</v>
      </c>
      <c r="J4586">
        <v>340962034</v>
      </c>
      <c r="K4586">
        <v>448891954</v>
      </c>
      <c r="P4586">
        <v>67</v>
      </c>
      <c r="Q4586" t="s">
        <v>9518</v>
      </c>
    </row>
    <row r="4587" spans="1:17" x14ac:dyDescent="0.3">
      <c r="A4587" t="s">
        <v>4729</v>
      </c>
      <c r="B4587" t="str">
        <f>"300798"</f>
        <v>300798</v>
      </c>
      <c r="C4587" t="s">
        <v>9519</v>
      </c>
      <c r="D4587" t="s">
        <v>779</v>
      </c>
      <c r="F4587">
        <v>1254428513</v>
      </c>
      <c r="G4587">
        <v>1213489388</v>
      </c>
      <c r="H4587">
        <v>1211484632</v>
      </c>
      <c r="I4587">
        <v>930289012</v>
      </c>
      <c r="J4587">
        <v>845970332</v>
      </c>
      <c r="K4587">
        <v>751487857</v>
      </c>
      <c r="P4587">
        <v>55</v>
      </c>
      <c r="Q4587" t="s">
        <v>9520</v>
      </c>
    </row>
    <row r="4588" spans="1:17" x14ac:dyDescent="0.3">
      <c r="A4588" t="s">
        <v>4729</v>
      </c>
      <c r="B4588" t="str">
        <f>"300799"</f>
        <v>300799</v>
      </c>
      <c r="C4588" t="s">
        <v>9521</v>
      </c>
      <c r="D4588" t="s">
        <v>1189</v>
      </c>
      <c r="F4588">
        <v>713661812</v>
      </c>
      <c r="G4588">
        <v>703569164</v>
      </c>
      <c r="H4588">
        <v>623527546</v>
      </c>
      <c r="I4588">
        <v>215666537</v>
      </c>
      <c r="J4588">
        <v>151183626</v>
      </c>
      <c r="K4588">
        <v>102808927</v>
      </c>
      <c r="P4588">
        <v>140</v>
      </c>
      <c r="Q4588" t="s">
        <v>9522</v>
      </c>
    </row>
    <row r="4589" spans="1:17" x14ac:dyDescent="0.3">
      <c r="A4589" t="s">
        <v>4729</v>
      </c>
      <c r="B4589" t="str">
        <f>"300800"</f>
        <v>300800</v>
      </c>
      <c r="C4589" t="s">
        <v>9523</v>
      </c>
      <c r="D4589" t="s">
        <v>1070</v>
      </c>
      <c r="F4589">
        <v>2013206666</v>
      </c>
      <c r="G4589">
        <v>1881365428</v>
      </c>
      <c r="H4589">
        <v>1675197871</v>
      </c>
      <c r="I4589">
        <v>546338360</v>
      </c>
      <c r="J4589">
        <v>395637599</v>
      </c>
      <c r="K4589">
        <v>328009875</v>
      </c>
      <c r="P4589">
        <v>362</v>
      </c>
      <c r="Q4589" t="s">
        <v>9524</v>
      </c>
    </row>
    <row r="4590" spans="1:17" x14ac:dyDescent="0.3">
      <c r="A4590" t="s">
        <v>4729</v>
      </c>
      <c r="B4590" t="str">
        <f>"300801"</f>
        <v>300801</v>
      </c>
      <c r="C4590" t="s">
        <v>9525</v>
      </c>
      <c r="D4590" t="s">
        <v>386</v>
      </c>
      <c r="F4590">
        <v>2115908686</v>
      </c>
      <c r="G4590">
        <v>1868637034</v>
      </c>
      <c r="H4590">
        <v>1733769552</v>
      </c>
      <c r="I4590">
        <v>718315435</v>
      </c>
      <c r="J4590">
        <v>544620523</v>
      </c>
      <c r="K4590">
        <v>446207791</v>
      </c>
      <c r="P4590">
        <v>112</v>
      </c>
      <c r="Q4590" t="s">
        <v>9526</v>
      </c>
    </row>
    <row r="4591" spans="1:17" x14ac:dyDescent="0.3">
      <c r="A4591" t="s">
        <v>4729</v>
      </c>
      <c r="B4591" t="str">
        <f>"300802"</f>
        <v>300802</v>
      </c>
      <c r="C4591" t="s">
        <v>9527</v>
      </c>
      <c r="D4591" t="s">
        <v>3477</v>
      </c>
      <c r="F4591">
        <v>1057719355</v>
      </c>
      <c r="G4591">
        <v>1026968176</v>
      </c>
      <c r="H4591">
        <v>944612482</v>
      </c>
      <c r="I4591">
        <v>397151680</v>
      </c>
      <c r="J4591">
        <v>324327812</v>
      </c>
      <c r="K4591">
        <v>256888679</v>
      </c>
      <c r="P4591">
        <v>182</v>
      </c>
      <c r="Q4591" t="s">
        <v>9528</v>
      </c>
    </row>
    <row r="4592" spans="1:17" x14ac:dyDescent="0.3">
      <c r="A4592" t="s">
        <v>4729</v>
      </c>
      <c r="B4592" t="str">
        <f>"300803"</f>
        <v>300803</v>
      </c>
      <c r="C4592" t="s">
        <v>9529</v>
      </c>
      <c r="D4592" t="s">
        <v>945</v>
      </c>
      <c r="F4592">
        <v>1282080185</v>
      </c>
      <c r="G4592">
        <v>1120704472</v>
      </c>
      <c r="H4592">
        <v>1089261125</v>
      </c>
      <c r="I4592">
        <v>669384449</v>
      </c>
      <c r="J4592">
        <v>541519277</v>
      </c>
      <c r="K4592">
        <v>387146311</v>
      </c>
      <c r="P4592">
        <v>194</v>
      </c>
      <c r="Q4592" t="s">
        <v>9530</v>
      </c>
    </row>
    <row r="4593" spans="1:17" x14ac:dyDescent="0.3">
      <c r="A4593" t="s">
        <v>4729</v>
      </c>
      <c r="B4593" t="str">
        <f>"300805"</f>
        <v>300805</v>
      </c>
      <c r="C4593" t="s">
        <v>9531</v>
      </c>
      <c r="D4593" t="s">
        <v>207</v>
      </c>
      <c r="F4593">
        <v>1631615815</v>
      </c>
      <c r="G4593">
        <v>1686528514</v>
      </c>
      <c r="H4593">
        <v>1588381027</v>
      </c>
      <c r="I4593">
        <v>965422137</v>
      </c>
      <c r="J4593">
        <v>833092027</v>
      </c>
      <c r="K4593">
        <v>665637184</v>
      </c>
      <c r="P4593">
        <v>71</v>
      </c>
      <c r="Q4593" t="s">
        <v>9532</v>
      </c>
    </row>
    <row r="4594" spans="1:17" x14ac:dyDescent="0.3">
      <c r="A4594" t="s">
        <v>4729</v>
      </c>
      <c r="B4594" t="str">
        <f>"300806"</f>
        <v>300806</v>
      </c>
      <c r="C4594" t="s">
        <v>9533</v>
      </c>
      <c r="D4594" t="s">
        <v>324</v>
      </c>
      <c r="F4594">
        <v>1490958840</v>
      </c>
      <c r="G4594">
        <v>1259771845</v>
      </c>
      <c r="H4594">
        <v>1079791313</v>
      </c>
      <c r="I4594">
        <v>684128380</v>
      </c>
      <c r="J4594">
        <v>607138677</v>
      </c>
      <c r="K4594">
        <v>544967749</v>
      </c>
      <c r="P4594">
        <v>168</v>
      </c>
      <c r="Q4594" t="s">
        <v>9534</v>
      </c>
    </row>
    <row r="4595" spans="1:17" x14ac:dyDescent="0.3">
      <c r="A4595" t="s">
        <v>4729</v>
      </c>
      <c r="B4595" t="str">
        <f>"300807"</f>
        <v>300807</v>
      </c>
      <c r="C4595" t="s">
        <v>9535</v>
      </c>
      <c r="D4595" t="s">
        <v>236</v>
      </c>
      <c r="F4595">
        <v>601646275</v>
      </c>
      <c r="G4595">
        <v>636465423</v>
      </c>
      <c r="H4595">
        <v>680791007</v>
      </c>
      <c r="I4595">
        <v>345555180</v>
      </c>
      <c r="J4595">
        <v>287299272</v>
      </c>
      <c r="K4595">
        <v>249740658</v>
      </c>
      <c r="P4595">
        <v>103</v>
      </c>
      <c r="Q4595" t="s">
        <v>9536</v>
      </c>
    </row>
    <row r="4596" spans="1:17" x14ac:dyDescent="0.3">
      <c r="A4596" t="s">
        <v>4729</v>
      </c>
      <c r="B4596" t="str">
        <f>"300808"</f>
        <v>300808</v>
      </c>
      <c r="C4596" t="s">
        <v>9537</v>
      </c>
      <c r="D4596" t="s">
        <v>803</v>
      </c>
      <c r="F4596">
        <v>1080474963</v>
      </c>
      <c r="G4596">
        <v>1076929673</v>
      </c>
      <c r="H4596">
        <v>1049466042</v>
      </c>
      <c r="I4596">
        <v>578216121</v>
      </c>
      <c r="J4596">
        <v>489186049</v>
      </c>
      <c r="K4596">
        <v>425392078</v>
      </c>
      <c r="P4596">
        <v>55</v>
      </c>
      <c r="Q4596" t="s">
        <v>9538</v>
      </c>
    </row>
    <row r="4597" spans="1:17" x14ac:dyDescent="0.3">
      <c r="A4597" t="s">
        <v>4729</v>
      </c>
      <c r="B4597" t="str">
        <f>"300809"</f>
        <v>300809</v>
      </c>
      <c r="C4597" t="s">
        <v>9539</v>
      </c>
      <c r="D4597" t="s">
        <v>2321</v>
      </c>
      <c r="F4597">
        <v>1443545983</v>
      </c>
      <c r="G4597">
        <v>1391367612</v>
      </c>
      <c r="H4597">
        <v>1386586301</v>
      </c>
      <c r="I4597">
        <v>552440960</v>
      </c>
      <c r="J4597">
        <v>414770808</v>
      </c>
      <c r="K4597">
        <v>444346973</v>
      </c>
      <c r="P4597">
        <v>110</v>
      </c>
      <c r="Q4597" t="s">
        <v>9540</v>
      </c>
    </row>
    <row r="4598" spans="1:17" x14ac:dyDescent="0.3">
      <c r="A4598" t="s">
        <v>4729</v>
      </c>
      <c r="B4598" t="str">
        <f>"300810"</f>
        <v>300810</v>
      </c>
      <c r="C4598" t="s">
        <v>9541</v>
      </c>
      <c r="D4598" t="s">
        <v>167</v>
      </c>
      <c r="F4598">
        <v>1018048530</v>
      </c>
      <c r="G4598">
        <v>1008391533</v>
      </c>
      <c r="H4598">
        <v>994651709</v>
      </c>
      <c r="I4598">
        <v>470919524</v>
      </c>
      <c r="J4598">
        <v>385113173</v>
      </c>
      <c r="K4598">
        <v>305266785</v>
      </c>
      <c r="P4598">
        <v>57</v>
      </c>
      <c r="Q4598" t="s">
        <v>9542</v>
      </c>
    </row>
    <row r="4599" spans="1:17" x14ac:dyDescent="0.3">
      <c r="A4599" t="s">
        <v>4729</v>
      </c>
      <c r="B4599" t="str">
        <f>"300811"</f>
        <v>300811</v>
      </c>
      <c r="C4599" t="s">
        <v>9543</v>
      </c>
      <c r="D4599" t="s">
        <v>808</v>
      </c>
      <c r="F4599">
        <v>990748693</v>
      </c>
      <c r="G4599">
        <v>862911470</v>
      </c>
      <c r="H4599">
        <v>773664967</v>
      </c>
      <c r="I4599">
        <v>358555141</v>
      </c>
      <c r="J4599">
        <v>289568825</v>
      </c>
      <c r="K4599">
        <v>220374784</v>
      </c>
      <c r="P4599">
        <v>163</v>
      </c>
      <c r="Q4599" t="s">
        <v>9544</v>
      </c>
    </row>
    <row r="4600" spans="1:17" x14ac:dyDescent="0.3">
      <c r="A4600" t="s">
        <v>4729</v>
      </c>
      <c r="B4600" t="str">
        <f>"300812"</f>
        <v>300812</v>
      </c>
      <c r="C4600" t="s">
        <v>9545</v>
      </c>
      <c r="D4600" t="s">
        <v>3187</v>
      </c>
      <c r="F4600">
        <v>828271132</v>
      </c>
      <c r="G4600">
        <v>764991834</v>
      </c>
      <c r="H4600">
        <v>738483962</v>
      </c>
      <c r="I4600">
        <v>263050513</v>
      </c>
      <c r="J4600">
        <v>183411101</v>
      </c>
      <c r="K4600">
        <v>81306522</v>
      </c>
      <c r="P4600">
        <v>111</v>
      </c>
      <c r="Q4600" t="s">
        <v>9546</v>
      </c>
    </row>
    <row r="4601" spans="1:17" x14ac:dyDescent="0.3">
      <c r="A4601" t="s">
        <v>4729</v>
      </c>
      <c r="B4601" t="str">
        <f>"300813"</f>
        <v>300813</v>
      </c>
      <c r="C4601" t="s">
        <v>9547</v>
      </c>
      <c r="D4601" t="s">
        <v>741</v>
      </c>
      <c r="F4601">
        <v>497380536</v>
      </c>
      <c r="G4601">
        <v>444244685</v>
      </c>
      <c r="H4601">
        <v>229105617</v>
      </c>
      <c r="I4601">
        <v>194699225</v>
      </c>
      <c r="J4601">
        <v>146484635</v>
      </c>
      <c r="K4601">
        <v>116305356</v>
      </c>
      <c r="P4601">
        <v>106</v>
      </c>
      <c r="Q4601" t="s">
        <v>9548</v>
      </c>
    </row>
    <row r="4602" spans="1:17" x14ac:dyDescent="0.3">
      <c r="A4602" t="s">
        <v>4729</v>
      </c>
      <c r="B4602" t="str">
        <f>"300814"</f>
        <v>300814</v>
      </c>
      <c r="C4602" t="s">
        <v>9549</v>
      </c>
      <c r="D4602" t="s">
        <v>425</v>
      </c>
      <c r="F4602">
        <v>1054932746</v>
      </c>
      <c r="G4602">
        <v>632029348</v>
      </c>
      <c r="H4602">
        <v>529173122</v>
      </c>
      <c r="I4602">
        <v>410780104</v>
      </c>
      <c r="J4602">
        <v>325720399</v>
      </c>
      <c r="P4602">
        <v>14</v>
      </c>
      <c r="Q4602" t="s">
        <v>9550</v>
      </c>
    </row>
    <row r="4603" spans="1:17" x14ac:dyDescent="0.3">
      <c r="A4603" t="s">
        <v>4729</v>
      </c>
      <c r="B4603" t="str">
        <f>"300815"</f>
        <v>300815</v>
      </c>
      <c r="C4603" t="s">
        <v>9551</v>
      </c>
      <c r="D4603" t="s">
        <v>499</v>
      </c>
      <c r="F4603">
        <v>2880588726</v>
      </c>
      <c r="G4603">
        <v>2558655861</v>
      </c>
      <c r="H4603">
        <v>995018622</v>
      </c>
      <c r="I4603">
        <v>682227981</v>
      </c>
      <c r="J4603">
        <v>499798041</v>
      </c>
      <c r="K4603">
        <v>345474147</v>
      </c>
      <c r="P4603">
        <v>345</v>
      </c>
      <c r="Q4603" t="s">
        <v>9552</v>
      </c>
    </row>
    <row r="4604" spans="1:17" x14ac:dyDescent="0.3">
      <c r="A4604" t="s">
        <v>4729</v>
      </c>
      <c r="B4604" t="str">
        <f>"300816"</f>
        <v>300816</v>
      </c>
      <c r="C4604" t="s">
        <v>9553</v>
      </c>
      <c r="D4604" t="s">
        <v>985</v>
      </c>
      <c r="F4604">
        <v>818033368</v>
      </c>
      <c r="G4604">
        <v>769127458</v>
      </c>
      <c r="H4604">
        <v>299353940</v>
      </c>
      <c r="I4604">
        <v>195975849</v>
      </c>
      <c r="J4604">
        <v>143080566</v>
      </c>
      <c r="K4604">
        <v>98657368</v>
      </c>
      <c r="P4604">
        <v>150</v>
      </c>
      <c r="Q4604" t="s">
        <v>9554</v>
      </c>
    </row>
    <row r="4605" spans="1:17" x14ac:dyDescent="0.3">
      <c r="A4605" t="s">
        <v>4729</v>
      </c>
      <c r="B4605" t="str">
        <f>"300817"</f>
        <v>300817</v>
      </c>
      <c r="C4605" t="s">
        <v>9555</v>
      </c>
      <c r="D4605" t="s">
        <v>274</v>
      </c>
      <c r="F4605">
        <v>958006997</v>
      </c>
      <c r="G4605">
        <v>882325897</v>
      </c>
      <c r="H4605">
        <v>492802847</v>
      </c>
      <c r="I4605">
        <v>443573528</v>
      </c>
      <c r="J4605">
        <v>390735359</v>
      </c>
      <c r="K4605">
        <v>330547952</v>
      </c>
      <c r="P4605">
        <v>63</v>
      </c>
      <c r="Q4605" t="s">
        <v>9556</v>
      </c>
    </row>
    <row r="4606" spans="1:17" x14ac:dyDescent="0.3">
      <c r="A4606" t="s">
        <v>4729</v>
      </c>
      <c r="B4606" t="str">
        <f>"300818"</f>
        <v>300818</v>
      </c>
      <c r="C4606" t="s">
        <v>9557</v>
      </c>
      <c r="D4606" t="s">
        <v>404</v>
      </c>
      <c r="F4606">
        <v>1008731797</v>
      </c>
      <c r="G4606">
        <v>874554438</v>
      </c>
      <c r="H4606">
        <v>512074939</v>
      </c>
      <c r="I4606">
        <v>441577883</v>
      </c>
      <c r="J4606">
        <v>376257217</v>
      </c>
      <c r="K4606">
        <v>333703377</v>
      </c>
      <c r="P4606">
        <v>92</v>
      </c>
      <c r="Q4606" t="s">
        <v>9558</v>
      </c>
    </row>
    <row r="4607" spans="1:17" x14ac:dyDescent="0.3">
      <c r="A4607" t="s">
        <v>4729</v>
      </c>
      <c r="B4607" t="str">
        <f>"300819"</f>
        <v>300819</v>
      </c>
      <c r="C4607" t="s">
        <v>9559</v>
      </c>
      <c r="D4607" t="s">
        <v>366</v>
      </c>
      <c r="F4607">
        <v>805614634</v>
      </c>
      <c r="G4607">
        <v>804785705</v>
      </c>
      <c r="H4607">
        <v>462455651</v>
      </c>
      <c r="I4607">
        <v>402797419</v>
      </c>
      <c r="J4607">
        <v>351410936</v>
      </c>
      <c r="K4607">
        <v>220635793</v>
      </c>
      <c r="P4607">
        <v>50</v>
      </c>
      <c r="Q4607" t="s">
        <v>9560</v>
      </c>
    </row>
    <row r="4608" spans="1:17" x14ac:dyDescent="0.3">
      <c r="A4608" t="s">
        <v>4729</v>
      </c>
      <c r="B4608" t="str">
        <f>"300820"</f>
        <v>300820</v>
      </c>
      <c r="C4608" t="s">
        <v>9561</v>
      </c>
      <c r="D4608" t="s">
        <v>880</v>
      </c>
      <c r="F4608">
        <v>1188760253</v>
      </c>
      <c r="G4608">
        <v>1059795439</v>
      </c>
      <c r="H4608">
        <v>531615337</v>
      </c>
      <c r="I4608">
        <v>420641761</v>
      </c>
      <c r="J4608">
        <v>307391298</v>
      </c>
      <c r="K4608">
        <v>282809577</v>
      </c>
      <c r="P4608">
        <v>369</v>
      </c>
      <c r="Q4608" t="s">
        <v>9562</v>
      </c>
    </row>
    <row r="4609" spans="1:17" x14ac:dyDescent="0.3">
      <c r="A4609" t="s">
        <v>4729</v>
      </c>
      <c r="B4609" t="str">
        <f>"300821"</f>
        <v>300821</v>
      </c>
      <c r="C4609" t="s">
        <v>9563</v>
      </c>
      <c r="D4609" t="s">
        <v>1205</v>
      </c>
      <c r="F4609">
        <v>5125860011</v>
      </c>
      <c r="G4609">
        <v>4079130705</v>
      </c>
      <c r="H4609">
        <v>2107775760</v>
      </c>
      <c r="I4609">
        <v>1914350463</v>
      </c>
      <c r="J4609">
        <v>741306437</v>
      </c>
      <c r="P4609">
        <v>159</v>
      </c>
      <c r="Q4609" t="s">
        <v>9564</v>
      </c>
    </row>
    <row r="4610" spans="1:17" x14ac:dyDescent="0.3">
      <c r="A4610" t="s">
        <v>4729</v>
      </c>
      <c r="B4610" t="str">
        <f>"300822"</f>
        <v>300822</v>
      </c>
      <c r="C4610" t="s">
        <v>9565</v>
      </c>
      <c r="D4610" t="s">
        <v>313</v>
      </c>
      <c r="F4610">
        <v>1212844770</v>
      </c>
      <c r="G4610">
        <v>1139627846</v>
      </c>
      <c r="H4610">
        <v>464257550</v>
      </c>
      <c r="I4610">
        <v>319625818</v>
      </c>
      <c r="J4610">
        <v>220876396</v>
      </c>
      <c r="P4610">
        <v>131</v>
      </c>
      <c r="Q4610" t="s">
        <v>9566</v>
      </c>
    </row>
    <row r="4611" spans="1:17" x14ac:dyDescent="0.3">
      <c r="A4611" t="s">
        <v>4729</v>
      </c>
      <c r="B4611" t="str">
        <f>"300823"</f>
        <v>300823</v>
      </c>
      <c r="C4611" t="s">
        <v>9567</v>
      </c>
      <c r="D4611" t="s">
        <v>741</v>
      </c>
      <c r="F4611">
        <v>976866924</v>
      </c>
      <c r="G4611">
        <v>923676599</v>
      </c>
      <c r="H4611">
        <v>520115187</v>
      </c>
      <c r="I4611">
        <v>442827326</v>
      </c>
      <c r="J4611">
        <v>371048021</v>
      </c>
      <c r="P4611">
        <v>109</v>
      </c>
      <c r="Q4611" t="s">
        <v>9568</v>
      </c>
    </row>
    <row r="4612" spans="1:17" x14ac:dyDescent="0.3">
      <c r="A4612" t="s">
        <v>4729</v>
      </c>
      <c r="B4612" t="str">
        <f>"300824"</f>
        <v>300824</v>
      </c>
      <c r="C4612" t="s">
        <v>9569</v>
      </c>
      <c r="D4612" t="s">
        <v>5799</v>
      </c>
      <c r="F4612">
        <v>716815959</v>
      </c>
      <c r="G4612">
        <v>660727448</v>
      </c>
      <c r="H4612">
        <v>321249252</v>
      </c>
      <c r="I4612">
        <v>287391491</v>
      </c>
      <c r="J4612">
        <v>275100997</v>
      </c>
      <c r="K4612">
        <v>240399241</v>
      </c>
      <c r="P4612">
        <v>167</v>
      </c>
      <c r="Q4612" t="s">
        <v>9570</v>
      </c>
    </row>
    <row r="4613" spans="1:17" x14ac:dyDescent="0.3">
      <c r="A4613" t="s">
        <v>4729</v>
      </c>
      <c r="B4613" t="str">
        <f>"300825"</f>
        <v>300825</v>
      </c>
      <c r="C4613" t="s">
        <v>9571</v>
      </c>
      <c r="D4613" t="s">
        <v>2368</v>
      </c>
      <c r="F4613">
        <v>2516786264</v>
      </c>
      <c r="G4613">
        <v>1471741365</v>
      </c>
      <c r="H4613">
        <v>951704708</v>
      </c>
      <c r="I4613">
        <v>820831620</v>
      </c>
      <c r="J4613">
        <v>699115018</v>
      </c>
      <c r="P4613">
        <v>92</v>
      </c>
      <c r="Q4613" t="s">
        <v>9572</v>
      </c>
    </row>
    <row r="4614" spans="1:17" x14ac:dyDescent="0.3">
      <c r="A4614" t="s">
        <v>4729</v>
      </c>
      <c r="B4614" t="str">
        <f>"300826"</f>
        <v>300826</v>
      </c>
      <c r="C4614" t="s">
        <v>9573</v>
      </c>
      <c r="D4614" t="s">
        <v>1272</v>
      </c>
      <c r="F4614">
        <v>1041586023</v>
      </c>
      <c r="G4614">
        <v>1018867675</v>
      </c>
      <c r="H4614">
        <v>543665328</v>
      </c>
      <c r="I4614">
        <v>474505898</v>
      </c>
      <c r="J4614">
        <v>410044130</v>
      </c>
      <c r="P4614">
        <v>61</v>
      </c>
      <c r="Q4614" t="s">
        <v>9574</v>
      </c>
    </row>
    <row r="4615" spans="1:17" x14ac:dyDescent="0.3">
      <c r="A4615" t="s">
        <v>4729</v>
      </c>
      <c r="B4615" t="str">
        <f>"300827"</f>
        <v>300827</v>
      </c>
      <c r="C4615" t="s">
        <v>9575</v>
      </c>
      <c r="D4615" t="s">
        <v>3824</v>
      </c>
      <c r="F4615">
        <v>888453510</v>
      </c>
      <c r="G4615">
        <v>844855993</v>
      </c>
      <c r="H4615">
        <v>411193166</v>
      </c>
      <c r="I4615">
        <v>334500299</v>
      </c>
      <c r="J4615">
        <v>269689928</v>
      </c>
      <c r="P4615">
        <v>233</v>
      </c>
      <c r="Q4615" t="s">
        <v>9576</v>
      </c>
    </row>
    <row r="4616" spans="1:17" x14ac:dyDescent="0.3">
      <c r="A4616" t="s">
        <v>4729</v>
      </c>
      <c r="B4616" t="str">
        <f>"300828"</f>
        <v>300828</v>
      </c>
      <c r="C4616" t="s">
        <v>9577</v>
      </c>
      <c r="D4616" t="s">
        <v>274</v>
      </c>
      <c r="F4616">
        <v>775809790</v>
      </c>
      <c r="G4616">
        <v>733192135</v>
      </c>
      <c r="H4616">
        <v>388967584</v>
      </c>
      <c r="I4616">
        <v>347078510</v>
      </c>
      <c r="J4616">
        <v>306216289</v>
      </c>
      <c r="P4616">
        <v>91</v>
      </c>
      <c r="Q4616" t="s">
        <v>9578</v>
      </c>
    </row>
    <row r="4617" spans="1:17" x14ac:dyDescent="0.3">
      <c r="A4617" t="s">
        <v>4729</v>
      </c>
      <c r="B4617" t="str">
        <f>"300829"</f>
        <v>300829</v>
      </c>
      <c r="C4617" t="s">
        <v>9579</v>
      </c>
      <c r="D4617" t="s">
        <v>677</v>
      </c>
      <c r="F4617">
        <v>1411047163</v>
      </c>
      <c r="G4617">
        <v>1301347039</v>
      </c>
      <c r="H4617">
        <v>639959036</v>
      </c>
      <c r="I4617">
        <v>524759229</v>
      </c>
      <c r="J4617">
        <v>453939179</v>
      </c>
      <c r="P4617">
        <v>125</v>
      </c>
      <c r="Q4617" t="s">
        <v>9580</v>
      </c>
    </row>
    <row r="4618" spans="1:17" x14ac:dyDescent="0.3">
      <c r="A4618" t="s">
        <v>4729</v>
      </c>
      <c r="B4618" t="str">
        <f>"300830"</f>
        <v>300830</v>
      </c>
      <c r="C4618" t="s">
        <v>9581</v>
      </c>
      <c r="D4618" t="s">
        <v>945</v>
      </c>
      <c r="F4618">
        <v>1184420945</v>
      </c>
      <c r="G4618">
        <v>1109557802</v>
      </c>
      <c r="H4618">
        <v>708121781</v>
      </c>
      <c r="I4618">
        <v>618377405</v>
      </c>
      <c r="J4618">
        <v>517943464</v>
      </c>
      <c r="K4618">
        <v>331251094</v>
      </c>
      <c r="P4618">
        <v>74</v>
      </c>
      <c r="Q4618" t="s">
        <v>9582</v>
      </c>
    </row>
    <row r="4619" spans="1:17" x14ac:dyDescent="0.3">
      <c r="A4619" t="s">
        <v>4729</v>
      </c>
      <c r="B4619" t="str">
        <f>"300831"</f>
        <v>300831</v>
      </c>
      <c r="C4619" t="s">
        <v>9583</v>
      </c>
      <c r="D4619" t="s">
        <v>795</v>
      </c>
      <c r="F4619">
        <v>806698121</v>
      </c>
      <c r="G4619">
        <v>758760135</v>
      </c>
      <c r="H4619">
        <v>471425423</v>
      </c>
      <c r="I4619">
        <v>406715391</v>
      </c>
      <c r="J4619">
        <v>349478146</v>
      </c>
      <c r="P4619">
        <v>129</v>
      </c>
      <c r="Q4619" t="s">
        <v>9584</v>
      </c>
    </row>
    <row r="4620" spans="1:17" x14ac:dyDescent="0.3">
      <c r="A4620" t="s">
        <v>4729</v>
      </c>
      <c r="B4620" t="str">
        <f>"300832"</f>
        <v>300832</v>
      </c>
      <c r="C4620" t="s">
        <v>9585</v>
      </c>
      <c r="D4620" t="s">
        <v>1305</v>
      </c>
      <c r="F4620">
        <v>5611998691</v>
      </c>
      <c r="G4620">
        <v>4804207896</v>
      </c>
      <c r="H4620">
        <v>3138793168</v>
      </c>
      <c r="I4620">
        <v>2366279412</v>
      </c>
      <c r="J4620">
        <v>1772229051</v>
      </c>
      <c r="P4620">
        <v>513</v>
      </c>
      <c r="Q4620" t="s">
        <v>9586</v>
      </c>
    </row>
    <row r="4621" spans="1:17" x14ac:dyDescent="0.3">
      <c r="A4621" t="s">
        <v>4729</v>
      </c>
      <c r="B4621" t="str">
        <f>"300833"</f>
        <v>300833</v>
      </c>
      <c r="C4621" t="s">
        <v>9587</v>
      </c>
      <c r="D4621" t="s">
        <v>741</v>
      </c>
      <c r="F4621">
        <v>1854557651</v>
      </c>
      <c r="G4621">
        <v>1757713032</v>
      </c>
      <c r="H4621">
        <v>667628335</v>
      </c>
      <c r="I4621">
        <v>471885069</v>
      </c>
      <c r="J4621">
        <v>358814245</v>
      </c>
      <c r="P4621">
        <v>89</v>
      </c>
      <c r="Q4621" t="s">
        <v>9588</v>
      </c>
    </row>
    <row r="4622" spans="1:17" x14ac:dyDescent="0.3">
      <c r="A4622" t="s">
        <v>4729</v>
      </c>
      <c r="B4622" t="str">
        <f>"300834"</f>
        <v>300834</v>
      </c>
      <c r="C4622" t="s">
        <v>9589</v>
      </c>
      <c r="D4622" t="s">
        <v>3377</v>
      </c>
      <c r="F4622">
        <v>768317779</v>
      </c>
      <c r="G4622">
        <v>477430402</v>
      </c>
      <c r="H4622">
        <v>296881282</v>
      </c>
      <c r="I4622">
        <v>324200327</v>
      </c>
      <c r="J4622">
        <v>352679934</v>
      </c>
      <c r="P4622">
        <v>19</v>
      </c>
      <c r="Q4622" t="s">
        <v>9590</v>
      </c>
    </row>
    <row r="4623" spans="1:17" x14ac:dyDescent="0.3">
      <c r="A4623" t="s">
        <v>4729</v>
      </c>
      <c r="B4623" t="str">
        <f>"300835"</f>
        <v>300835</v>
      </c>
      <c r="C4623" t="s">
        <v>9591</v>
      </c>
      <c r="D4623" t="s">
        <v>808</v>
      </c>
      <c r="F4623">
        <v>952781720</v>
      </c>
      <c r="G4623">
        <v>836848383</v>
      </c>
      <c r="H4623">
        <v>535529353</v>
      </c>
      <c r="I4623">
        <v>419618663</v>
      </c>
      <c r="J4623">
        <v>338443008</v>
      </c>
      <c r="P4623">
        <v>67</v>
      </c>
      <c r="Q4623" t="s">
        <v>9592</v>
      </c>
    </row>
    <row r="4624" spans="1:17" x14ac:dyDescent="0.3">
      <c r="A4624" t="s">
        <v>4729</v>
      </c>
      <c r="B4624" t="str">
        <f>"300836"</f>
        <v>300836</v>
      </c>
      <c r="C4624" t="s">
        <v>9593</v>
      </c>
      <c r="D4624" t="s">
        <v>741</v>
      </c>
      <c r="F4624">
        <v>604260772</v>
      </c>
      <c r="G4624">
        <v>614597166</v>
      </c>
      <c r="H4624">
        <v>298847435</v>
      </c>
      <c r="I4624">
        <v>234574241</v>
      </c>
      <c r="J4624">
        <v>183841135</v>
      </c>
      <c r="P4624">
        <v>61</v>
      </c>
      <c r="Q4624" t="s">
        <v>9594</v>
      </c>
    </row>
    <row r="4625" spans="1:17" x14ac:dyDescent="0.3">
      <c r="A4625" t="s">
        <v>4729</v>
      </c>
      <c r="B4625" t="str">
        <f>"300837"</f>
        <v>300837</v>
      </c>
      <c r="C4625" t="s">
        <v>9595</v>
      </c>
      <c r="D4625" t="s">
        <v>395</v>
      </c>
      <c r="F4625">
        <v>1070384814</v>
      </c>
      <c r="G4625">
        <v>942771889</v>
      </c>
      <c r="H4625">
        <v>440129328</v>
      </c>
      <c r="I4625">
        <v>343938079</v>
      </c>
      <c r="J4625">
        <v>269422101</v>
      </c>
      <c r="P4625">
        <v>154</v>
      </c>
      <c r="Q4625" t="s">
        <v>9596</v>
      </c>
    </row>
    <row r="4626" spans="1:17" x14ac:dyDescent="0.3">
      <c r="A4626" t="s">
        <v>4729</v>
      </c>
      <c r="B4626" t="str">
        <f>"300838"</f>
        <v>300838</v>
      </c>
      <c r="C4626" t="s">
        <v>9597</v>
      </c>
      <c r="D4626" t="s">
        <v>274</v>
      </c>
      <c r="F4626">
        <v>838165711</v>
      </c>
      <c r="G4626">
        <v>773351108</v>
      </c>
      <c r="H4626">
        <v>386659814</v>
      </c>
      <c r="I4626">
        <v>334102139</v>
      </c>
      <c r="J4626">
        <v>277152300</v>
      </c>
      <c r="P4626">
        <v>39</v>
      </c>
      <c r="Q4626" t="s">
        <v>9598</v>
      </c>
    </row>
    <row r="4627" spans="1:17" x14ac:dyDescent="0.3">
      <c r="A4627" t="s">
        <v>4729</v>
      </c>
      <c r="B4627" t="str">
        <f>"300839"</f>
        <v>300839</v>
      </c>
      <c r="C4627" t="s">
        <v>9599</v>
      </c>
      <c r="D4627" t="s">
        <v>1617</v>
      </c>
      <c r="F4627">
        <v>866326664</v>
      </c>
      <c r="G4627">
        <v>834547163</v>
      </c>
      <c r="H4627">
        <v>425856999</v>
      </c>
      <c r="I4627">
        <v>373525446</v>
      </c>
      <c r="J4627">
        <v>307471555</v>
      </c>
      <c r="P4627">
        <v>58</v>
      </c>
      <c r="Q4627" t="s">
        <v>9600</v>
      </c>
    </row>
    <row r="4628" spans="1:17" x14ac:dyDescent="0.3">
      <c r="A4628" t="s">
        <v>4729</v>
      </c>
      <c r="B4628" t="str">
        <f>"300840"</f>
        <v>300840</v>
      </c>
      <c r="C4628" t="s">
        <v>9601</v>
      </c>
      <c r="D4628" t="s">
        <v>255</v>
      </c>
      <c r="F4628">
        <v>1003896253</v>
      </c>
      <c r="G4628">
        <v>946833261</v>
      </c>
      <c r="H4628">
        <v>583637319</v>
      </c>
      <c r="I4628">
        <v>514450654</v>
      </c>
      <c r="J4628">
        <v>450854406</v>
      </c>
      <c r="K4628">
        <v>404555892</v>
      </c>
      <c r="P4628">
        <v>64</v>
      </c>
      <c r="Q4628" t="s">
        <v>9602</v>
      </c>
    </row>
    <row r="4629" spans="1:17" x14ac:dyDescent="0.3">
      <c r="A4629" t="s">
        <v>4729</v>
      </c>
      <c r="B4629" t="str">
        <f>"300841"</f>
        <v>300841</v>
      </c>
      <c r="C4629" t="s">
        <v>9603</v>
      </c>
      <c r="D4629" t="s">
        <v>1499</v>
      </c>
      <c r="F4629">
        <v>2670300729</v>
      </c>
      <c r="G4629">
        <v>1974434296</v>
      </c>
      <c r="H4629">
        <v>574650243</v>
      </c>
      <c r="I4629">
        <v>367700453</v>
      </c>
      <c r="J4629">
        <v>188369282</v>
      </c>
      <c r="K4629">
        <v>-96213665</v>
      </c>
      <c r="P4629">
        <v>314</v>
      </c>
      <c r="Q4629" t="s">
        <v>9604</v>
      </c>
    </row>
    <row r="4630" spans="1:17" x14ac:dyDescent="0.3">
      <c r="A4630" t="s">
        <v>4729</v>
      </c>
      <c r="B4630" t="str">
        <f>"300842"</f>
        <v>300842</v>
      </c>
      <c r="C4630" t="s">
        <v>9605</v>
      </c>
      <c r="D4630" t="s">
        <v>478</v>
      </c>
      <c r="F4630">
        <v>931922065</v>
      </c>
      <c r="G4630">
        <v>834590153</v>
      </c>
      <c r="H4630">
        <v>402672964</v>
      </c>
      <c r="I4630">
        <v>332158055</v>
      </c>
      <c r="J4630">
        <v>268249024</v>
      </c>
      <c r="K4630">
        <v>47942690</v>
      </c>
      <c r="P4630">
        <v>130</v>
      </c>
      <c r="Q4630" t="s">
        <v>9606</v>
      </c>
    </row>
    <row r="4631" spans="1:17" x14ac:dyDescent="0.3">
      <c r="A4631" t="s">
        <v>4729</v>
      </c>
      <c r="B4631" t="str">
        <f>"300843"</f>
        <v>300843</v>
      </c>
      <c r="C4631" t="s">
        <v>9607</v>
      </c>
      <c r="D4631" t="s">
        <v>313</v>
      </c>
      <c r="F4631">
        <v>939347968</v>
      </c>
      <c r="G4631">
        <v>847681634</v>
      </c>
      <c r="H4631">
        <v>426408354</v>
      </c>
      <c r="I4631">
        <v>347094553</v>
      </c>
      <c r="J4631">
        <v>277639009</v>
      </c>
      <c r="K4631">
        <v>223286719</v>
      </c>
      <c r="P4631">
        <v>80</v>
      </c>
      <c r="Q4631" t="s">
        <v>9608</v>
      </c>
    </row>
    <row r="4632" spans="1:17" x14ac:dyDescent="0.3">
      <c r="A4632" t="s">
        <v>4729</v>
      </c>
      <c r="B4632" t="str">
        <f>"300844"</f>
        <v>300844</v>
      </c>
      <c r="C4632" t="s">
        <v>9609</v>
      </c>
      <c r="D4632" t="s">
        <v>1272</v>
      </c>
      <c r="F4632">
        <v>967895556</v>
      </c>
      <c r="G4632">
        <v>227513932</v>
      </c>
      <c r="H4632">
        <v>169128713</v>
      </c>
      <c r="I4632">
        <v>87167434</v>
      </c>
      <c r="J4632">
        <v>46880847</v>
      </c>
      <c r="P4632">
        <v>16</v>
      </c>
      <c r="Q4632" t="s">
        <v>9610</v>
      </c>
    </row>
    <row r="4633" spans="1:17" x14ac:dyDescent="0.3">
      <c r="A4633" t="s">
        <v>4729</v>
      </c>
      <c r="B4633" t="str">
        <f>"300845"</f>
        <v>300845</v>
      </c>
      <c r="C4633" t="s">
        <v>9611</v>
      </c>
      <c r="D4633" t="s">
        <v>236</v>
      </c>
      <c r="F4633">
        <v>749638451</v>
      </c>
      <c r="G4633">
        <v>769386897</v>
      </c>
      <c r="H4633">
        <v>361512892</v>
      </c>
      <c r="I4633">
        <v>301872739</v>
      </c>
      <c r="J4633">
        <v>206039741</v>
      </c>
      <c r="K4633">
        <v>165961677</v>
      </c>
      <c r="P4633">
        <v>83</v>
      </c>
      <c r="Q4633" t="s">
        <v>9612</v>
      </c>
    </row>
    <row r="4634" spans="1:17" x14ac:dyDescent="0.3">
      <c r="A4634" t="s">
        <v>4729</v>
      </c>
      <c r="B4634" t="str">
        <f>"300846"</f>
        <v>300846</v>
      </c>
      <c r="C4634" t="s">
        <v>9613</v>
      </c>
      <c r="D4634" t="s">
        <v>316</v>
      </c>
      <c r="F4634">
        <v>648885504</v>
      </c>
      <c r="G4634">
        <v>749002030</v>
      </c>
      <c r="H4634">
        <v>618302062</v>
      </c>
      <c r="I4634">
        <v>547648919</v>
      </c>
      <c r="J4634">
        <v>528065606</v>
      </c>
      <c r="K4634">
        <v>253427910</v>
      </c>
      <c r="P4634">
        <v>78</v>
      </c>
      <c r="Q4634" t="s">
        <v>9614</v>
      </c>
    </row>
    <row r="4635" spans="1:17" x14ac:dyDescent="0.3">
      <c r="A4635" t="s">
        <v>4729</v>
      </c>
      <c r="B4635" t="str">
        <f>"300847"</f>
        <v>300847</v>
      </c>
      <c r="C4635" t="s">
        <v>9615</v>
      </c>
      <c r="D4635" t="s">
        <v>386</v>
      </c>
      <c r="F4635">
        <v>1169189141</v>
      </c>
      <c r="G4635">
        <v>1077691820</v>
      </c>
      <c r="H4635">
        <v>683689784</v>
      </c>
      <c r="I4635">
        <v>619275709</v>
      </c>
      <c r="J4635">
        <v>560824471</v>
      </c>
      <c r="K4635">
        <v>357829123</v>
      </c>
      <c r="P4635">
        <v>53</v>
      </c>
      <c r="Q4635" t="s">
        <v>9616</v>
      </c>
    </row>
    <row r="4636" spans="1:17" x14ac:dyDescent="0.3">
      <c r="A4636" t="s">
        <v>4729</v>
      </c>
      <c r="B4636" t="str">
        <f>"300848"</f>
        <v>300848</v>
      </c>
      <c r="C4636" t="s">
        <v>9617</v>
      </c>
      <c r="D4636" t="s">
        <v>528</v>
      </c>
      <c r="F4636">
        <v>888840557</v>
      </c>
      <c r="G4636">
        <v>783027810</v>
      </c>
      <c r="H4636">
        <v>259973464</v>
      </c>
      <c r="I4636">
        <v>196609642</v>
      </c>
      <c r="J4636">
        <v>151235973</v>
      </c>
      <c r="K4636">
        <v>113325545</v>
      </c>
      <c r="P4636">
        <v>125</v>
      </c>
      <c r="Q4636" t="s">
        <v>9618</v>
      </c>
    </row>
    <row r="4637" spans="1:17" x14ac:dyDescent="0.3">
      <c r="A4637" t="s">
        <v>4729</v>
      </c>
      <c r="B4637" t="str">
        <f>"300849"</f>
        <v>300849</v>
      </c>
      <c r="C4637" t="s">
        <v>9619</v>
      </c>
      <c r="D4637" t="s">
        <v>5979</v>
      </c>
      <c r="F4637">
        <v>682786099</v>
      </c>
      <c r="G4637">
        <v>697199138</v>
      </c>
      <c r="H4637">
        <v>369859766</v>
      </c>
      <c r="I4637">
        <v>304218551</v>
      </c>
      <c r="J4637">
        <v>250705465</v>
      </c>
      <c r="K4637">
        <v>207832586</v>
      </c>
      <c r="P4637">
        <v>44</v>
      </c>
      <c r="Q4637" t="s">
        <v>9620</v>
      </c>
    </row>
    <row r="4638" spans="1:17" x14ac:dyDescent="0.3">
      <c r="A4638" t="s">
        <v>4729</v>
      </c>
      <c r="B4638" t="str">
        <f>"300850"</f>
        <v>300850</v>
      </c>
      <c r="C4638" t="s">
        <v>9621</v>
      </c>
      <c r="D4638" t="s">
        <v>950</v>
      </c>
      <c r="F4638">
        <v>3435771501</v>
      </c>
      <c r="G4638">
        <v>1513419494</v>
      </c>
      <c r="H4638">
        <v>640224736</v>
      </c>
      <c r="I4638">
        <v>540230105</v>
      </c>
      <c r="J4638">
        <v>482264139</v>
      </c>
      <c r="K4638">
        <v>438580415</v>
      </c>
      <c r="P4638">
        <v>264</v>
      </c>
      <c r="Q4638" t="s">
        <v>9622</v>
      </c>
    </row>
    <row r="4639" spans="1:17" x14ac:dyDescent="0.3">
      <c r="A4639" t="s">
        <v>4729</v>
      </c>
      <c r="B4639" t="str">
        <f>"300851"</f>
        <v>300851</v>
      </c>
      <c r="C4639" t="s">
        <v>9623</v>
      </c>
      <c r="D4639" t="s">
        <v>1012</v>
      </c>
      <c r="F4639">
        <v>1230010554</v>
      </c>
      <c r="G4639">
        <v>1160477294</v>
      </c>
      <c r="H4639">
        <v>536550420</v>
      </c>
      <c r="I4639">
        <v>444575160</v>
      </c>
      <c r="J4639">
        <v>359607771</v>
      </c>
      <c r="K4639">
        <v>373791014</v>
      </c>
      <c r="P4639">
        <v>45</v>
      </c>
      <c r="Q4639" t="s">
        <v>9624</v>
      </c>
    </row>
    <row r="4640" spans="1:17" x14ac:dyDescent="0.3">
      <c r="A4640" t="s">
        <v>4729</v>
      </c>
      <c r="B4640" t="str">
        <f>"300852"</f>
        <v>300852</v>
      </c>
      <c r="C4640" t="s">
        <v>9625</v>
      </c>
      <c r="D4640" t="s">
        <v>425</v>
      </c>
      <c r="F4640">
        <v>1039838249</v>
      </c>
      <c r="G4640">
        <v>878245323</v>
      </c>
      <c r="H4640">
        <v>354554944</v>
      </c>
      <c r="I4640">
        <v>266755464</v>
      </c>
      <c r="J4640">
        <v>180102208</v>
      </c>
      <c r="K4640">
        <v>123287856</v>
      </c>
      <c r="P4640">
        <v>103</v>
      </c>
      <c r="Q4640" t="s">
        <v>9626</v>
      </c>
    </row>
    <row r="4641" spans="1:17" x14ac:dyDescent="0.3">
      <c r="A4641" t="s">
        <v>4729</v>
      </c>
      <c r="B4641" t="str">
        <f>"300853"</f>
        <v>300853</v>
      </c>
      <c r="C4641" t="s">
        <v>9627</v>
      </c>
      <c r="D4641" t="s">
        <v>2938</v>
      </c>
      <c r="F4641">
        <v>1304692228</v>
      </c>
      <c r="G4641">
        <v>1154009584</v>
      </c>
      <c r="H4641">
        <v>446378389</v>
      </c>
      <c r="I4641">
        <v>353318288</v>
      </c>
      <c r="J4641">
        <v>278254884</v>
      </c>
      <c r="K4641">
        <v>212931284</v>
      </c>
      <c r="P4641">
        <v>142</v>
      </c>
      <c r="Q4641" t="s">
        <v>9628</v>
      </c>
    </row>
    <row r="4642" spans="1:17" x14ac:dyDescent="0.3">
      <c r="A4642" t="s">
        <v>4729</v>
      </c>
      <c r="B4642" t="str">
        <f>"300854"</f>
        <v>300854</v>
      </c>
      <c r="C4642" t="s">
        <v>9629</v>
      </c>
      <c r="D4642" t="s">
        <v>499</v>
      </c>
      <c r="F4642">
        <v>948874053</v>
      </c>
      <c r="G4642">
        <v>649363710</v>
      </c>
      <c r="H4642">
        <v>561217941</v>
      </c>
      <c r="I4642">
        <v>389314994</v>
      </c>
      <c r="J4642">
        <v>344886155</v>
      </c>
      <c r="P4642">
        <v>19</v>
      </c>
      <c r="Q4642" t="s">
        <v>9630</v>
      </c>
    </row>
    <row r="4643" spans="1:17" x14ac:dyDescent="0.3">
      <c r="A4643" t="s">
        <v>4729</v>
      </c>
      <c r="B4643" t="str">
        <f>"300855"</f>
        <v>300855</v>
      </c>
      <c r="C4643" t="s">
        <v>9631</v>
      </c>
      <c r="D4643" t="s">
        <v>581</v>
      </c>
      <c r="F4643">
        <v>1225902839</v>
      </c>
      <c r="G4643">
        <v>1061055980</v>
      </c>
      <c r="H4643">
        <v>485164026</v>
      </c>
      <c r="I4643">
        <v>399802047</v>
      </c>
      <c r="J4643">
        <v>292069078</v>
      </c>
      <c r="K4643">
        <v>249114933</v>
      </c>
      <c r="P4643">
        <v>139</v>
      </c>
      <c r="Q4643" t="s">
        <v>9632</v>
      </c>
    </row>
    <row r="4644" spans="1:17" x14ac:dyDescent="0.3">
      <c r="A4644" t="s">
        <v>4729</v>
      </c>
      <c r="B4644" t="str">
        <f>"300856"</f>
        <v>300856</v>
      </c>
      <c r="C4644" t="s">
        <v>9633</v>
      </c>
      <c r="D4644" t="s">
        <v>5979</v>
      </c>
      <c r="F4644">
        <v>1589660199</v>
      </c>
      <c r="G4644">
        <v>1475394199</v>
      </c>
      <c r="H4644">
        <v>545075891</v>
      </c>
      <c r="I4644">
        <v>413000591</v>
      </c>
      <c r="J4644">
        <v>332048671</v>
      </c>
      <c r="K4644">
        <v>279426195</v>
      </c>
      <c r="P4644">
        <v>131</v>
      </c>
      <c r="Q4644" t="s">
        <v>9634</v>
      </c>
    </row>
    <row r="4645" spans="1:17" x14ac:dyDescent="0.3">
      <c r="A4645" t="s">
        <v>4729</v>
      </c>
      <c r="B4645" t="str">
        <f>"300857"</f>
        <v>300857</v>
      </c>
      <c r="C4645" t="s">
        <v>9635</v>
      </c>
      <c r="D4645" t="s">
        <v>313</v>
      </c>
      <c r="F4645">
        <v>1293517500</v>
      </c>
      <c r="G4645">
        <v>1174786670</v>
      </c>
      <c r="H4645">
        <v>640715224</v>
      </c>
      <c r="I4645">
        <v>545435495</v>
      </c>
      <c r="J4645">
        <v>397615535</v>
      </c>
      <c r="K4645">
        <v>286008052</v>
      </c>
      <c r="P4645">
        <v>59</v>
      </c>
      <c r="Q4645" t="s">
        <v>9636</v>
      </c>
    </row>
    <row r="4646" spans="1:17" x14ac:dyDescent="0.3">
      <c r="A4646" t="s">
        <v>4729</v>
      </c>
      <c r="B4646" t="str">
        <f>"300858"</f>
        <v>300858</v>
      </c>
      <c r="C4646" t="s">
        <v>9637</v>
      </c>
      <c r="D4646" t="s">
        <v>677</v>
      </c>
      <c r="F4646">
        <v>967396766</v>
      </c>
      <c r="G4646">
        <v>932587209</v>
      </c>
      <c r="H4646">
        <v>399828909</v>
      </c>
      <c r="I4646">
        <v>301833654</v>
      </c>
      <c r="J4646">
        <v>281085186</v>
      </c>
      <c r="P4646">
        <v>75</v>
      </c>
      <c r="Q4646" t="s">
        <v>9638</v>
      </c>
    </row>
    <row r="4647" spans="1:17" x14ac:dyDescent="0.3">
      <c r="A4647" t="s">
        <v>4729</v>
      </c>
      <c r="B4647" t="str">
        <f>"300859"</f>
        <v>300859</v>
      </c>
      <c r="C4647" t="s">
        <v>9639</v>
      </c>
      <c r="D4647" t="s">
        <v>119</v>
      </c>
      <c r="F4647">
        <v>636633706</v>
      </c>
      <c r="G4647">
        <v>609635543</v>
      </c>
      <c r="H4647">
        <v>416102830</v>
      </c>
      <c r="I4647">
        <v>365019029</v>
      </c>
      <c r="J4647">
        <v>325654388</v>
      </c>
      <c r="K4647">
        <v>292190811</v>
      </c>
      <c r="L4647">
        <v>163911714</v>
      </c>
      <c r="P4647">
        <v>69</v>
      </c>
      <c r="Q4647" t="s">
        <v>9640</v>
      </c>
    </row>
    <row r="4648" spans="1:17" x14ac:dyDescent="0.3">
      <c r="A4648" t="s">
        <v>4729</v>
      </c>
      <c r="B4648" t="str">
        <f>"300860"</f>
        <v>300860</v>
      </c>
      <c r="C4648" t="s">
        <v>9641</v>
      </c>
      <c r="D4648" t="s">
        <v>1673</v>
      </c>
      <c r="F4648">
        <v>3185700007</v>
      </c>
      <c r="G4648">
        <v>3162222791</v>
      </c>
      <c r="H4648">
        <v>629390962</v>
      </c>
      <c r="I4648">
        <v>374707546</v>
      </c>
      <c r="J4648">
        <v>235338137</v>
      </c>
      <c r="K4648">
        <v>109781573</v>
      </c>
      <c r="L4648">
        <v>74744791</v>
      </c>
      <c r="P4648">
        <v>95</v>
      </c>
      <c r="Q4648" t="s">
        <v>9642</v>
      </c>
    </row>
    <row r="4649" spans="1:17" x14ac:dyDescent="0.3">
      <c r="A4649" t="s">
        <v>4729</v>
      </c>
      <c r="B4649" t="str">
        <f>"300861"</f>
        <v>300861</v>
      </c>
      <c r="C4649" t="s">
        <v>9643</v>
      </c>
      <c r="D4649" t="s">
        <v>404</v>
      </c>
      <c r="F4649">
        <v>4017287972</v>
      </c>
      <c r="G4649">
        <v>3454116709</v>
      </c>
      <c r="H4649">
        <v>1375078240</v>
      </c>
      <c r="I4649">
        <v>1255400688</v>
      </c>
      <c r="J4649">
        <v>880997673</v>
      </c>
      <c r="K4649">
        <v>203461200</v>
      </c>
      <c r="L4649">
        <v>32457600</v>
      </c>
      <c r="P4649">
        <v>147</v>
      </c>
      <c r="Q4649" t="s">
        <v>9644</v>
      </c>
    </row>
    <row r="4650" spans="1:17" x14ac:dyDescent="0.3">
      <c r="A4650" t="s">
        <v>4729</v>
      </c>
      <c r="B4650" t="str">
        <f>"300862"</f>
        <v>300862</v>
      </c>
      <c r="C4650" t="s">
        <v>9645</v>
      </c>
      <c r="D4650" t="s">
        <v>2566</v>
      </c>
      <c r="F4650">
        <v>1951857201</v>
      </c>
      <c r="G4650">
        <v>1796237474</v>
      </c>
      <c r="H4650">
        <v>589450107</v>
      </c>
      <c r="I4650">
        <v>436829983</v>
      </c>
      <c r="J4650">
        <v>353054169</v>
      </c>
      <c r="K4650">
        <v>254272009</v>
      </c>
      <c r="P4650">
        <v>68</v>
      </c>
      <c r="Q4650" t="s">
        <v>9646</v>
      </c>
    </row>
    <row r="4651" spans="1:17" x14ac:dyDescent="0.3">
      <c r="A4651" t="s">
        <v>4729</v>
      </c>
      <c r="B4651" t="str">
        <f>"300863"</f>
        <v>300863</v>
      </c>
      <c r="C4651" t="s">
        <v>9647</v>
      </c>
      <c r="D4651" t="s">
        <v>1415</v>
      </c>
      <c r="F4651">
        <v>647249520</v>
      </c>
      <c r="G4651">
        <v>580238988</v>
      </c>
      <c r="H4651">
        <v>311449684</v>
      </c>
      <c r="I4651">
        <v>251100093</v>
      </c>
      <c r="J4651">
        <v>197814268</v>
      </c>
      <c r="K4651">
        <v>86688079</v>
      </c>
      <c r="P4651">
        <v>75</v>
      </c>
      <c r="Q4651" t="s">
        <v>9648</v>
      </c>
    </row>
    <row r="4652" spans="1:17" x14ac:dyDescent="0.3">
      <c r="A4652" t="s">
        <v>4729</v>
      </c>
      <c r="B4652" t="str">
        <f>"300864"</f>
        <v>300864</v>
      </c>
      <c r="C4652" t="s">
        <v>9649</v>
      </c>
      <c r="D4652" t="s">
        <v>3575</v>
      </c>
      <c r="F4652">
        <v>1114640485</v>
      </c>
      <c r="G4652">
        <v>1069661696</v>
      </c>
      <c r="H4652">
        <v>193295151</v>
      </c>
      <c r="I4652">
        <v>109408120</v>
      </c>
      <c r="J4652">
        <v>71500515</v>
      </c>
      <c r="K4652">
        <v>48231400</v>
      </c>
      <c r="P4652">
        <v>121</v>
      </c>
      <c r="Q4652" t="s">
        <v>9650</v>
      </c>
    </row>
    <row r="4653" spans="1:17" x14ac:dyDescent="0.3">
      <c r="A4653" t="s">
        <v>4729</v>
      </c>
      <c r="B4653" t="str">
        <f>"300865"</f>
        <v>300865</v>
      </c>
      <c r="C4653" t="s">
        <v>9651</v>
      </c>
      <c r="D4653" t="s">
        <v>395</v>
      </c>
      <c r="F4653">
        <v>894700702</v>
      </c>
      <c r="G4653">
        <v>882645208</v>
      </c>
      <c r="H4653">
        <v>411005408</v>
      </c>
      <c r="I4653">
        <v>350493637</v>
      </c>
      <c r="J4653">
        <v>304176212</v>
      </c>
      <c r="K4653">
        <v>265525079</v>
      </c>
      <c r="P4653">
        <v>43</v>
      </c>
      <c r="Q4653" t="s">
        <v>9652</v>
      </c>
    </row>
    <row r="4654" spans="1:17" x14ac:dyDescent="0.3">
      <c r="A4654" t="s">
        <v>4729</v>
      </c>
      <c r="B4654" t="str">
        <f>"300866"</f>
        <v>300866</v>
      </c>
      <c r="C4654" t="s">
        <v>9653</v>
      </c>
      <c r="D4654" t="s">
        <v>3526</v>
      </c>
      <c r="F4654">
        <v>6049422703</v>
      </c>
      <c r="G4654">
        <v>5398515452</v>
      </c>
      <c r="H4654">
        <v>1964086144</v>
      </c>
      <c r="I4654">
        <v>1344200647</v>
      </c>
      <c r="J4654">
        <v>1016340390</v>
      </c>
      <c r="K4654">
        <v>464550216</v>
      </c>
      <c r="P4654">
        <v>311</v>
      </c>
      <c r="Q4654" t="s">
        <v>9654</v>
      </c>
    </row>
    <row r="4655" spans="1:17" x14ac:dyDescent="0.3">
      <c r="A4655" t="s">
        <v>4729</v>
      </c>
      <c r="B4655" t="str">
        <f>"300867"</f>
        <v>300867</v>
      </c>
      <c r="C4655" t="s">
        <v>9655</v>
      </c>
      <c r="D4655" t="s">
        <v>499</v>
      </c>
      <c r="F4655">
        <v>3219291978</v>
      </c>
      <c r="G4655">
        <v>2726974291</v>
      </c>
      <c r="H4655">
        <v>1204463877</v>
      </c>
      <c r="I4655">
        <v>987339037</v>
      </c>
      <c r="J4655">
        <v>777271387</v>
      </c>
      <c r="K4655">
        <v>574062279</v>
      </c>
      <c r="P4655">
        <v>103</v>
      </c>
      <c r="Q4655" t="s">
        <v>9656</v>
      </c>
    </row>
    <row r="4656" spans="1:17" x14ac:dyDescent="0.3">
      <c r="A4656" t="s">
        <v>4729</v>
      </c>
      <c r="B4656" t="str">
        <f>"300868"</f>
        <v>300868</v>
      </c>
      <c r="C4656" t="s">
        <v>9657</v>
      </c>
      <c r="D4656" t="s">
        <v>651</v>
      </c>
      <c r="F4656">
        <v>1767390382</v>
      </c>
      <c r="G4656">
        <v>1801741747</v>
      </c>
      <c r="H4656">
        <v>507159912</v>
      </c>
      <c r="I4656">
        <v>404773218</v>
      </c>
      <c r="J4656">
        <v>354594930</v>
      </c>
      <c r="K4656">
        <v>343569660</v>
      </c>
      <c r="P4656">
        <v>40</v>
      </c>
      <c r="Q4656" t="s">
        <v>9658</v>
      </c>
    </row>
    <row r="4657" spans="1:17" x14ac:dyDescent="0.3">
      <c r="A4657" t="s">
        <v>4729</v>
      </c>
      <c r="B4657" t="str">
        <f>"300869"</f>
        <v>300869</v>
      </c>
      <c r="C4657" t="s">
        <v>9659</v>
      </c>
      <c r="D4657" t="s">
        <v>122</v>
      </c>
      <c r="F4657">
        <v>1820054476</v>
      </c>
      <c r="G4657">
        <v>1568824021</v>
      </c>
      <c r="H4657">
        <v>583225582</v>
      </c>
      <c r="I4657">
        <v>509233138</v>
      </c>
      <c r="J4657">
        <v>446508234</v>
      </c>
      <c r="K4657">
        <v>371022506</v>
      </c>
      <c r="L4657">
        <v>293291130</v>
      </c>
      <c r="P4657">
        <v>174</v>
      </c>
      <c r="Q4657" t="s">
        <v>9660</v>
      </c>
    </row>
    <row r="4658" spans="1:17" x14ac:dyDescent="0.3">
      <c r="A4658" t="s">
        <v>4729</v>
      </c>
      <c r="B4658" t="str">
        <f>"300870"</f>
        <v>300870</v>
      </c>
      <c r="C4658" t="s">
        <v>9661</v>
      </c>
      <c r="D4658" t="s">
        <v>880</v>
      </c>
      <c r="F4658">
        <v>1573898616</v>
      </c>
      <c r="G4658">
        <v>1499029713</v>
      </c>
      <c r="H4658">
        <v>462448467</v>
      </c>
      <c r="I4658">
        <v>348844801</v>
      </c>
      <c r="J4658">
        <v>290075501</v>
      </c>
      <c r="K4658">
        <v>121455080</v>
      </c>
      <c r="P4658">
        <v>131</v>
      </c>
      <c r="Q4658" t="s">
        <v>9662</v>
      </c>
    </row>
    <row r="4659" spans="1:17" x14ac:dyDescent="0.3">
      <c r="A4659" t="s">
        <v>4729</v>
      </c>
      <c r="B4659" t="str">
        <f>"300871"</f>
        <v>300871</v>
      </c>
      <c r="C4659" t="s">
        <v>9663</v>
      </c>
      <c r="D4659" t="s">
        <v>453</v>
      </c>
      <c r="F4659">
        <v>1467645138</v>
      </c>
      <c r="G4659">
        <v>1379150115</v>
      </c>
      <c r="H4659">
        <v>378281486</v>
      </c>
      <c r="I4659">
        <v>324515132</v>
      </c>
      <c r="J4659">
        <v>223113558</v>
      </c>
      <c r="K4659">
        <v>154689300</v>
      </c>
      <c r="P4659">
        <v>83</v>
      </c>
      <c r="Q4659" t="s">
        <v>9664</v>
      </c>
    </row>
    <row r="4660" spans="1:17" x14ac:dyDescent="0.3">
      <c r="A4660" t="s">
        <v>4729</v>
      </c>
      <c r="B4660" t="str">
        <f>"300872"</f>
        <v>300872</v>
      </c>
      <c r="C4660" t="s">
        <v>9665</v>
      </c>
      <c r="D4660" t="s">
        <v>316</v>
      </c>
      <c r="F4660">
        <v>2301630973</v>
      </c>
      <c r="G4660">
        <v>2207239322</v>
      </c>
      <c r="H4660">
        <v>944271888</v>
      </c>
      <c r="I4660">
        <v>835973482</v>
      </c>
      <c r="J4660">
        <v>737534824</v>
      </c>
      <c r="P4660">
        <v>74</v>
      </c>
      <c r="Q4660" t="s">
        <v>9666</v>
      </c>
    </row>
    <row r="4661" spans="1:17" x14ac:dyDescent="0.3">
      <c r="A4661" t="s">
        <v>4729</v>
      </c>
      <c r="B4661" t="str">
        <f>"300873"</f>
        <v>300873</v>
      </c>
      <c r="C4661" t="s">
        <v>9667</v>
      </c>
      <c r="D4661" t="s">
        <v>3125</v>
      </c>
      <c r="F4661">
        <v>2047389797</v>
      </c>
      <c r="G4661">
        <v>1764001068</v>
      </c>
      <c r="H4661">
        <v>649282344</v>
      </c>
      <c r="I4661">
        <v>556694428</v>
      </c>
      <c r="J4661">
        <v>474152431</v>
      </c>
      <c r="K4661">
        <v>368107275</v>
      </c>
      <c r="P4661">
        <v>88</v>
      </c>
      <c r="Q4661" t="s">
        <v>9668</v>
      </c>
    </row>
    <row r="4662" spans="1:17" x14ac:dyDescent="0.3">
      <c r="A4662" t="s">
        <v>4729</v>
      </c>
      <c r="B4662" t="str">
        <f>"300875"</f>
        <v>300875</v>
      </c>
      <c r="C4662" t="s">
        <v>9669</v>
      </c>
      <c r="D4662" t="s">
        <v>428</v>
      </c>
      <c r="F4662">
        <v>1371607023</v>
      </c>
      <c r="G4662">
        <v>1363710802</v>
      </c>
      <c r="H4662">
        <v>336621789</v>
      </c>
      <c r="I4662">
        <v>241490452</v>
      </c>
      <c r="J4662">
        <v>31226482</v>
      </c>
      <c r="K4662">
        <v>8289796</v>
      </c>
      <c r="P4662">
        <v>106</v>
      </c>
      <c r="Q4662" t="s">
        <v>9670</v>
      </c>
    </row>
    <row r="4663" spans="1:17" x14ac:dyDescent="0.3">
      <c r="A4663" t="s">
        <v>4729</v>
      </c>
      <c r="B4663" t="str">
        <f>"300876"</f>
        <v>300876</v>
      </c>
      <c r="C4663" t="s">
        <v>9671</v>
      </c>
      <c r="D4663" t="s">
        <v>146</v>
      </c>
      <c r="F4663">
        <v>808118685</v>
      </c>
      <c r="G4663">
        <v>758135975</v>
      </c>
      <c r="H4663">
        <v>246307387</v>
      </c>
      <c r="I4663">
        <v>213508984</v>
      </c>
      <c r="J4663">
        <v>154759428</v>
      </c>
      <c r="P4663">
        <v>67</v>
      </c>
      <c r="Q4663" t="s">
        <v>9672</v>
      </c>
    </row>
    <row r="4664" spans="1:17" x14ac:dyDescent="0.3">
      <c r="A4664" t="s">
        <v>4729</v>
      </c>
      <c r="B4664" t="str">
        <f>"300877"</f>
        <v>300877</v>
      </c>
      <c r="C4664" t="s">
        <v>9673</v>
      </c>
      <c r="D4664" t="s">
        <v>366</v>
      </c>
      <c r="F4664">
        <v>1625067349</v>
      </c>
      <c r="G4664">
        <v>1620516785</v>
      </c>
      <c r="H4664">
        <v>497671155</v>
      </c>
      <c r="I4664">
        <v>409256619</v>
      </c>
      <c r="J4664">
        <v>336669540</v>
      </c>
      <c r="K4664">
        <v>276207251</v>
      </c>
      <c r="P4664">
        <v>75</v>
      </c>
      <c r="Q4664" t="s">
        <v>9674</v>
      </c>
    </row>
    <row r="4665" spans="1:17" x14ac:dyDescent="0.3">
      <c r="A4665" t="s">
        <v>4729</v>
      </c>
      <c r="B4665" t="str">
        <f>"300878"</f>
        <v>300878</v>
      </c>
      <c r="C4665" t="s">
        <v>9675</v>
      </c>
      <c r="D4665" t="s">
        <v>188</v>
      </c>
      <c r="F4665">
        <v>1397311061</v>
      </c>
      <c r="G4665">
        <v>1381254751</v>
      </c>
      <c r="H4665">
        <v>519843367</v>
      </c>
      <c r="I4665">
        <v>393830612</v>
      </c>
      <c r="J4665">
        <v>306053939</v>
      </c>
      <c r="P4665">
        <v>132</v>
      </c>
      <c r="Q4665" t="s">
        <v>9676</v>
      </c>
    </row>
    <row r="4666" spans="1:17" x14ac:dyDescent="0.3">
      <c r="A4666" t="s">
        <v>4729</v>
      </c>
      <c r="B4666" t="str">
        <f>"300879"</f>
        <v>300879</v>
      </c>
      <c r="C4666" t="s">
        <v>9677</v>
      </c>
      <c r="D4666" t="s">
        <v>741</v>
      </c>
      <c r="F4666">
        <v>956515604</v>
      </c>
      <c r="G4666">
        <v>919262809</v>
      </c>
      <c r="H4666">
        <v>478480264</v>
      </c>
      <c r="I4666">
        <v>397026064</v>
      </c>
      <c r="J4666">
        <v>334309753</v>
      </c>
      <c r="K4666">
        <v>279702019</v>
      </c>
      <c r="P4666">
        <v>52</v>
      </c>
      <c r="Q4666" t="s">
        <v>9678</v>
      </c>
    </row>
    <row r="4667" spans="1:17" x14ac:dyDescent="0.3">
      <c r="A4667" t="s">
        <v>4729</v>
      </c>
      <c r="B4667" t="str">
        <f>"300880"</f>
        <v>300880</v>
      </c>
      <c r="C4667" t="s">
        <v>9679</v>
      </c>
      <c r="D4667" t="s">
        <v>2180</v>
      </c>
      <c r="F4667">
        <v>724411381</v>
      </c>
      <c r="G4667">
        <v>643620770</v>
      </c>
      <c r="H4667">
        <v>284902555</v>
      </c>
      <c r="I4667">
        <v>210752115</v>
      </c>
      <c r="J4667">
        <v>163336521</v>
      </c>
      <c r="K4667">
        <v>132051087</v>
      </c>
      <c r="P4667">
        <v>55</v>
      </c>
      <c r="Q4667" t="s">
        <v>9680</v>
      </c>
    </row>
    <row r="4668" spans="1:17" x14ac:dyDescent="0.3">
      <c r="A4668" t="s">
        <v>4729</v>
      </c>
      <c r="B4668" t="str">
        <f>"300881"</f>
        <v>300881</v>
      </c>
      <c r="C4668" t="s">
        <v>9681</v>
      </c>
      <c r="D4668" t="s">
        <v>281</v>
      </c>
      <c r="F4668">
        <v>776093511</v>
      </c>
      <c r="G4668">
        <v>736818313</v>
      </c>
      <c r="H4668">
        <v>372452946</v>
      </c>
      <c r="I4668">
        <v>302798011</v>
      </c>
      <c r="J4668">
        <v>241745738</v>
      </c>
      <c r="K4668">
        <v>211822332</v>
      </c>
      <c r="P4668">
        <v>31</v>
      </c>
      <c r="Q4668" t="s">
        <v>9682</v>
      </c>
    </row>
    <row r="4669" spans="1:17" x14ac:dyDescent="0.3">
      <c r="A4669" t="s">
        <v>4729</v>
      </c>
      <c r="B4669" t="str">
        <f>"300882"</f>
        <v>300882</v>
      </c>
      <c r="C4669" t="s">
        <v>9683</v>
      </c>
      <c r="D4669" t="s">
        <v>2180</v>
      </c>
      <c r="F4669">
        <v>830302058</v>
      </c>
      <c r="G4669">
        <v>812554438</v>
      </c>
      <c r="H4669">
        <v>381857481</v>
      </c>
      <c r="I4669">
        <v>306582059</v>
      </c>
      <c r="J4669">
        <v>257304424</v>
      </c>
      <c r="K4669">
        <v>213082471</v>
      </c>
      <c r="P4669">
        <v>41</v>
      </c>
      <c r="Q4669" t="s">
        <v>9684</v>
      </c>
    </row>
    <row r="4670" spans="1:17" x14ac:dyDescent="0.3">
      <c r="A4670" t="s">
        <v>4729</v>
      </c>
      <c r="B4670" t="str">
        <f>"300883"</f>
        <v>300883</v>
      </c>
      <c r="C4670" t="s">
        <v>9685</v>
      </c>
      <c r="D4670" t="s">
        <v>2165</v>
      </c>
      <c r="F4670">
        <v>1415867544</v>
      </c>
      <c r="G4670">
        <v>1367911278</v>
      </c>
      <c r="H4670">
        <v>943613591</v>
      </c>
      <c r="I4670">
        <v>857613690</v>
      </c>
      <c r="J4670">
        <v>620657927</v>
      </c>
      <c r="K4670">
        <v>558376872</v>
      </c>
      <c r="P4670">
        <v>37</v>
      </c>
      <c r="Q4670" t="s">
        <v>9686</v>
      </c>
    </row>
    <row r="4671" spans="1:17" x14ac:dyDescent="0.3">
      <c r="A4671" t="s">
        <v>4729</v>
      </c>
      <c r="B4671" t="str">
        <f>"300884"</f>
        <v>300884</v>
      </c>
      <c r="C4671" t="s">
        <v>9687</v>
      </c>
      <c r="D4671" t="s">
        <v>2980</v>
      </c>
      <c r="F4671">
        <v>1293519271</v>
      </c>
      <c r="G4671">
        <v>1214498757</v>
      </c>
      <c r="H4671">
        <v>382345501</v>
      </c>
      <c r="I4671">
        <v>243541243</v>
      </c>
      <c r="J4671">
        <v>180557224</v>
      </c>
      <c r="K4671">
        <v>128984572</v>
      </c>
      <c r="P4671">
        <v>68</v>
      </c>
      <c r="Q4671" t="s">
        <v>9688</v>
      </c>
    </row>
    <row r="4672" spans="1:17" x14ac:dyDescent="0.3">
      <c r="A4672" t="s">
        <v>4729</v>
      </c>
      <c r="B4672" t="str">
        <f>"300885"</f>
        <v>300885</v>
      </c>
      <c r="C4672" t="s">
        <v>9689</v>
      </c>
      <c r="D4672" t="s">
        <v>274</v>
      </c>
      <c r="F4672">
        <v>731994767</v>
      </c>
      <c r="G4672">
        <v>707618961</v>
      </c>
      <c r="H4672">
        <v>300991232</v>
      </c>
      <c r="I4672">
        <v>241427151</v>
      </c>
      <c r="J4672">
        <v>202880872</v>
      </c>
      <c r="K4672">
        <v>164811560</v>
      </c>
      <c r="P4672">
        <v>45</v>
      </c>
      <c r="Q4672" t="s">
        <v>9690</v>
      </c>
    </row>
    <row r="4673" spans="1:17" x14ac:dyDescent="0.3">
      <c r="A4673" t="s">
        <v>4729</v>
      </c>
      <c r="B4673" t="str">
        <f>"300886"</f>
        <v>300886</v>
      </c>
      <c r="C4673" t="s">
        <v>9691</v>
      </c>
      <c r="D4673" t="s">
        <v>5979</v>
      </c>
      <c r="F4673">
        <v>522226449</v>
      </c>
      <c r="G4673">
        <v>515823185</v>
      </c>
      <c r="H4673">
        <v>251225197</v>
      </c>
      <c r="I4673">
        <v>219257307</v>
      </c>
      <c r="J4673">
        <v>164277202</v>
      </c>
      <c r="K4673">
        <v>137710841</v>
      </c>
      <c r="P4673">
        <v>49</v>
      </c>
      <c r="Q4673" t="s">
        <v>9692</v>
      </c>
    </row>
    <row r="4674" spans="1:17" x14ac:dyDescent="0.3">
      <c r="A4674" t="s">
        <v>4729</v>
      </c>
      <c r="B4674" t="str">
        <f>"300887"</f>
        <v>300887</v>
      </c>
      <c r="C4674" t="s">
        <v>9693</v>
      </c>
      <c r="D4674" t="s">
        <v>2510</v>
      </c>
      <c r="F4674">
        <v>2019999603</v>
      </c>
      <c r="G4674">
        <v>1820581823</v>
      </c>
      <c r="H4674">
        <v>888301720</v>
      </c>
      <c r="I4674">
        <v>768936320</v>
      </c>
      <c r="J4674">
        <v>635255301</v>
      </c>
      <c r="K4674">
        <v>544465725</v>
      </c>
      <c r="P4674">
        <v>117</v>
      </c>
      <c r="Q4674" t="s">
        <v>9694</v>
      </c>
    </row>
    <row r="4675" spans="1:17" x14ac:dyDescent="0.3">
      <c r="A4675" t="s">
        <v>4729</v>
      </c>
      <c r="B4675" t="str">
        <f>"300888"</f>
        <v>300888</v>
      </c>
      <c r="C4675" t="s">
        <v>9695</v>
      </c>
      <c r="D4675" t="s">
        <v>2751</v>
      </c>
      <c r="F4675">
        <v>10674912167</v>
      </c>
      <c r="G4675">
        <v>10453934045</v>
      </c>
      <c r="H4675">
        <v>3160380501</v>
      </c>
      <c r="I4675">
        <v>2657001623</v>
      </c>
      <c r="J4675">
        <v>1974919082</v>
      </c>
      <c r="K4675">
        <v>1651141176</v>
      </c>
      <c r="P4675">
        <v>457</v>
      </c>
      <c r="Q4675" t="s">
        <v>9696</v>
      </c>
    </row>
    <row r="4676" spans="1:17" x14ac:dyDescent="0.3">
      <c r="A4676" t="s">
        <v>4729</v>
      </c>
      <c r="B4676" t="str">
        <f>"300889"</f>
        <v>300889</v>
      </c>
      <c r="C4676" t="s">
        <v>9697</v>
      </c>
      <c r="D4676" t="s">
        <v>803</v>
      </c>
      <c r="F4676">
        <v>1560214857</v>
      </c>
      <c r="G4676">
        <v>1537780987</v>
      </c>
      <c r="H4676">
        <v>456794949</v>
      </c>
      <c r="I4676">
        <v>320235162</v>
      </c>
      <c r="J4676">
        <v>173685957</v>
      </c>
      <c r="K4676">
        <v>68397206</v>
      </c>
      <c r="P4676">
        <v>37</v>
      </c>
      <c r="Q4676" t="s">
        <v>9698</v>
      </c>
    </row>
    <row r="4677" spans="1:17" x14ac:dyDescent="0.3">
      <c r="A4677" t="s">
        <v>4729</v>
      </c>
      <c r="B4677" t="str">
        <f>"300890"</f>
        <v>300890</v>
      </c>
      <c r="C4677" t="s">
        <v>9699</v>
      </c>
      <c r="D4677" t="s">
        <v>1790</v>
      </c>
      <c r="F4677">
        <v>1146806097</v>
      </c>
      <c r="G4677">
        <v>1023718157</v>
      </c>
      <c r="H4677">
        <v>654763461</v>
      </c>
      <c r="I4677">
        <v>593074603</v>
      </c>
      <c r="J4677">
        <v>531521423</v>
      </c>
      <c r="K4677">
        <v>174275361</v>
      </c>
      <c r="P4677">
        <v>62</v>
      </c>
      <c r="Q4677" t="s">
        <v>9700</v>
      </c>
    </row>
    <row r="4678" spans="1:17" x14ac:dyDescent="0.3">
      <c r="A4678" t="s">
        <v>4729</v>
      </c>
      <c r="B4678" t="str">
        <f>"300891"</f>
        <v>300891</v>
      </c>
      <c r="C4678" t="s">
        <v>9701</v>
      </c>
      <c r="D4678" t="s">
        <v>1474</v>
      </c>
      <c r="F4678">
        <v>1305373594</v>
      </c>
      <c r="G4678">
        <v>1140766841</v>
      </c>
      <c r="H4678">
        <v>728135954</v>
      </c>
      <c r="I4678">
        <v>633704122</v>
      </c>
      <c r="J4678">
        <v>581652058</v>
      </c>
      <c r="K4678">
        <v>538215255</v>
      </c>
      <c r="P4678">
        <v>59</v>
      </c>
      <c r="Q4678" t="s">
        <v>9702</v>
      </c>
    </row>
    <row r="4679" spans="1:17" x14ac:dyDescent="0.3">
      <c r="A4679" t="s">
        <v>4729</v>
      </c>
      <c r="B4679" t="str">
        <f>"300892"</f>
        <v>300892</v>
      </c>
      <c r="C4679" t="s">
        <v>9703</v>
      </c>
      <c r="D4679" t="s">
        <v>131</v>
      </c>
      <c r="F4679">
        <v>1152936955</v>
      </c>
      <c r="G4679">
        <v>1071387807</v>
      </c>
      <c r="H4679">
        <v>338188027</v>
      </c>
      <c r="I4679">
        <v>239440890</v>
      </c>
      <c r="J4679">
        <v>161642234</v>
      </c>
      <c r="K4679">
        <v>112529824</v>
      </c>
      <c r="P4679">
        <v>99</v>
      </c>
      <c r="Q4679" t="s">
        <v>9704</v>
      </c>
    </row>
    <row r="4680" spans="1:17" x14ac:dyDescent="0.3">
      <c r="A4680" t="s">
        <v>4729</v>
      </c>
      <c r="B4680" t="str">
        <f>"300893"</f>
        <v>300893</v>
      </c>
      <c r="C4680" t="s">
        <v>9705</v>
      </c>
      <c r="D4680" t="s">
        <v>985</v>
      </c>
      <c r="F4680">
        <v>772299985</v>
      </c>
      <c r="G4680">
        <v>711032500</v>
      </c>
      <c r="H4680">
        <v>364715065</v>
      </c>
      <c r="I4680">
        <v>320116813</v>
      </c>
      <c r="J4680">
        <v>289750974</v>
      </c>
      <c r="P4680">
        <v>48</v>
      </c>
      <c r="Q4680" t="s">
        <v>9706</v>
      </c>
    </row>
    <row r="4681" spans="1:17" x14ac:dyDescent="0.3">
      <c r="A4681" t="s">
        <v>4729</v>
      </c>
      <c r="B4681" t="str">
        <f>"300894"</f>
        <v>300894</v>
      </c>
      <c r="C4681" t="s">
        <v>9707</v>
      </c>
      <c r="D4681" t="s">
        <v>3707</v>
      </c>
      <c r="F4681">
        <v>1477863206</v>
      </c>
      <c r="G4681">
        <v>1345131365</v>
      </c>
      <c r="H4681">
        <v>581876449</v>
      </c>
      <c r="I4681">
        <v>407753236</v>
      </c>
      <c r="J4681">
        <v>275741261</v>
      </c>
      <c r="K4681">
        <v>112607080</v>
      </c>
      <c r="P4681">
        <v>230</v>
      </c>
      <c r="Q4681" t="s">
        <v>9708</v>
      </c>
    </row>
    <row r="4682" spans="1:17" x14ac:dyDescent="0.3">
      <c r="A4682" t="s">
        <v>4729</v>
      </c>
      <c r="B4682" t="str">
        <f>"300895"</f>
        <v>300895</v>
      </c>
      <c r="C4682" t="s">
        <v>9709</v>
      </c>
      <c r="D4682" t="s">
        <v>316</v>
      </c>
      <c r="F4682">
        <v>1163001961</v>
      </c>
      <c r="G4682">
        <v>1118410868</v>
      </c>
      <c r="H4682">
        <v>795334594</v>
      </c>
      <c r="I4682">
        <v>326581374</v>
      </c>
      <c r="J4682">
        <v>159741232</v>
      </c>
      <c r="K4682">
        <v>131907082</v>
      </c>
      <c r="P4682">
        <v>48</v>
      </c>
      <c r="Q4682" t="s">
        <v>9710</v>
      </c>
    </row>
    <row r="4683" spans="1:17" x14ac:dyDescent="0.3">
      <c r="A4683" t="s">
        <v>4729</v>
      </c>
      <c r="B4683" t="str">
        <f>"300896"</f>
        <v>300896</v>
      </c>
      <c r="C4683" t="s">
        <v>9711</v>
      </c>
      <c r="D4683" t="s">
        <v>4297</v>
      </c>
      <c r="F4683">
        <v>5029472730</v>
      </c>
      <c r="G4683">
        <v>4533816111</v>
      </c>
      <c r="H4683">
        <v>658933558</v>
      </c>
      <c r="I4683">
        <v>398413717</v>
      </c>
      <c r="J4683">
        <v>325058878</v>
      </c>
      <c r="K4683">
        <v>262865371</v>
      </c>
      <c r="P4683">
        <v>1332</v>
      </c>
      <c r="Q4683" t="s">
        <v>9712</v>
      </c>
    </row>
    <row r="4684" spans="1:17" x14ac:dyDescent="0.3">
      <c r="A4684" t="s">
        <v>4729</v>
      </c>
      <c r="B4684" t="str">
        <f>"300897"</f>
        <v>300897</v>
      </c>
      <c r="C4684" t="s">
        <v>9713</v>
      </c>
      <c r="D4684" t="s">
        <v>2566</v>
      </c>
      <c r="F4684">
        <v>896681742</v>
      </c>
      <c r="G4684">
        <v>847705864</v>
      </c>
      <c r="H4684">
        <v>284469027</v>
      </c>
      <c r="I4684">
        <v>229674563</v>
      </c>
      <c r="J4684">
        <v>187160310</v>
      </c>
      <c r="K4684">
        <v>148552614</v>
      </c>
      <c r="P4684">
        <v>50</v>
      </c>
      <c r="Q4684" t="s">
        <v>9714</v>
      </c>
    </row>
    <row r="4685" spans="1:17" x14ac:dyDescent="0.3">
      <c r="A4685" t="s">
        <v>4729</v>
      </c>
      <c r="B4685" t="str">
        <f>"300898"</f>
        <v>300898</v>
      </c>
      <c r="C4685" t="s">
        <v>9715</v>
      </c>
      <c r="D4685" t="s">
        <v>900</v>
      </c>
      <c r="F4685">
        <v>827943962</v>
      </c>
      <c r="G4685">
        <v>769194956</v>
      </c>
      <c r="H4685">
        <v>502292424</v>
      </c>
      <c r="I4685">
        <v>469311574</v>
      </c>
      <c r="J4685">
        <v>402458929</v>
      </c>
      <c r="K4685">
        <v>369464434</v>
      </c>
      <c r="P4685">
        <v>73</v>
      </c>
      <c r="Q4685" t="s">
        <v>9716</v>
      </c>
    </row>
    <row r="4686" spans="1:17" x14ac:dyDescent="0.3">
      <c r="A4686" t="s">
        <v>4729</v>
      </c>
      <c r="B4686" t="str">
        <f>"300899"</f>
        <v>300899</v>
      </c>
      <c r="C4686" t="s">
        <v>9717</v>
      </c>
      <c r="D4686" t="s">
        <v>33</v>
      </c>
      <c r="F4686">
        <v>651388519</v>
      </c>
      <c r="G4686">
        <v>619102373</v>
      </c>
      <c r="H4686">
        <v>222548893</v>
      </c>
      <c r="I4686">
        <v>181999784</v>
      </c>
      <c r="J4686">
        <v>147562639</v>
      </c>
      <c r="K4686">
        <v>127588695</v>
      </c>
      <c r="P4686">
        <v>58</v>
      </c>
      <c r="Q4686" t="s">
        <v>9718</v>
      </c>
    </row>
    <row r="4687" spans="1:17" x14ac:dyDescent="0.3">
      <c r="A4687" t="s">
        <v>4729</v>
      </c>
      <c r="B4687" t="str">
        <f>"300900"</f>
        <v>300900</v>
      </c>
      <c r="C4687" t="s">
        <v>9719</v>
      </c>
      <c r="D4687" t="s">
        <v>98</v>
      </c>
      <c r="F4687">
        <v>1534580066</v>
      </c>
      <c r="G4687">
        <v>1517453933</v>
      </c>
      <c r="H4687">
        <v>560438262</v>
      </c>
      <c r="I4687">
        <v>485649858</v>
      </c>
      <c r="J4687">
        <v>274222991</v>
      </c>
      <c r="K4687">
        <v>210713000</v>
      </c>
      <c r="P4687">
        <v>76</v>
      </c>
      <c r="Q4687" t="s">
        <v>9720</v>
      </c>
    </row>
    <row r="4688" spans="1:17" x14ac:dyDescent="0.3">
      <c r="A4688" t="s">
        <v>4729</v>
      </c>
      <c r="B4688" t="str">
        <f>"300901"</f>
        <v>300901</v>
      </c>
      <c r="C4688" t="s">
        <v>9721</v>
      </c>
      <c r="D4688" t="s">
        <v>255</v>
      </c>
      <c r="F4688">
        <v>1016588100</v>
      </c>
      <c r="G4688">
        <v>957629948</v>
      </c>
      <c r="H4688">
        <v>375862788</v>
      </c>
      <c r="I4688">
        <v>275463091</v>
      </c>
      <c r="J4688">
        <v>82357570</v>
      </c>
      <c r="K4688">
        <v>28990494</v>
      </c>
      <c r="P4688">
        <v>45</v>
      </c>
      <c r="Q4688" t="s">
        <v>9722</v>
      </c>
    </row>
    <row r="4689" spans="1:17" x14ac:dyDescent="0.3">
      <c r="A4689" t="s">
        <v>4729</v>
      </c>
      <c r="B4689" t="str">
        <f>"300902"</f>
        <v>300902</v>
      </c>
      <c r="C4689" t="s">
        <v>9723</v>
      </c>
      <c r="D4689" t="s">
        <v>741</v>
      </c>
      <c r="F4689">
        <v>811795229</v>
      </c>
      <c r="G4689">
        <v>834959554</v>
      </c>
      <c r="H4689">
        <v>330678921</v>
      </c>
      <c r="I4689">
        <v>270508639</v>
      </c>
      <c r="J4689">
        <v>246058981</v>
      </c>
      <c r="K4689">
        <v>207730178</v>
      </c>
      <c r="P4689">
        <v>40</v>
      </c>
      <c r="Q4689" t="s">
        <v>9724</v>
      </c>
    </row>
    <row r="4690" spans="1:17" x14ac:dyDescent="0.3">
      <c r="A4690" t="s">
        <v>4729</v>
      </c>
      <c r="B4690" t="str">
        <f>"300903"</f>
        <v>300903</v>
      </c>
      <c r="C4690" t="s">
        <v>9725</v>
      </c>
      <c r="D4690" t="s">
        <v>425</v>
      </c>
      <c r="F4690">
        <v>1205502283</v>
      </c>
      <c r="G4690">
        <v>1147015573</v>
      </c>
      <c r="H4690">
        <v>540327460</v>
      </c>
      <c r="I4690">
        <v>459634513</v>
      </c>
      <c r="J4690">
        <v>380923231</v>
      </c>
      <c r="K4690">
        <v>64623426</v>
      </c>
      <c r="P4690">
        <v>61</v>
      </c>
      <c r="Q4690" t="s">
        <v>9726</v>
      </c>
    </row>
    <row r="4691" spans="1:17" x14ac:dyDescent="0.3">
      <c r="A4691" t="s">
        <v>4729</v>
      </c>
      <c r="B4691" t="str">
        <f>"300905"</f>
        <v>300905</v>
      </c>
      <c r="C4691" t="s">
        <v>9727</v>
      </c>
      <c r="D4691" t="s">
        <v>779</v>
      </c>
      <c r="F4691">
        <v>1285821749</v>
      </c>
      <c r="G4691">
        <v>1254569864</v>
      </c>
      <c r="H4691">
        <v>376069571</v>
      </c>
      <c r="I4691">
        <v>275411238</v>
      </c>
      <c r="J4691">
        <v>191374182</v>
      </c>
      <c r="K4691">
        <v>118576676</v>
      </c>
      <c r="P4691">
        <v>54</v>
      </c>
      <c r="Q4691" t="s">
        <v>9728</v>
      </c>
    </row>
    <row r="4692" spans="1:17" x14ac:dyDescent="0.3">
      <c r="A4692" t="s">
        <v>4729</v>
      </c>
      <c r="B4692" t="str">
        <f>"300906"</f>
        <v>300906</v>
      </c>
      <c r="C4692" t="s">
        <v>9729</v>
      </c>
      <c r="D4692" t="s">
        <v>2566</v>
      </c>
      <c r="F4692">
        <v>817620268</v>
      </c>
      <c r="G4692">
        <v>816625256</v>
      </c>
      <c r="H4692">
        <v>280942122</v>
      </c>
      <c r="I4692">
        <v>234894495</v>
      </c>
      <c r="J4692">
        <v>217645245</v>
      </c>
      <c r="K4692">
        <v>132525188</v>
      </c>
      <c r="P4692">
        <v>60</v>
      </c>
      <c r="Q4692" t="s">
        <v>9730</v>
      </c>
    </row>
    <row r="4693" spans="1:17" x14ac:dyDescent="0.3">
      <c r="A4693" t="s">
        <v>4729</v>
      </c>
      <c r="B4693" t="str">
        <f>"300907"</f>
        <v>300907</v>
      </c>
      <c r="C4693" t="s">
        <v>9731</v>
      </c>
      <c r="D4693" t="s">
        <v>1171</v>
      </c>
      <c r="F4693">
        <v>712362558</v>
      </c>
      <c r="G4693">
        <v>749413041</v>
      </c>
      <c r="H4693">
        <v>400497732</v>
      </c>
      <c r="I4693">
        <v>381808859</v>
      </c>
      <c r="J4693">
        <v>323388460</v>
      </c>
      <c r="K4693">
        <v>364968600</v>
      </c>
      <c r="P4693">
        <v>36</v>
      </c>
      <c r="Q4693" t="s">
        <v>9732</v>
      </c>
    </row>
    <row r="4694" spans="1:17" x14ac:dyDescent="0.3">
      <c r="A4694" t="s">
        <v>4729</v>
      </c>
      <c r="B4694" t="str">
        <f>"300908"</f>
        <v>300908</v>
      </c>
      <c r="C4694" t="s">
        <v>9733</v>
      </c>
      <c r="D4694" t="s">
        <v>433</v>
      </c>
      <c r="F4694">
        <v>1529824868</v>
      </c>
      <c r="G4694">
        <v>1461614958</v>
      </c>
      <c r="H4694">
        <v>458396853</v>
      </c>
      <c r="I4694">
        <v>456962355</v>
      </c>
      <c r="J4694">
        <v>398044158</v>
      </c>
      <c r="K4694">
        <v>341307335</v>
      </c>
      <c r="P4694">
        <v>173</v>
      </c>
      <c r="Q4694" t="s">
        <v>9734</v>
      </c>
    </row>
    <row r="4695" spans="1:17" x14ac:dyDescent="0.3">
      <c r="A4695" t="s">
        <v>4729</v>
      </c>
      <c r="B4695" t="str">
        <f>"300909"</f>
        <v>300909</v>
      </c>
      <c r="C4695" t="s">
        <v>9735</v>
      </c>
      <c r="D4695" t="s">
        <v>1117</v>
      </c>
      <c r="F4695">
        <v>1279226628</v>
      </c>
      <c r="G4695">
        <v>1130055458</v>
      </c>
      <c r="H4695">
        <v>344152066</v>
      </c>
      <c r="I4695">
        <v>264834924</v>
      </c>
      <c r="J4695">
        <v>145051301</v>
      </c>
      <c r="K4695">
        <v>83827655</v>
      </c>
      <c r="P4695">
        <v>65</v>
      </c>
      <c r="Q4695" t="s">
        <v>9736</v>
      </c>
    </row>
    <row r="4696" spans="1:17" x14ac:dyDescent="0.3">
      <c r="A4696" t="s">
        <v>4729</v>
      </c>
      <c r="B4696" t="str">
        <f>"300910"</f>
        <v>300910</v>
      </c>
      <c r="C4696" t="s">
        <v>9737</v>
      </c>
      <c r="D4696" t="s">
        <v>386</v>
      </c>
      <c r="F4696">
        <v>2157936343</v>
      </c>
      <c r="G4696">
        <v>2076939166</v>
      </c>
      <c r="H4696">
        <v>876990845</v>
      </c>
      <c r="I4696">
        <v>438627890</v>
      </c>
      <c r="J4696">
        <v>382023465</v>
      </c>
      <c r="K4696">
        <v>226736500</v>
      </c>
      <c r="P4696">
        <v>116</v>
      </c>
      <c r="Q4696" t="s">
        <v>9738</v>
      </c>
    </row>
    <row r="4697" spans="1:17" x14ac:dyDescent="0.3">
      <c r="A4697" t="s">
        <v>4729</v>
      </c>
      <c r="B4697" t="str">
        <f>"300911"</f>
        <v>300911</v>
      </c>
      <c r="C4697" t="s">
        <v>9739</v>
      </c>
      <c r="D4697" t="s">
        <v>3707</v>
      </c>
      <c r="F4697">
        <v>1190005992</v>
      </c>
      <c r="G4697">
        <v>1025998154</v>
      </c>
      <c r="H4697">
        <v>285970091</v>
      </c>
      <c r="I4697">
        <v>167612284</v>
      </c>
      <c r="J4697">
        <v>141390135</v>
      </c>
      <c r="K4697">
        <v>93870652</v>
      </c>
      <c r="P4697">
        <v>151</v>
      </c>
      <c r="Q4697" t="s">
        <v>9740</v>
      </c>
    </row>
    <row r="4698" spans="1:17" x14ac:dyDescent="0.3">
      <c r="A4698" t="s">
        <v>4729</v>
      </c>
      <c r="B4698" t="str">
        <f>"300912"</f>
        <v>300912</v>
      </c>
      <c r="C4698" t="s">
        <v>9741</v>
      </c>
      <c r="D4698" t="s">
        <v>985</v>
      </c>
      <c r="F4698">
        <v>1065868555</v>
      </c>
      <c r="G4698">
        <v>1213335747</v>
      </c>
      <c r="H4698">
        <v>667154679</v>
      </c>
      <c r="I4698">
        <v>606493373</v>
      </c>
      <c r="J4698">
        <v>362196815</v>
      </c>
      <c r="K4698">
        <v>286254151</v>
      </c>
      <c r="P4698">
        <v>39</v>
      </c>
      <c r="Q4698" t="s">
        <v>9742</v>
      </c>
    </row>
    <row r="4699" spans="1:17" x14ac:dyDescent="0.3">
      <c r="A4699" t="s">
        <v>4729</v>
      </c>
      <c r="B4699" t="str">
        <f>"300913"</f>
        <v>300913</v>
      </c>
      <c r="C4699" t="s">
        <v>9743</v>
      </c>
      <c r="D4699" t="s">
        <v>250</v>
      </c>
      <c r="F4699">
        <v>854457167</v>
      </c>
      <c r="G4699">
        <v>780906046</v>
      </c>
      <c r="H4699">
        <v>352058628</v>
      </c>
      <c r="I4699">
        <v>276798392</v>
      </c>
      <c r="J4699">
        <v>188332695</v>
      </c>
      <c r="K4699">
        <v>252154528</v>
      </c>
      <c r="P4699">
        <v>33</v>
      </c>
      <c r="Q4699" t="s">
        <v>9744</v>
      </c>
    </row>
    <row r="4700" spans="1:17" x14ac:dyDescent="0.3">
      <c r="A4700" t="s">
        <v>4729</v>
      </c>
      <c r="B4700" t="str">
        <f>"300915"</f>
        <v>300915</v>
      </c>
      <c r="C4700" t="s">
        <v>9745</v>
      </c>
      <c r="D4700" t="s">
        <v>900</v>
      </c>
      <c r="F4700">
        <v>1396429252</v>
      </c>
      <c r="G4700">
        <v>1321218306</v>
      </c>
      <c r="H4700">
        <v>269435841</v>
      </c>
      <c r="I4700">
        <v>208485276</v>
      </c>
      <c r="J4700">
        <v>186446316</v>
      </c>
      <c r="K4700">
        <v>144680503</v>
      </c>
      <c r="P4700">
        <v>101</v>
      </c>
      <c r="Q4700" t="s">
        <v>9746</v>
      </c>
    </row>
    <row r="4701" spans="1:17" x14ac:dyDescent="0.3">
      <c r="A4701" t="s">
        <v>4729</v>
      </c>
      <c r="B4701" t="str">
        <f>"300916"</f>
        <v>300916</v>
      </c>
      <c r="C4701" t="s">
        <v>9747</v>
      </c>
      <c r="D4701" t="s">
        <v>313</v>
      </c>
      <c r="F4701">
        <v>960701364</v>
      </c>
      <c r="G4701">
        <v>833267558</v>
      </c>
      <c r="H4701">
        <v>251531843</v>
      </c>
      <c r="I4701">
        <v>199089956</v>
      </c>
      <c r="J4701">
        <v>167645596</v>
      </c>
      <c r="K4701">
        <v>123643894</v>
      </c>
      <c r="P4701">
        <v>79</v>
      </c>
      <c r="Q4701" t="s">
        <v>9748</v>
      </c>
    </row>
    <row r="4702" spans="1:17" x14ac:dyDescent="0.3">
      <c r="A4702" t="s">
        <v>4729</v>
      </c>
      <c r="B4702" t="str">
        <f>"300917"</f>
        <v>300917</v>
      </c>
      <c r="C4702" t="s">
        <v>9749</v>
      </c>
      <c r="D4702" t="s">
        <v>2975</v>
      </c>
      <c r="F4702">
        <v>860951818</v>
      </c>
      <c r="G4702">
        <v>786306437</v>
      </c>
      <c r="H4702">
        <v>254527030</v>
      </c>
      <c r="I4702">
        <v>182277108</v>
      </c>
      <c r="J4702">
        <v>125977681</v>
      </c>
      <c r="K4702">
        <v>102375479</v>
      </c>
      <c r="P4702">
        <v>80</v>
      </c>
      <c r="Q4702" t="s">
        <v>9750</v>
      </c>
    </row>
    <row r="4703" spans="1:17" x14ac:dyDescent="0.3">
      <c r="A4703" t="s">
        <v>4729</v>
      </c>
      <c r="B4703" t="str">
        <f>"300918"</f>
        <v>300918</v>
      </c>
      <c r="C4703" t="s">
        <v>9751</v>
      </c>
      <c r="D4703" t="s">
        <v>366</v>
      </c>
      <c r="F4703">
        <v>1660017709</v>
      </c>
      <c r="G4703">
        <v>1529669284</v>
      </c>
      <c r="H4703">
        <v>1046224893</v>
      </c>
      <c r="I4703">
        <v>924578839</v>
      </c>
      <c r="J4703">
        <v>803906643</v>
      </c>
      <c r="K4703">
        <v>702386444</v>
      </c>
      <c r="P4703">
        <v>38</v>
      </c>
      <c r="Q4703" t="s">
        <v>9752</v>
      </c>
    </row>
    <row r="4704" spans="1:17" x14ac:dyDescent="0.3">
      <c r="A4704" t="s">
        <v>4729</v>
      </c>
      <c r="B4704" t="str">
        <f>"300919"</f>
        <v>300919</v>
      </c>
      <c r="C4704" t="s">
        <v>9753</v>
      </c>
      <c r="D4704" t="s">
        <v>1790</v>
      </c>
      <c r="F4704">
        <v>9832492980</v>
      </c>
      <c r="G4704">
        <v>3836687232</v>
      </c>
      <c r="H4704">
        <v>2114149961</v>
      </c>
      <c r="I4704">
        <v>490039612</v>
      </c>
      <c r="J4704">
        <v>301067122</v>
      </c>
      <c r="P4704">
        <v>175</v>
      </c>
      <c r="Q4704" t="s">
        <v>9754</v>
      </c>
    </row>
    <row r="4705" spans="1:17" x14ac:dyDescent="0.3">
      <c r="A4705" t="s">
        <v>4729</v>
      </c>
      <c r="B4705" t="str">
        <f>"300920"</f>
        <v>300920</v>
      </c>
      <c r="C4705" t="s">
        <v>9755</v>
      </c>
      <c r="D4705" t="s">
        <v>1192</v>
      </c>
      <c r="F4705">
        <v>1175647759</v>
      </c>
      <c r="G4705">
        <v>1124475717</v>
      </c>
      <c r="H4705">
        <v>386416148</v>
      </c>
      <c r="I4705">
        <v>270818175</v>
      </c>
      <c r="J4705">
        <v>84162727</v>
      </c>
      <c r="K4705">
        <v>30310100</v>
      </c>
      <c r="P4705">
        <v>46</v>
      </c>
      <c r="Q4705" t="s">
        <v>9756</v>
      </c>
    </row>
    <row r="4706" spans="1:17" x14ac:dyDescent="0.3">
      <c r="A4706" t="s">
        <v>4729</v>
      </c>
      <c r="B4706" t="str">
        <f>"300921"</f>
        <v>300921</v>
      </c>
      <c r="C4706" t="s">
        <v>9757</v>
      </c>
      <c r="D4706" t="s">
        <v>5670</v>
      </c>
      <c r="F4706">
        <v>813579134</v>
      </c>
      <c r="G4706">
        <v>805146956</v>
      </c>
      <c r="H4706">
        <v>201337595</v>
      </c>
      <c r="I4706">
        <v>154468398</v>
      </c>
      <c r="J4706">
        <v>114258680</v>
      </c>
      <c r="K4706">
        <v>77108823</v>
      </c>
      <c r="P4706">
        <v>39</v>
      </c>
      <c r="Q4706" t="s">
        <v>9758</v>
      </c>
    </row>
    <row r="4707" spans="1:17" x14ac:dyDescent="0.3">
      <c r="A4707" t="s">
        <v>4729</v>
      </c>
      <c r="B4707" t="str">
        <f>"300922"</f>
        <v>300922</v>
      </c>
      <c r="C4707" t="s">
        <v>9759</v>
      </c>
      <c r="D4707" t="s">
        <v>428</v>
      </c>
      <c r="F4707">
        <v>877678949</v>
      </c>
      <c r="G4707">
        <v>835781228</v>
      </c>
      <c r="H4707">
        <v>364378572</v>
      </c>
      <c r="I4707">
        <v>324617723</v>
      </c>
      <c r="J4707">
        <v>313800837</v>
      </c>
      <c r="K4707">
        <v>199710240</v>
      </c>
      <c r="P4707">
        <v>83</v>
      </c>
      <c r="Q4707" t="s">
        <v>9760</v>
      </c>
    </row>
    <row r="4708" spans="1:17" x14ac:dyDescent="0.3">
      <c r="A4708" t="s">
        <v>4729</v>
      </c>
      <c r="B4708" t="str">
        <f>"300923"</f>
        <v>300923</v>
      </c>
      <c r="C4708" t="s">
        <v>9761</v>
      </c>
      <c r="D4708" t="s">
        <v>1012</v>
      </c>
      <c r="F4708">
        <v>1128529311</v>
      </c>
      <c r="G4708">
        <v>1067526767</v>
      </c>
      <c r="H4708">
        <v>549959204</v>
      </c>
      <c r="I4708">
        <v>499626706</v>
      </c>
      <c r="J4708">
        <v>450206613</v>
      </c>
      <c r="K4708">
        <v>402692462</v>
      </c>
      <c r="P4708">
        <v>28</v>
      </c>
      <c r="Q4708" t="s">
        <v>9762</v>
      </c>
    </row>
    <row r="4709" spans="1:17" x14ac:dyDescent="0.3">
      <c r="A4709" t="s">
        <v>4729</v>
      </c>
      <c r="B4709" t="str">
        <f>"300925"</f>
        <v>300925</v>
      </c>
      <c r="C4709" t="s">
        <v>9763</v>
      </c>
      <c r="D4709" t="s">
        <v>945</v>
      </c>
      <c r="F4709">
        <v>1250980493</v>
      </c>
      <c r="G4709">
        <v>1118969210</v>
      </c>
      <c r="H4709">
        <v>412434903</v>
      </c>
      <c r="I4709">
        <v>236490823</v>
      </c>
      <c r="J4709">
        <v>171324885</v>
      </c>
      <c r="K4709">
        <v>98668391</v>
      </c>
      <c r="P4709">
        <v>72</v>
      </c>
      <c r="Q4709" t="s">
        <v>9764</v>
      </c>
    </row>
    <row r="4710" spans="1:17" x14ac:dyDescent="0.3">
      <c r="A4710" t="s">
        <v>4729</v>
      </c>
      <c r="B4710" t="str">
        <f>"300926"</f>
        <v>300926</v>
      </c>
      <c r="C4710" t="s">
        <v>9765</v>
      </c>
      <c r="D4710" t="s">
        <v>985</v>
      </c>
      <c r="F4710">
        <v>946778926</v>
      </c>
      <c r="G4710">
        <v>869659763</v>
      </c>
      <c r="H4710">
        <v>475904187</v>
      </c>
      <c r="I4710">
        <v>412197311</v>
      </c>
      <c r="J4710">
        <v>350807506</v>
      </c>
      <c r="K4710">
        <v>264454376</v>
      </c>
      <c r="P4710">
        <v>45</v>
      </c>
      <c r="Q4710" t="s">
        <v>9766</v>
      </c>
    </row>
    <row r="4711" spans="1:17" x14ac:dyDescent="0.3">
      <c r="A4711" t="s">
        <v>4729</v>
      </c>
      <c r="B4711" t="str">
        <f>"300927"</f>
        <v>300927</v>
      </c>
      <c r="C4711" t="s">
        <v>9767</v>
      </c>
      <c r="D4711" t="s">
        <v>1233</v>
      </c>
      <c r="F4711">
        <v>596316652</v>
      </c>
      <c r="G4711">
        <v>537332757</v>
      </c>
      <c r="H4711">
        <v>267082650</v>
      </c>
      <c r="I4711">
        <v>234398865</v>
      </c>
      <c r="J4711">
        <v>189685309</v>
      </c>
      <c r="K4711">
        <v>159605762</v>
      </c>
      <c r="P4711">
        <v>44</v>
      </c>
      <c r="Q4711" t="s">
        <v>9768</v>
      </c>
    </row>
    <row r="4712" spans="1:17" x14ac:dyDescent="0.3">
      <c r="A4712" t="s">
        <v>4729</v>
      </c>
      <c r="B4712" t="str">
        <f>"300928"</f>
        <v>300928</v>
      </c>
      <c r="C4712" t="s">
        <v>9769</v>
      </c>
      <c r="D4712" t="s">
        <v>1415</v>
      </c>
      <c r="F4712">
        <v>1260740110</v>
      </c>
      <c r="G4712">
        <v>1237221671</v>
      </c>
      <c r="H4712">
        <v>527436473</v>
      </c>
      <c r="I4712">
        <v>471533360</v>
      </c>
      <c r="J4712">
        <v>414307997</v>
      </c>
      <c r="K4712">
        <v>123161081</v>
      </c>
      <c r="P4712">
        <v>27</v>
      </c>
      <c r="Q4712" t="s">
        <v>9770</v>
      </c>
    </row>
    <row r="4713" spans="1:17" x14ac:dyDescent="0.3">
      <c r="A4713" t="s">
        <v>4729</v>
      </c>
      <c r="B4713" t="str">
        <f>"300929"</f>
        <v>300929</v>
      </c>
      <c r="C4713" t="s">
        <v>9771</v>
      </c>
      <c r="D4713" t="s">
        <v>33</v>
      </c>
      <c r="F4713">
        <v>809953357</v>
      </c>
      <c r="G4713">
        <v>518687579</v>
      </c>
      <c r="H4713">
        <v>444578719</v>
      </c>
      <c r="I4713">
        <v>373559971</v>
      </c>
      <c r="J4713">
        <v>311352347</v>
      </c>
      <c r="K4713">
        <v>213942084</v>
      </c>
      <c r="P4713">
        <v>48</v>
      </c>
      <c r="Q4713" t="s">
        <v>9772</v>
      </c>
    </row>
    <row r="4714" spans="1:17" x14ac:dyDescent="0.3">
      <c r="A4714" t="s">
        <v>4729</v>
      </c>
      <c r="B4714" t="str">
        <f>"300930"</f>
        <v>300930</v>
      </c>
      <c r="C4714" t="s">
        <v>9773</v>
      </c>
      <c r="D4714" t="s">
        <v>581</v>
      </c>
      <c r="F4714">
        <v>718420981</v>
      </c>
      <c r="G4714">
        <v>351718709</v>
      </c>
      <c r="H4714">
        <v>288008987</v>
      </c>
      <c r="I4714">
        <v>228907268</v>
      </c>
      <c r="J4714">
        <v>195189572</v>
      </c>
      <c r="K4714">
        <v>148421200</v>
      </c>
      <c r="P4714">
        <v>75</v>
      </c>
      <c r="Q4714" t="s">
        <v>9774</v>
      </c>
    </row>
    <row r="4715" spans="1:17" x14ac:dyDescent="0.3">
      <c r="A4715" t="s">
        <v>4729</v>
      </c>
      <c r="B4715" t="str">
        <f>"300931"</f>
        <v>300931</v>
      </c>
      <c r="C4715" t="s">
        <v>9775</v>
      </c>
      <c r="D4715" t="s">
        <v>1691</v>
      </c>
      <c r="F4715">
        <v>796808885</v>
      </c>
      <c r="G4715">
        <v>531466375</v>
      </c>
      <c r="H4715">
        <v>475479005</v>
      </c>
      <c r="I4715">
        <v>412135453</v>
      </c>
      <c r="J4715">
        <v>349036329</v>
      </c>
      <c r="K4715">
        <v>162832704</v>
      </c>
      <c r="P4715">
        <v>31</v>
      </c>
      <c r="Q4715" t="s">
        <v>9776</v>
      </c>
    </row>
    <row r="4716" spans="1:17" x14ac:dyDescent="0.3">
      <c r="A4716" t="s">
        <v>4729</v>
      </c>
      <c r="B4716" t="str">
        <f>"300932"</f>
        <v>300932</v>
      </c>
      <c r="C4716" t="s">
        <v>9777</v>
      </c>
      <c r="D4716" t="s">
        <v>657</v>
      </c>
      <c r="F4716">
        <v>1651203209</v>
      </c>
      <c r="G4716">
        <v>872630475</v>
      </c>
      <c r="H4716">
        <v>722632435</v>
      </c>
      <c r="I4716">
        <v>622803670</v>
      </c>
      <c r="J4716">
        <v>466051618</v>
      </c>
      <c r="K4716">
        <v>265841194</v>
      </c>
      <c r="P4716">
        <v>29</v>
      </c>
      <c r="Q4716" t="s">
        <v>9778</v>
      </c>
    </row>
    <row r="4717" spans="1:17" x14ac:dyDescent="0.3">
      <c r="A4717" t="s">
        <v>4729</v>
      </c>
      <c r="B4717" t="str">
        <f>"300933"</f>
        <v>300933</v>
      </c>
      <c r="C4717" t="s">
        <v>9779</v>
      </c>
      <c r="D4717" t="s">
        <v>1164</v>
      </c>
      <c r="F4717">
        <v>1353556512</v>
      </c>
      <c r="G4717">
        <v>1028137285</v>
      </c>
      <c r="H4717">
        <v>936548292</v>
      </c>
      <c r="I4717">
        <v>839212282</v>
      </c>
      <c r="J4717">
        <v>710843421</v>
      </c>
      <c r="K4717">
        <v>662209137</v>
      </c>
      <c r="P4717">
        <v>30</v>
      </c>
      <c r="Q4717" t="s">
        <v>9780</v>
      </c>
    </row>
    <row r="4718" spans="1:17" x14ac:dyDescent="0.3">
      <c r="A4718" t="s">
        <v>4729</v>
      </c>
      <c r="B4718" t="str">
        <f>"300935"</f>
        <v>300935</v>
      </c>
      <c r="C4718" t="s">
        <v>9781</v>
      </c>
      <c r="D4718" t="s">
        <v>945</v>
      </c>
      <c r="F4718">
        <v>993871263</v>
      </c>
      <c r="G4718">
        <v>233366901</v>
      </c>
      <c r="H4718">
        <v>187130306</v>
      </c>
      <c r="I4718">
        <v>146673779</v>
      </c>
      <c r="J4718">
        <v>114828503</v>
      </c>
      <c r="K4718">
        <v>76692700</v>
      </c>
      <c r="P4718">
        <v>55</v>
      </c>
      <c r="Q4718" t="s">
        <v>9782</v>
      </c>
    </row>
    <row r="4719" spans="1:17" x14ac:dyDescent="0.3">
      <c r="A4719" t="s">
        <v>4729</v>
      </c>
      <c r="B4719" t="str">
        <f>"300936"</f>
        <v>300936</v>
      </c>
      <c r="C4719" t="s">
        <v>9783</v>
      </c>
      <c r="D4719" t="s">
        <v>425</v>
      </c>
      <c r="F4719">
        <v>885107116</v>
      </c>
      <c r="G4719">
        <v>359788767</v>
      </c>
      <c r="H4719">
        <v>302010956</v>
      </c>
      <c r="I4719">
        <v>254306056</v>
      </c>
      <c r="J4719">
        <v>155890787</v>
      </c>
      <c r="K4719">
        <v>109280298</v>
      </c>
      <c r="P4719">
        <v>54</v>
      </c>
      <c r="Q4719" t="s">
        <v>9784</v>
      </c>
    </row>
    <row r="4720" spans="1:17" x14ac:dyDescent="0.3">
      <c r="A4720" t="s">
        <v>4729</v>
      </c>
      <c r="B4720" t="str">
        <f>"300937"</f>
        <v>300937</v>
      </c>
      <c r="C4720" t="s">
        <v>9785</v>
      </c>
      <c r="D4720" t="s">
        <v>125</v>
      </c>
      <c r="F4720">
        <v>773508437</v>
      </c>
      <c r="G4720">
        <v>518024242</v>
      </c>
      <c r="H4720">
        <v>475781668</v>
      </c>
      <c r="I4720">
        <v>411118208</v>
      </c>
      <c r="J4720">
        <v>292016483</v>
      </c>
      <c r="P4720">
        <v>35</v>
      </c>
      <c r="Q4720" t="s">
        <v>9786</v>
      </c>
    </row>
    <row r="4721" spans="1:17" x14ac:dyDescent="0.3">
      <c r="A4721" t="s">
        <v>4729</v>
      </c>
      <c r="B4721" t="str">
        <f>"300938"</f>
        <v>300938</v>
      </c>
      <c r="C4721" t="s">
        <v>9787</v>
      </c>
      <c r="D4721" t="s">
        <v>2510</v>
      </c>
      <c r="F4721">
        <v>1014722941</v>
      </c>
      <c r="G4721">
        <v>413093100</v>
      </c>
      <c r="H4721">
        <v>352841314</v>
      </c>
      <c r="I4721">
        <v>292835267</v>
      </c>
      <c r="J4721">
        <v>240502363</v>
      </c>
      <c r="K4721">
        <v>186583700</v>
      </c>
      <c r="P4721">
        <v>43</v>
      </c>
      <c r="Q4721" t="s">
        <v>9788</v>
      </c>
    </row>
    <row r="4722" spans="1:17" x14ac:dyDescent="0.3">
      <c r="A4722" t="s">
        <v>4729</v>
      </c>
      <c r="B4722" t="str">
        <f>"300939"</f>
        <v>300939</v>
      </c>
      <c r="C4722" t="s">
        <v>9789</v>
      </c>
      <c r="D4722" t="s">
        <v>1117</v>
      </c>
      <c r="F4722">
        <v>1174665106</v>
      </c>
      <c r="G4722">
        <v>411177542</v>
      </c>
      <c r="H4722">
        <v>328156828</v>
      </c>
      <c r="I4722">
        <v>277610012</v>
      </c>
      <c r="J4722">
        <v>211389724</v>
      </c>
      <c r="K4722">
        <v>181805400</v>
      </c>
      <c r="P4722">
        <v>31</v>
      </c>
      <c r="Q4722" t="s">
        <v>9790</v>
      </c>
    </row>
    <row r="4723" spans="1:17" x14ac:dyDescent="0.3">
      <c r="A4723" t="s">
        <v>4729</v>
      </c>
      <c r="B4723" t="str">
        <f>"300940"</f>
        <v>300940</v>
      </c>
      <c r="C4723" t="s">
        <v>9791</v>
      </c>
      <c r="D4723" t="s">
        <v>803</v>
      </c>
      <c r="F4723">
        <v>861532276</v>
      </c>
      <c r="G4723">
        <v>496418197</v>
      </c>
      <c r="H4723">
        <v>427062333</v>
      </c>
      <c r="I4723">
        <v>347045955</v>
      </c>
      <c r="J4723">
        <v>206667459</v>
      </c>
      <c r="K4723">
        <v>171673510</v>
      </c>
      <c r="P4723">
        <v>39</v>
      </c>
      <c r="Q4723" t="s">
        <v>9792</v>
      </c>
    </row>
    <row r="4724" spans="1:17" x14ac:dyDescent="0.3">
      <c r="A4724" t="s">
        <v>4729</v>
      </c>
      <c r="B4724" t="str">
        <f>"300941"</f>
        <v>300941</v>
      </c>
      <c r="C4724" t="s">
        <v>9793</v>
      </c>
      <c r="D4724" t="s">
        <v>236</v>
      </c>
      <c r="F4724">
        <v>1180857921</v>
      </c>
      <c r="G4724">
        <v>449163948</v>
      </c>
      <c r="H4724">
        <v>317719277</v>
      </c>
      <c r="I4724">
        <v>231352920</v>
      </c>
      <c r="J4724">
        <v>182204505</v>
      </c>
      <c r="K4724">
        <v>143110573</v>
      </c>
      <c r="P4724">
        <v>69</v>
      </c>
      <c r="Q4724" t="s">
        <v>9794</v>
      </c>
    </row>
    <row r="4725" spans="1:17" x14ac:dyDescent="0.3">
      <c r="A4725" t="s">
        <v>4729</v>
      </c>
      <c r="B4725" t="str">
        <f>"300942"</f>
        <v>300942</v>
      </c>
      <c r="C4725" t="s">
        <v>9795</v>
      </c>
      <c r="D4725" t="s">
        <v>1305</v>
      </c>
      <c r="F4725">
        <v>944762746</v>
      </c>
      <c r="G4725">
        <v>549053563</v>
      </c>
      <c r="H4725">
        <v>528394105</v>
      </c>
      <c r="I4725">
        <v>222689502</v>
      </c>
      <c r="J4725">
        <v>114652763</v>
      </c>
      <c r="K4725">
        <v>55259637</v>
      </c>
      <c r="P4725">
        <v>98</v>
      </c>
      <c r="Q4725" t="s">
        <v>9796</v>
      </c>
    </row>
    <row r="4726" spans="1:17" x14ac:dyDescent="0.3">
      <c r="A4726" t="s">
        <v>4729</v>
      </c>
      <c r="B4726" t="str">
        <f>"300943"</f>
        <v>300943</v>
      </c>
      <c r="C4726" t="s">
        <v>9797</v>
      </c>
      <c r="D4726" t="s">
        <v>274</v>
      </c>
      <c r="F4726">
        <v>844944799</v>
      </c>
      <c r="G4726">
        <v>509298279</v>
      </c>
      <c r="H4726">
        <v>435556943</v>
      </c>
      <c r="I4726">
        <v>371190794</v>
      </c>
      <c r="J4726">
        <v>352082379</v>
      </c>
      <c r="P4726">
        <v>35</v>
      </c>
      <c r="Q4726" t="s">
        <v>9798</v>
      </c>
    </row>
    <row r="4727" spans="1:17" x14ac:dyDescent="0.3">
      <c r="A4727" t="s">
        <v>4729</v>
      </c>
      <c r="B4727" t="str">
        <f>"300945"</f>
        <v>300945</v>
      </c>
      <c r="C4727" t="s">
        <v>9799</v>
      </c>
      <c r="D4727" t="s">
        <v>1238</v>
      </c>
      <c r="F4727">
        <v>762417443</v>
      </c>
      <c r="G4727">
        <v>538898590</v>
      </c>
      <c r="H4727">
        <v>475249281</v>
      </c>
      <c r="I4727">
        <v>410337227</v>
      </c>
      <c r="J4727">
        <v>396608104</v>
      </c>
      <c r="K4727">
        <v>352789740</v>
      </c>
      <c r="P4727">
        <v>36</v>
      </c>
      <c r="Q4727" t="s">
        <v>9800</v>
      </c>
    </row>
    <row r="4728" spans="1:17" x14ac:dyDescent="0.3">
      <c r="A4728" t="s">
        <v>4729</v>
      </c>
      <c r="B4728" t="str">
        <f>"300946"</f>
        <v>300946</v>
      </c>
      <c r="C4728" t="s">
        <v>9801</v>
      </c>
      <c r="D4728" t="s">
        <v>274</v>
      </c>
      <c r="F4728">
        <v>993153292</v>
      </c>
      <c r="G4728">
        <v>473916816</v>
      </c>
      <c r="H4728">
        <v>380875061</v>
      </c>
      <c r="I4728">
        <v>306795897</v>
      </c>
      <c r="J4728">
        <v>236103310</v>
      </c>
      <c r="P4728">
        <v>75</v>
      </c>
      <c r="Q4728" t="s">
        <v>9802</v>
      </c>
    </row>
    <row r="4729" spans="1:17" x14ac:dyDescent="0.3">
      <c r="A4729" t="s">
        <v>4729</v>
      </c>
      <c r="B4729" t="str">
        <f>"300947"</f>
        <v>300947</v>
      </c>
      <c r="C4729" t="s">
        <v>9803</v>
      </c>
      <c r="D4729" t="s">
        <v>271</v>
      </c>
      <c r="F4729">
        <v>1257493301</v>
      </c>
      <c r="G4729">
        <v>933409658</v>
      </c>
      <c r="H4729">
        <v>857329209</v>
      </c>
      <c r="I4729">
        <v>740615199</v>
      </c>
      <c r="J4729">
        <v>406251889</v>
      </c>
      <c r="K4729">
        <v>212045541</v>
      </c>
      <c r="P4729">
        <v>28</v>
      </c>
      <c r="Q4729" t="s">
        <v>9804</v>
      </c>
    </row>
    <row r="4730" spans="1:17" x14ac:dyDescent="0.3">
      <c r="A4730" t="s">
        <v>4729</v>
      </c>
      <c r="B4730" t="str">
        <f>"300948"</f>
        <v>300948</v>
      </c>
      <c r="C4730" t="s">
        <v>9805</v>
      </c>
      <c r="D4730" t="s">
        <v>2417</v>
      </c>
      <c r="F4730">
        <v>795487406</v>
      </c>
      <c r="G4730">
        <v>467085073</v>
      </c>
      <c r="H4730">
        <v>402374484</v>
      </c>
      <c r="I4730">
        <v>339670921</v>
      </c>
      <c r="J4730">
        <v>209014219</v>
      </c>
      <c r="K4730">
        <v>169683381</v>
      </c>
      <c r="P4730">
        <v>38</v>
      </c>
      <c r="Q4730" t="s">
        <v>9806</v>
      </c>
    </row>
    <row r="4731" spans="1:17" x14ac:dyDescent="0.3">
      <c r="A4731" t="s">
        <v>4729</v>
      </c>
      <c r="B4731" t="str">
        <f>"300949"</f>
        <v>300949</v>
      </c>
      <c r="C4731" t="s">
        <v>9807</v>
      </c>
      <c r="D4731" t="s">
        <v>2417</v>
      </c>
      <c r="F4731">
        <v>1199102457</v>
      </c>
      <c r="G4731">
        <v>409367408</v>
      </c>
      <c r="H4731">
        <v>306669179</v>
      </c>
      <c r="I4731">
        <v>224620529</v>
      </c>
      <c r="J4731">
        <v>152815771</v>
      </c>
      <c r="K4731">
        <v>99596892</v>
      </c>
      <c r="P4731">
        <v>39</v>
      </c>
      <c r="Q4731" t="s">
        <v>9808</v>
      </c>
    </row>
    <row r="4732" spans="1:17" x14ac:dyDescent="0.3">
      <c r="A4732" t="s">
        <v>4729</v>
      </c>
      <c r="B4732" t="str">
        <f>"300950"</f>
        <v>300950</v>
      </c>
      <c r="C4732" t="s">
        <v>9809</v>
      </c>
      <c r="D4732" t="s">
        <v>395</v>
      </c>
      <c r="F4732">
        <v>574237416</v>
      </c>
      <c r="G4732">
        <v>364570873</v>
      </c>
      <c r="H4732">
        <v>347487057</v>
      </c>
      <c r="I4732">
        <v>329853878</v>
      </c>
      <c r="J4732">
        <v>300098634</v>
      </c>
      <c r="K4732">
        <v>260250806</v>
      </c>
      <c r="P4732">
        <v>58</v>
      </c>
      <c r="Q4732" t="s">
        <v>9810</v>
      </c>
    </row>
    <row r="4733" spans="1:17" x14ac:dyDescent="0.3">
      <c r="A4733" t="s">
        <v>4729</v>
      </c>
      <c r="B4733" t="str">
        <f>"300951"</f>
        <v>300951</v>
      </c>
      <c r="C4733" t="s">
        <v>9811</v>
      </c>
      <c r="D4733" t="s">
        <v>313</v>
      </c>
      <c r="F4733">
        <v>1904851200</v>
      </c>
      <c r="G4733">
        <v>378075360</v>
      </c>
      <c r="H4733">
        <v>274095276</v>
      </c>
      <c r="I4733">
        <v>180106567</v>
      </c>
      <c r="J4733">
        <v>98215185</v>
      </c>
      <c r="P4733">
        <v>67</v>
      </c>
      <c r="Q4733" t="s">
        <v>9812</v>
      </c>
    </row>
    <row r="4734" spans="1:17" x14ac:dyDescent="0.3">
      <c r="A4734" t="s">
        <v>4729</v>
      </c>
      <c r="B4734" t="str">
        <f>"300952"</f>
        <v>300952</v>
      </c>
      <c r="C4734" t="s">
        <v>9813</v>
      </c>
      <c r="D4734" t="s">
        <v>330</v>
      </c>
      <c r="F4734">
        <v>925815721</v>
      </c>
      <c r="G4734">
        <v>493830436</v>
      </c>
      <c r="H4734">
        <v>387861200</v>
      </c>
      <c r="I4734">
        <v>291126284</v>
      </c>
      <c r="J4734">
        <v>130209784</v>
      </c>
      <c r="K4734">
        <v>177815854</v>
      </c>
      <c r="P4734">
        <v>38</v>
      </c>
      <c r="Q4734" t="s">
        <v>9814</v>
      </c>
    </row>
    <row r="4735" spans="1:17" x14ac:dyDescent="0.3">
      <c r="A4735" t="s">
        <v>4729</v>
      </c>
      <c r="B4735" t="str">
        <f>"300953"</f>
        <v>300953</v>
      </c>
      <c r="C4735" t="s">
        <v>9815</v>
      </c>
      <c r="D4735" t="s">
        <v>274</v>
      </c>
      <c r="F4735">
        <v>1487323709</v>
      </c>
      <c r="G4735">
        <v>733254030</v>
      </c>
      <c r="H4735">
        <v>602990306</v>
      </c>
      <c r="I4735">
        <v>380531825</v>
      </c>
      <c r="J4735">
        <v>324591235</v>
      </c>
      <c r="K4735">
        <v>203438442</v>
      </c>
      <c r="P4735">
        <v>84</v>
      </c>
      <c r="Q4735" t="s">
        <v>9816</v>
      </c>
    </row>
    <row r="4736" spans="1:17" x14ac:dyDescent="0.3">
      <c r="A4736" t="s">
        <v>4729</v>
      </c>
      <c r="B4736" t="str">
        <f>"300955"</f>
        <v>300955</v>
      </c>
      <c r="C4736" t="s">
        <v>9817</v>
      </c>
      <c r="D4736" t="s">
        <v>5979</v>
      </c>
      <c r="F4736">
        <v>957072422</v>
      </c>
      <c r="G4736">
        <v>528800062</v>
      </c>
      <c r="H4736">
        <v>435450012</v>
      </c>
      <c r="I4736">
        <v>368546105</v>
      </c>
      <c r="J4736">
        <v>325581981</v>
      </c>
      <c r="P4736">
        <v>42</v>
      </c>
      <c r="Q4736" t="s">
        <v>9818</v>
      </c>
    </row>
    <row r="4737" spans="1:17" x14ac:dyDescent="0.3">
      <c r="A4737" t="s">
        <v>4729</v>
      </c>
      <c r="B4737" t="str">
        <f>"300956"</f>
        <v>300956</v>
      </c>
      <c r="C4737" t="s">
        <v>9819</v>
      </c>
      <c r="D4737" t="s">
        <v>313</v>
      </c>
      <c r="F4737">
        <v>1087367930</v>
      </c>
      <c r="G4737">
        <v>680224722</v>
      </c>
      <c r="H4737">
        <v>580585639</v>
      </c>
      <c r="I4737">
        <v>418433988</v>
      </c>
      <c r="J4737">
        <v>300269914</v>
      </c>
      <c r="P4737">
        <v>45</v>
      </c>
      <c r="Q4737" t="s">
        <v>9820</v>
      </c>
    </row>
    <row r="4738" spans="1:17" x14ac:dyDescent="0.3">
      <c r="A4738" t="s">
        <v>4729</v>
      </c>
      <c r="B4738" t="str">
        <f>"300957"</f>
        <v>300957</v>
      </c>
      <c r="C4738" t="s">
        <v>9821</v>
      </c>
      <c r="D4738" t="s">
        <v>709</v>
      </c>
      <c r="F4738">
        <v>4755204197</v>
      </c>
      <c r="G4738">
        <v>1199004474</v>
      </c>
      <c r="H4738">
        <v>756296570</v>
      </c>
      <c r="I4738">
        <v>445140013</v>
      </c>
      <c r="J4738">
        <v>254932269</v>
      </c>
      <c r="P4738">
        <v>350</v>
      </c>
      <c r="Q4738" t="s">
        <v>9822</v>
      </c>
    </row>
    <row r="4739" spans="1:17" x14ac:dyDescent="0.3">
      <c r="A4739" t="s">
        <v>4729</v>
      </c>
      <c r="B4739" t="str">
        <f>"300958"</f>
        <v>300958</v>
      </c>
      <c r="C4739" t="s">
        <v>9823</v>
      </c>
      <c r="D4739" t="s">
        <v>3575</v>
      </c>
      <c r="F4739">
        <v>1048805233</v>
      </c>
      <c r="G4739">
        <v>719050633</v>
      </c>
      <c r="H4739">
        <v>640555004</v>
      </c>
      <c r="I4739">
        <v>529113531</v>
      </c>
      <c r="J4739">
        <v>366449920</v>
      </c>
      <c r="P4739">
        <v>28</v>
      </c>
      <c r="Q4739" t="s">
        <v>9824</v>
      </c>
    </row>
    <row r="4740" spans="1:17" x14ac:dyDescent="0.3">
      <c r="A4740" t="s">
        <v>4729</v>
      </c>
      <c r="B4740" t="str">
        <f>"300959"</f>
        <v>300959</v>
      </c>
      <c r="C4740" t="s">
        <v>9825</v>
      </c>
      <c r="D4740" t="s">
        <v>5670</v>
      </c>
      <c r="F4740">
        <v>1134760104</v>
      </c>
      <c r="G4740">
        <v>324276518</v>
      </c>
      <c r="H4740">
        <v>240957653</v>
      </c>
      <c r="I4740">
        <v>180336851</v>
      </c>
      <c r="J4740">
        <v>125154945</v>
      </c>
      <c r="K4740">
        <v>65130020</v>
      </c>
      <c r="P4740">
        <v>31</v>
      </c>
      <c r="Q4740" t="s">
        <v>9826</v>
      </c>
    </row>
    <row r="4741" spans="1:17" x14ac:dyDescent="0.3">
      <c r="A4741" t="s">
        <v>4729</v>
      </c>
      <c r="B4741" t="str">
        <f>"300960"</f>
        <v>300960</v>
      </c>
      <c r="C4741" t="s">
        <v>9827</v>
      </c>
      <c r="D4741" t="s">
        <v>1012</v>
      </c>
      <c r="F4741">
        <v>637406620</v>
      </c>
      <c r="G4741">
        <v>365651512</v>
      </c>
      <c r="H4741">
        <v>294001398</v>
      </c>
      <c r="I4741">
        <v>244954781</v>
      </c>
      <c r="J4741">
        <v>212726170</v>
      </c>
      <c r="K4741">
        <v>183307414</v>
      </c>
      <c r="P4741">
        <v>26</v>
      </c>
      <c r="Q4741" t="s">
        <v>9828</v>
      </c>
    </row>
    <row r="4742" spans="1:17" x14ac:dyDescent="0.3">
      <c r="A4742" t="s">
        <v>4729</v>
      </c>
      <c r="B4742" t="str">
        <f>"300961"</f>
        <v>300961</v>
      </c>
      <c r="C4742" t="s">
        <v>9829</v>
      </c>
      <c r="D4742" t="s">
        <v>33</v>
      </c>
      <c r="F4742">
        <v>1044700609</v>
      </c>
      <c r="G4742">
        <v>694508221</v>
      </c>
      <c r="H4742">
        <v>602082967</v>
      </c>
      <c r="I4742">
        <v>406129446</v>
      </c>
      <c r="J4742">
        <v>348058690</v>
      </c>
      <c r="K4742">
        <v>162723231</v>
      </c>
      <c r="P4742">
        <v>27</v>
      </c>
      <c r="Q4742" t="s">
        <v>9830</v>
      </c>
    </row>
    <row r="4743" spans="1:17" x14ac:dyDescent="0.3">
      <c r="A4743" t="s">
        <v>4729</v>
      </c>
      <c r="B4743" t="str">
        <f>"300962"</f>
        <v>300962</v>
      </c>
      <c r="C4743" t="s">
        <v>9831</v>
      </c>
      <c r="D4743" t="s">
        <v>9832</v>
      </c>
      <c r="F4743">
        <v>845553407</v>
      </c>
      <c r="G4743">
        <v>601175030</v>
      </c>
      <c r="H4743">
        <v>598737215</v>
      </c>
      <c r="I4743">
        <v>589928303</v>
      </c>
      <c r="J4743">
        <v>522773072</v>
      </c>
      <c r="K4743">
        <v>483875783</v>
      </c>
      <c r="P4743">
        <v>32</v>
      </c>
      <c r="Q4743" t="s">
        <v>9833</v>
      </c>
    </row>
    <row r="4744" spans="1:17" x14ac:dyDescent="0.3">
      <c r="A4744" t="s">
        <v>4729</v>
      </c>
      <c r="B4744" t="str">
        <f>"300963"</f>
        <v>300963</v>
      </c>
      <c r="C4744" t="s">
        <v>9834</v>
      </c>
      <c r="D4744" t="s">
        <v>581</v>
      </c>
      <c r="F4744">
        <v>863659689</v>
      </c>
      <c r="G4744">
        <v>525226753</v>
      </c>
      <c r="H4744">
        <v>479141072</v>
      </c>
      <c r="I4744">
        <v>437166787</v>
      </c>
      <c r="J4744">
        <v>389159248</v>
      </c>
      <c r="K4744">
        <v>312824397</v>
      </c>
      <c r="P4744">
        <v>35</v>
      </c>
      <c r="Q4744" t="s">
        <v>9835</v>
      </c>
    </row>
    <row r="4745" spans="1:17" x14ac:dyDescent="0.3">
      <c r="A4745" t="s">
        <v>4729</v>
      </c>
      <c r="B4745" t="str">
        <f>"300964"</f>
        <v>300964</v>
      </c>
      <c r="C4745" t="s">
        <v>9836</v>
      </c>
      <c r="D4745" t="s">
        <v>425</v>
      </c>
      <c r="F4745">
        <v>992238517</v>
      </c>
      <c r="G4745">
        <v>377617013</v>
      </c>
      <c r="H4745">
        <v>295258101</v>
      </c>
      <c r="I4745">
        <v>260137441</v>
      </c>
      <c r="J4745">
        <v>193180857</v>
      </c>
      <c r="P4745">
        <v>20</v>
      </c>
      <c r="Q4745" t="s">
        <v>9837</v>
      </c>
    </row>
    <row r="4746" spans="1:17" x14ac:dyDescent="0.3">
      <c r="A4746" t="s">
        <v>4729</v>
      </c>
      <c r="B4746" t="str">
        <f>"300965"</f>
        <v>300965</v>
      </c>
      <c r="C4746" t="s">
        <v>9838</v>
      </c>
      <c r="D4746" t="s">
        <v>98</v>
      </c>
      <c r="F4746">
        <v>1353517910</v>
      </c>
      <c r="G4746">
        <v>440005452</v>
      </c>
      <c r="H4746">
        <v>336551542</v>
      </c>
      <c r="I4746">
        <v>252740472</v>
      </c>
      <c r="J4746">
        <v>214112800</v>
      </c>
      <c r="K4746">
        <v>324530200</v>
      </c>
      <c r="P4746">
        <v>31</v>
      </c>
      <c r="Q4746" t="s">
        <v>9839</v>
      </c>
    </row>
    <row r="4747" spans="1:17" x14ac:dyDescent="0.3">
      <c r="A4747" t="s">
        <v>4729</v>
      </c>
      <c r="B4747" t="str">
        <f>"300966"</f>
        <v>300966</v>
      </c>
      <c r="C4747" t="s">
        <v>9840</v>
      </c>
      <c r="D4747" t="s">
        <v>496</v>
      </c>
      <c r="F4747">
        <v>807053017</v>
      </c>
      <c r="G4747">
        <v>534540315</v>
      </c>
      <c r="H4747">
        <v>481251786</v>
      </c>
      <c r="I4747">
        <v>408255427</v>
      </c>
      <c r="J4747">
        <v>300452551</v>
      </c>
      <c r="P4747">
        <v>32</v>
      </c>
      <c r="Q4747" t="s">
        <v>9841</v>
      </c>
    </row>
    <row r="4748" spans="1:17" x14ac:dyDescent="0.3">
      <c r="A4748" t="s">
        <v>4729</v>
      </c>
      <c r="B4748" t="str">
        <f>"300967"</f>
        <v>300967</v>
      </c>
      <c r="C4748" t="s">
        <v>9842</v>
      </c>
      <c r="D4748" t="s">
        <v>6260</v>
      </c>
      <c r="F4748">
        <v>825368087</v>
      </c>
      <c r="G4748">
        <v>614970973</v>
      </c>
      <c r="H4748">
        <v>564722416</v>
      </c>
      <c r="I4748">
        <v>466296402</v>
      </c>
      <c r="J4748">
        <v>421339748</v>
      </c>
      <c r="P4748">
        <v>34</v>
      </c>
      <c r="Q4748" t="s">
        <v>9843</v>
      </c>
    </row>
    <row r="4749" spans="1:17" x14ac:dyDescent="0.3">
      <c r="A4749" t="s">
        <v>4729</v>
      </c>
      <c r="B4749" t="str">
        <f>"300968"</f>
        <v>300968</v>
      </c>
      <c r="C4749" t="s">
        <v>9844</v>
      </c>
      <c r="D4749" t="s">
        <v>313</v>
      </c>
      <c r="F4749">
        <v>1891681320</v>
      </c>
      <c r="G4749">
        <v>1168951680</v>
      </c>
      <c r="H4749">
        <v>996006382</v>
      </c>
      <c r="I4749">
        <v>877895244</v>
      </c>
      <c r="J4749">
        <v>805555974</v>
      </c>
      <c r="K4749">
        <v>737913870</v>
      </c>
      <c r="P4749">
        <v>31</v>
      </c>
      <c r="Q4749" t="s">
        <v>9845</v>
      </c>
    </row>
    <row r="4750" spans="1:17" x14ac:dyDescent="0.3">
      <c r="A4750" t="s">
        <v>4729</v>
      </c>
      <c r="B4750" t="str">
        <f>"300969"</f>
        <v>300969</v>
      </c>
      <c r="C4750" t="s">
        <v>9846</v>
      </c>
      <c r="D4750" t="s">
        <v>191</v>
      </c>
      <c r="F4750">
        <v>786396858</v>
      </c>
      <c r="G4750">
        <v>316612706</v>
      </c>
      <c r="H4750">
        <v>251279375</v>
      </c>
      <c r="I4750">
        <v>186199275</v>
      </c>
      <c r="J4750">
        <v>269822816</v>
      </c>
      <c r="P4750">
        <v>42</v>
      </c>
      <c r="Q4750" t="s">
        <v>9847</v>
      </c>
    </row>
    <row r="4751" spans="1:17" x14ac:dyDescent="0.3">
      <c r="A4751" t="s">
        <v>4729</v>
      </c>
      <c r="B4751" t="str">
        <f>"300970"</f>
        <v>300970</v>
      </c>
      <c r="C4751" t="s">
        <v>9848</v>
      </c>
      <c r="D4751" t="s">
        <v>7331</v>
      </c>
      <c r="F4751">
        <v>1428944954</v>
      </c>
      <c r="G4751">
        <v>847838098</v>
      </c>
      <c r="H4751">
        <v>737207164</v>
      </c>
      <c r="I4751">
        <v>616866257</v>
      </c>
      <c r="J4751">
        <v>591282516</v>
      </c>
      <c r="K4751">
        <v>536351743</v>
      </c>
      <c r="P4751">
        <v>25</v>
      </c>
      <c r="Q4751" t="s">
        <v>9849</v>
      </c>
    </row>
    <row r="4752" spans="1:17" x14ac:dyDescent="0.3">
      <c r="A4752" t="s">
        <v>4729</v>
      </c>
      <c r="B4752" t="str">
        <f>"300971"</f>
        <v>300971</v>
      </c>
      <c r="C4752" t="s">
        <v>9850</v>
      </c>
      <c r="D4752" t="s">
        <v>741</v>
      </c>
      <c r="F4752">
        <v>897418735</v>
      </c>
      <c r="G4752">
        <v>498715910</v>
      </c>
      <c r="H4752">
        <v>437415886</v>
      </c>
      <c r="I4752">
        <v>387572437</v>
      </c>
      <c r="J4752">
        <v>354390893</v>
      </c>
      <c r="P4752">
        <v>39</v>
      </c>
      <c r="Q4752" t="s">
        <v>9851</v>
      </c>
    </row>
    <row r="4753" spans="1:17" x14ac:dyDescent="0.3">
      <c r="A4753" t="s">
        <v>4729</v>
      </c>
      <c r="B4753" t="str">
        <f>"300972"</f>
        <v>300972</v>
      </c>
      <c r="C4753" t="s">
        <v>9852</v>
      </c>
      <c r="D4753" t="s">
        <v>7331</v>
      </c>
      <c r="F4753">
        <v>653535888</v>
      </c>
      <c r="G4753">
        <v>400653823</v>
      </c>
      <c r="H4753">
        <v>344817290</v>
      </c>
      <c r="I4753">
        <v>333217195</v>
      </c>
      <c r="J4753">
        <v>298479036</v>
      </c>
      <c r="P4753">
        <v>22</v>
      </c>
      <c r="Q4753" t="s">
        <v>9853</v>
      </c>
    </row>
    <row r="4754" spans="1:17" x14ac:dyDescent="0.3">
      <c r="A4754" t="s">
        <v>4729</v>
      </c>
      <c r="B4754" t="str">
        <f>"300973"</f>
        <v>300973</v>
      </c>
      <c r="C4754" t="s">
        <v>9854</v>
      </c>
      <c r="D4754" t="s">
        <v>2488</v>
      </c>
      <c r="F4754">
        <v>1985578045</v>
      </c>
      <c r="G4754">
        <v>651985890</v>
      </c>
      <c r="H4754">
        <v>470690745</v>
      </c>
      <c r="I4754">
        <v>305586662</v>
      </c>
      <c r="J4754">
        <v>194512118</v>
      </c>
      <c r="P4754">
        <v>140</v>
      </c>
      <c r="Q4754" t="s">
        <v>9855</v>
      </c>
    </row>
    <row r="4755" spans="1:17" x14ac:dyDescent="0.3">
      <c r="A4755" t="s">
        <v>4729</v>
      </c>
      <c r="B4755" t="str">
        <f>"300975"</f>
        <v>300975</v>
      </c>
      <c r="C4755" t="s">
        <v>9856</v>
      </c>
      <c r="D4755" t="s">
        <v>651</v>
      </c>
      <c r="F4755">
        <v>1521322266</v>
      </c>
      <c r="G4755">
        <v>1103035833</v>
      </c>
      <c r="H4755">
        <v>954666595</v>
      </c>
      <c r="I4755">
        <v>870882261</v>
      </c>
      <c r="J4755">
        <v>505122356</v>
      </c>
      <c r="P4755">
        <v>30</v>
      </c>
      <c r="Q4755" t="s">
        <v>9857</v>
      </c>
    </row>
    <row r="4756" spans="1:17" x14ac:dyDescent="0.3">
      <c r="A4756" t="s">
        <v>4729</v>
      </c>
      <c r="B4756" t="str">
        <f>"300976"</f>
        <v>300976</v>
      </c>
      <c r="C4756" t="s">
        <v>9858</v>
      </c>
      <c r="D4756" t="s">
        <v>313</v>
      </c>
      <c r="F4756">
        <v>3066832830</v>
      </c>
      <c r="G4756">
        <v>858765951</v>
      </c>
      <c r="H4756">
        <v>644896328</v>
      </c>
      <c r="I4756">
        <v>299201353</v>
      </c>
      <c r="J4756">
        <v>148545056</v>
      </c>
      <c r="P4756">
        <v>35</v>
      </c>
      <c r="Q4756" t="s">
        <v>9859</v>
      </c>
    </row>
    <row r="4757" spans="1:17" x14ac:dyDescent="0.3">
      <c r="A4757" t="s">
        <v>4729</v>
      </c>
      <c r="B4757" t="str">
        <f>"300977"</f>
        <v>300977</v>
      </c>
      <c r="C4757" t="s">
        <v>9860</v>
      </c>
      <c r="D4757" t="s">
        <v>1272</v>
      </c>
      <c r="F4757">
        <v>1395860211</v>
      </c>
      <c r="G4757">
        <v>376262245</v>
      </c>
      <c r="H4757">
        <v>265834598</v>
      </c>
      <c r="I4757">
        <v>146971787</v>
      </c>
      <c r="J4757">
        <v>74250871</v>
      </c>
      <c r="K4757">
        <v>63419701</v>
      </c>
      <c r="P4757">
        <v>46</v>
      </c>
      <c r="Q4757" t="s">
        <v>9861</v>
      </c>
    </row>
    <row r="4758" spans="1:17" x14ac:dyDescent="0.3">
      <c r="A4758" t="s">
        <v>4729</v>
      </c>
      <c r="B4758" t="str">
        <f>"300978"</f>
        <v>300978</v>
      </c>
      <c r="C4758" t="s">
        <v>9862</v>
      </c>
      <c r="D4758" t="s">
        <v>191</v>
      </c>
      <c r="F4758">
        <v>1516899724</v>
      </c>
      <c r="G4758">
        <v>1309687798</v>
      </c>
      <c r="H4758">
        <v>1119333777</v>
      </c>
      <c r="I4758">
        <v>909678203</v>
      </c>
      <c r="J4758">
        <v>920016013</v>
      </c>
      <c r="K4758">
        <v>656973872</v>
      </c>
      <c r="P4758">
        <v>37</v>
      </c>
      <c r="Q4758" t="s">
        <v>9863</v>
      </c>
    </row>
    <row r="4759" spans="1:17" x14ac:dyDescent="0.3">
      <c r="A4759" t="s">
        <v>4729</v>
      </c>
      <c r="B4759" t="str">
        <f>"300979"</f>
        <v>300979</v>
      </c>
      <c r="C4759" t="s">
        <v>9864</v>
      </c>
      <c r="D4759" t="s">
        <v>9865</v>
      </c>
      <c r="F4759">
        <v>10926758255</v>
      </c>
      <c r="G4759">
        <v>5741403431</v>
      </c>
      <c r="H4759">
        <v>4168282500</v>
      </c>
      <c r="I4759">
        <v>1474863451</v>
      </c>
      <c r="J4759">
        <v>3784603557</v>
      </c>
      <c r="P4759">
        <v>95</v>
      </c>
      <c r="Q4759" t="s">
        <v>9866</v>
      </c>
    </row>
    <row r="4760" spans="1:17" x14ac:dyDescent="0.3">
      <c r="A4760" t="s">
        <v>4729</v>
      </c>
      <c r="B4760" t="str">
        <f>"300980"</f>
        <v>300980</v>
      </c>
      <c r="C4760" t="s">
        <v>9867</v>
      </c>
      <c r="D4760" t="s">
        <v>1192</v>
      </c>
      <c r="F4760">
        <v>917099996</v>
      </c>
      <c r="G4760">
        <v>304016744</v>
      </c>
      <c r="H4760">
        <v>239059707</v>
      </c>
      <c r="I4760">
        <v>126901944</v>
      </c>
      <c r="J4760">
        <v>99447532</v>
      </c>
      <c r="P4760">
        <v>77</v>
      </c>
      <c r="Q4760" t="s">
        <v>9868</v>
      </c>
    </row>
    <row r="4761" spans="1:17" x14ac:dyDescent="0.3">
      <c r="A4761" t="s">
        <v>4729</v>
      </c>
      <c r="B4761" t="str">
        <f>"300981"</f>
        <v>300981</v>
      </c>
      <c r="C4761" t="s">
        <v>9869</v>
      </c>
      <c r="D4761" t="s">
        <v>1077</v>
      </c>
      <c r="F4761">
        <v>6554161197</v>
      </c>
      <c r="G4761">
        <v>2555731004</v>
      </c>
      <c r="H4761">
        <v>467666188</v>
      </c>
      <c r="I4761">
        <v>378238463</v>
      </c>
      <c r="J4761">
        <v>321188341</v>
      </c>
      <c r="P4761">
        <v>127</v>
      </c>
      <c r="Q4761" t="s">
        <v>9870</v>
      </c>
    </row>
    <row r="4762" spans="1:17" x14ac:dyDescent="0.3">
      <c r="A4762" t="s">
        <v>4729</v>
      </c>
      <c r="B4762" t="str">
        <f>"300982"</f>
        <v>300982</v>
      </c>
      <c r="C4762" t="s">
        <v>9871</v>
      </c>
      <c r="D4762" t="s">
        <v>101</v>
      </c>
      <c r="F4762">
        <v>1455913625</v>
      </c>
      <c r="G4762">
        <v>716552359</v>
      </c>
      <c r="H4762">
        <v>479031172</v>
      </c>
      <c r="I4762">
        <v>336920440</v>
      </c>
      <c r="J4762">
        <v>245680791</v>
      </c>
      <c r="K4762">
        <v>197069719</v>
      </c>
      <c r="P4762">
        <v>65</v>
      </c>
      <c r="Q4762" t="s">
        <v>9872</v>
      </c>
    </row>
    <row r="4763" spans="1:17" x14ac:dyDescent="0.3">
      <c r="A4763" t="s">
        <v>4729</v>
      </c>
      <c r="B4763" t="str">
        <f>"300983"</f>
        <v>300983</v>
      </c>
      <c r="C4763" t="s">
        <v>9873</v>
      </c>
      <c r="D4763" t="s">
        <v>1272</v>
      </c>
      <c r="F4763">
        <v>3180068142</v>
      </c>
      <c r="G4763">
        <v>708741171</v>
      </c>
      <c r="H4763">
        <v>476454126</v>
      </c>
      <c r="I4763">
        <v>259090234</v>
      </c>
      <c r="J4763">
        <v>173133948</v>
      </c>
      <c r="P4763">
        <v>34</v>
      </c>
      <c r="Q4763" t="s">
        <v>9874</v>
      </c>
    </row>
    <row r="4764" spans="1:17" x14ac:dyDescent="0.3">
      <c r="A4764" t="s">
        <v>4729</v>
      </c>
      <c r="B4764" t="str">
        <f>"300984"</f>
        <v>300984</v>
      </c>
      <c r="C4764" t="s">
        <v>9875</v>
      </c>
      <c r="D4764" t="s">
        <v>560</v>
      </c>
      <c r="F4764">
        <v>636571184</v>
      </c>
      <c r="G4764">
        <v>280103922</v>
      </c>
      <c r="H4764">
        <v>242503471</v>
      </c>
      <c r="I4764">
        <v>191517331</v>
      </c>
      <c r="J4764">
        <v>79239436</v>
      </c>
      <c r="P4764">
        <v>18</v>
      </c>
      <c r="Q4764" t="s">
        <v>9876</v>
      </c>
    </row>
    <row r="4765" spans="1:17" x14ac:dyDescent="0.3">
      <c r="A4765" t="s">
        <v>4729</v>
      </c>
      <c r="B4765" t="str">
        <f>"300985"</f>
        <v>300985</v>
      </c>
      <c r="C4765" t="s">
        <v>9877</v>
      </c>
      <c r="D4765" t="s">
        <v>274</v>
      </c>
      <c r="F4765">
        <v>1253779121</v>
      </c>
      <c r="G4765">
        <v>455297668</v>
      </c>
      <c r="H4765">
        <v>230488248</v>
      </c>
      <c r="I4765">
        <v>190023759</v>
      </c>
      <c r="J4765">
        <v>85685332</v>
      </c>
      <c r="P4765">
        <v>32</v>
      </c>
      <c r="Q4765" t="s">
        <v>9878</v>
      </c>
    </row>
    <row r="4766" spans="1:17" x14ac:dyDescent="0.3">
      <c r="A4766" t="s">
        <v>4729</v>
      </c>
      <c r="B4766" t="str">
        <f>"300986"</f>
        <v>300986</v>
      </c>
      <c r="C4766" t="s">
        <v>9879</v>
      </c>
      <c r="D4766" t="s">
        <v>504</v>
      </c>
      <c r="F4766">
        <v>1232040209</v>
      </c>
      <c r="G4766">
        <v>690716536</v>
      </c>
      <c r="H4766">
        <v>521952971</v>
      </c>
      <c r="I4766">
        <v>391214622</v>
      </c>
      <c r="J4766">
        <v>224557094</v>
      </c>
      <c r="K4766">
        <v>134631800</v>
      </c>
      <c r="P4766">
        <v>34</v>
      </c>
      <c r="Q4766" t="s">
        <v>9880</v>
      </c>
    </row>
    <row r="4767" spans="1:17" x14ac:dyDescent="0.3">
      <c r="A4767" t="s">
        <v>4729</v>
      </c>
      <c r="B4767" t="str">
        <f>"300987"</f>
        <v>300987</v>
      </c>
      <c r="C4767" t="s">
        <v>9881</v>
      </c>
      <c r="D4767" t="s">
        <v>522</v>
      </c>
      <c r="F4767">
        <v>805730944</v>
      </c>
      <c r="G4767">
        <v>541084988</v>
      </c>
      <c r="H4767">
        <v>486984760</v>
      </c>
      <c r="I4767">
        <v>429686436</v>
      </c>
      <c r="J4767">
        <v>375978955</v>
      </c>
      <c r="K4767">
        <v>345713013</v>
      </c>
      <c r="P4767">
        <v>24</v>
      </c>
      <c r="Q4767" t="s">
        <v>9882</v>
      </c>
    </row>
    <row r="4768" spans="1:17" x14ac:dyDescent="0.3">
      <c r="A4768" t="s">
        <v>4729</v>
      </c>
      <c r="B4768" t="str">
        <f>"300988"</f>
        <v>300988</v>
      </c>
      <c r="C4768" t="s">
        <v>9883</v>
      </c>
      <c r="D4768" t="s">
        <v>741</v>
      </c>
      <c r="F4768">
        <v>873005593</v>
      </c>
      <c r="G4768">
        <v>456627640</v>
      </c>
      <c r="H4768">
        <v>414806015</v>
      </c>
      <c r="I4768">
        <v>375175344</v>
      </c>
      <c r="J4768">
        <v>363880760</v>
      </c>
      <c r="P4768">
        <v>20</v>
      </c>
      <c r="Q4768" t="s">
        <v>9884</v>
      </c>
    </row>
    <row r="4769" spans="1:17" x14ac:dyDescent="0.3">
      <c r="A4769" t="s">
        <v>4729</v>
      </c>
      <c r="B4769" t="str">
        <f>"300989"</f>
        <v>300989</v>
      </c>
      <c r="C4769" t="s">
        <v>9885</v>
      </c>
      <c r="D4769" t="s">
        <v>1272</v>
      </c>
      <c r="F4769">
        <v>988737805</v>
      </c>
      <c r="G4769">
        <v>190237717</v>
      </c>
      <c r="H4769">
        <v>103083268</v>
      </c>
      <c r="I4769">
        <v>90373109</v>
      </c>
      <c r="J4769">
        <v>56795730</v>
      </c>
      <c r="P4769">
        <v>32</v>
      </c>
      <c r="Q4769" t="s">
        <v>9886</v>
      </c>
    </row>
    <row r="4770" spans="1:17" x14ac:dyDescent="0.3">
      <c r="A4770" t="s">
        <v>4729</v>
      </c>
      <c r="B4770" t="str">
        <f>"300990"</f>
        <v>300990</v>
      </c>
      <c r="C4770" t="s">
        <v>9887</v>
      </c>
      <c r="D4770" t="s">
        <v>988</v>
      </c>
      <c r="F4770">
        <v>1552621239</v>
      </c>
      <c r="G4770">
        <v>470155760</v>
      </c>
      <c r="H4770">
        <v>345340946</v>
      </c>
      <c r="I4770">
        <v>290807625</v>
      </c>
      <c r="J4770">
        <v>232584385</v>
      </c>
      <c r="P4770">
        <v>42</v>
      </c>
      <c r="Q4770" t="s">
        <v>9888</v>
      </c>
    </row>
    <row r="4771" spans="1:17" x14ac:dyDescent="0.3">
      <c r="A4771" t="s">
        <v>4729</v>
      </c>
      <c r="B4771" t="str">
        <f>"300991"</f>
        <v>300991</v>
      </c>
      <c r="C4771" t="s">
        <v>9889</v>
      </c>
      <c r="D4771" t="s">
        <v>651</v>
      </c>
      <c r="F4771">
        <v>650311182</v>
      </c>
      <c r="G4771">
        <v>328985688</v>
      </c>
      <c r="H4771">
        <v>254170503</v>
      </c>
      <c r="I4771">
        <v>189049506</v>
      </c>
      <c r="J4771">
        <v>147628961</v>
      </c>
      <c r="P4771">
        <v>58</v>
      </c>
      <c r="Q4771" t="s">
        <v>9890</v>
      </c>
    </row>
    <row r="4772" spans="1:17" x14ac:dyDescent="0.3">
      <c r="A4772" t="s">
        <v>4729</v>
      </c>
      <c r="B4772" t="str">
        <f>"300992"</f>
        <v>300992</v>
      </c>
      <c r="C4772" t="s">
        <v>9891</v>
      </c>
      <c r="D4772" t="s">
        <v>560</v>
      </c>
      <c r="F4772">
        <v>679644692</v>
      </c>
      <c r="G4772">
        <v>447482567</v>
      </c>
      <c r="H4772">
        <v>378120921</v>
      </c>
      <c r="I4772">
        <v>309111917</v>
      </c>
      <c r="J4772">
        <v>277398790</v>
      </c>
      <c r="P4772">
        <v>26</v>
      </c>
      <c r="Q4772" t="s">
        <v>9892</v>
      </c>
    </row>
    <row r="4773" spans="1:17" x14ac:dyDescent="0.3">
      <c r="A4773" t="s">
        <v>4729</v>
      </c>
      <c r="B4773" t="str">
        <f>"300993"</f>
        <v>300993</v>
      </c>
      <c r="C4773" t="s">
        <v>9893</v>
      </c>
      <c r="D4773" t="s">
        <v>2445</v>
      </c>
      <c r="F4773">
        <v>1139584781</v>
      </c>
      <c r="G4773">
        <v>648595146</v>
      </c>
      <c r="H4773">
        <v>555720239</v>
      </c>
      <c r="I4773">
        <v>357913137</v>
      </c>
      <c r="J4773">
        <v>254259236</v>
      </c>
      <c r="P4773">
        <v>31</v>
      </c>
      <c r="Q4773" t="s">
        <v>9894</v>
      </c>
    </row>
    <row r="4774" spans="1:17" x14ac:dyDescent="0.3">
      <c r="A4774" t="s">
        <v>4729</v>
      </c>
      <c r="B4774" t="str">
        <f>"300994"</f>
        <v>300994</v>
      </c>
      <c r="C4774" t="s">
        <v>9895</v>
      </c>
      <c r="D4774" t="s">
        <v>233</v>
      </c>
      <c r="F4774">
        <v>1077393247</v>
      </c>
      <c r="G4774">
        <v>437392656</v>
      </c>
      <c r="H4774">
        <v>338781999</v>
      </c>
      <c r="I4774">
        <v>170672127</v>
      </c>
      <c r="J4774">
        <v>146460041</v>
      </c>
      <c r="P4774">
        <v>21</v>
      </c>
      <c r="Q4774" t="s">
        <v>9896</v>
      </c>
    </row>
    <row r="4775" spans="1:17" x14ac:dyDescent="0.3">
      <c r="A4775" t="s">
        <v>4729</v>
      </c>
      <c r="B4775" t="str">
        <f>"300995"</f>
        <v>300995</v>
      </c>
      <c r="C4775" t="s">
        <v>9897</v>
      </c>
      <c r="D4775" t="s">
        <v>341</v>
      </c>
      <c r="F4775">
        <v>642449677</v>
      </c>
      <c r="G4775">
        <v>362273790</v>
      </c>
      <c r="H4775">
        <v>278214969</v>
      </c>
      <c r="I4775">
        <v>231266576</v>
      </c>
      <c r="J4775">
        <v>202667597</v>
      </c>
      <c r="P4775">
        <v>26</v>
      </c>
      <c r="Q4775" t="s">
        <v>9898</v>
      </c>
    </row>
    <row r="4776" spans="1:17" x14ac:dyDescent="0.3">
      <c r="A4776" t="s">
        <v>4729</v>
      </c>
      <c r="B4776" t="str">
        <f>"300996"</f>
        <v>300996</v>
      </c>
      <c r="C4776" t="s">
        <v>9899</v>
      </c>
      <c r="D4776" t="s">
        <v>945</v>
      </c>
      <c r="F4776">
        <v>924551704</v>
      </c>
      <c r="G4776">
        <v>407617972</v>
      </c>
      <c r="H4776">
        <v>339529962</v>
      </c>
      <c r="I4776">
        <v>295301971</v>
      </c>
      <c r="J4776">
        <v>268302603</v>
      </c>
      <c r="P4776">
        <v>42</v>
      </c>
      <c r="Q4776" t="s">
        <v>9900</v>
      </c>
    </row>
    <row r="4777" spans="1:17" x14ac:dyDescent="0.3">
      <c r="A4777" t="s">
        <v>4729</v>
      </c>
      <c r="B4777" t="str">
        <f>"300997"</f>
        <v>300997</v>
      </c>
      <c r="C4777" t="s">
        <v>9901</v>
      </c>
      <c r="D4777" t="s">
        <v>440</v>
      </c>
      <c r="F4777">
        <v>1227029217</v>
      </c>
      <c r="G4777">
        <v>749663948</v>
      </c>
      <c r="H4777">
        <v>618661925</v>
      </c>
      <c r="I4777">
        <v>465428095</v>
      </c>
      <c r="J4777">
        <v>347705577</v>
      </c>
      <c r="P4777">
        <v>39</v>
      </c>
      <c r="Q4777" t="s">
        <v>9902</v>
      </c>
    </row>
    <row r="4778" spans="1:17" x14ac:dyDescent="0.3">
      <c r="A4778" t="s">
        <v>4729</v>
      </c>
      <c r="B4778" t="str">
        <f>"300998"</f>
        <v>300998</v>
      </c>
      <c r="C4778" t="s">
        <v>9903</v>
      </c>
      <c r="D4778" t="s">
        <v>985</v>
      </c>
      <c r="F4778">
        <v>552475367</v>
      </c>
      <c r="G4778">
        <v>415903193</v>
      </c>
      <c r="H4778">
        <v>368175688</v>
      </c>
      <c r="I4778">
        <v>314405580</v>
      </c>
      <c r="J4778">
        <v>154062498</v>
      </c>
      <c r="K4778">
        <v>152508557</v>
      </c>
      <c r="P4778">
        <v>26</v>
      </c>
      <c r="Q4778" t="s">
        <v>9904</v>
      </c>
    </row>
    <row r="4779" spans="1:17" x14ac:dyDescent="0.3">
      <c r="A4779" t="s">
        <v>4729</v>
      </c>
      <c r="B4779" t="str">
        <f>"300999"</f>
        <v>300999</v>
      </c>
      <c r="C4779" t="s">
        <v>9905</v>
      </c>
      <c r="D4779" t="s">
        <v>306</v>
      </c>
      <c r="F4779">
        <v>86700861000</v>
      </c>
      <c r="G4779">
        <v>83533600000</v>
      </c>
      <c r="H4779">
        <v>64799182000</v>
      </c>
      <c r="I4779">
        <v>59215595000</v>
      </c>
      <c r="J4779">
        <v>53943817000</v>
      </c>
      <c r="K4779">
        <v>43522300000</v>
      </c>
      <c r="P4779">
        <v>1181</v>
      </c>
      <c r="Q4779" t="s">
        <v>9906</v>
      </c>
    </row>
    <row r="4780" spans="1:17" x14ac:dyDescent="0.3">
      <c r="A4780" t="s">
        <v>4729</v>
      </c>
      <c r="B4780" t="str">
        <f>"301000"</f>
        <v>301000</v>
      </c>
      <c r="C4780" t="s">
        <v>9907</v>
      </c>
      <c r="D4780" t="s">
        <v>985</v>
      </c>
      <c r="F4780">
        <v>1103450335</v>
      </c>
      <c r="G4780">
        <v>268944780</v>
      </c>
      <c r="H4780">
        <v>199587761</v>
      </c>
      <c r="I4780">
        <v>172719977</v>
      </c>
      <c r="J4780">
        <v>119138486</v>
      </c>
      <c r="P4780">
        <v>25</v>
      </c>
      <c r="Q4780" t="s">
        <v>9908</v>
      </c>
    </row>
    <row r="4781" spans="1:17" x14ac:dyDescent="0.3">
      <c r="A4781" t="s">
        <v>4729</v>
      </c>
      <c r="B4781" t="str">
        <f>"301001"</f>
        <v>301001</v>
      </c>
      <c r="C4781" t="s">
        <v>9909</v>
      </c>
      <c r="D4781" t="s">
        <v>3617</v>
      </c>
      <c r="F4781">
        <v>833115643</v>
      </c>
      <c r="G4781">
        <v>339131115</v>
      </c>
      <c r="H4781">
        <v>255277301</v>
      </c>
      <c r="I4781">
        <v>229016460</v>
      </c>
      <c r="J4781">
        <v>195726235</v>
      </c>
      <c r="P4781">
        <v>23</v>
      </c>
      <c r="Q4781" t="s">
        <v>9910</v>
      </c>
    </row>
    <row r="4782" spans="1:17" x14ac:dyDescent="0.3">
      <c r="A4782" t="s">
        <v>4729</v>
      </c>
      <c r="B4782" t="str">
        <f>"301002"</f>
        <v>301002</v>
      </c>
      <c r="C4782" t="s">
        <v>9911</v>
      </c>
      <c r="D4782" t="s">
        <v>210</v>
      </c>
      <c r="F4782">
        <v>744372047</v>
      </c>
      <c r="G4782">
        <v>332217967</v>
      </c>
      <c r="H4782">
        <v>261083431</v>
      </c>
      <c r="I4782">
        <v>99796243</v>
      </c>
      <c r="J4782">
        <v>47962771</v>
      </c>
      <c r="P4782">
        <v>43</v>
      </c>
      <c r="Q4782" t="s">
        <v>9912</v>
      </c>
    </row>
    <row r="4783" spans="1:17" x14ac:dyDescent="0.3">
      <c r="A4783" t="s">
        <v>4729</v>
      </c>
      <c r="B4783" t="str">
        <f>"301003"</f>
        <v>301003</v>
      </c>
      <c r="C4783" t="s">
        <v>9913</v>
      </c>
      <c r="D4783" t="s">
        <v>341</v>
      </c>
      <c r="F4783">
        <v>1071445200</v>
      </c>
      <c r="G4783">
        <v>275140113</v>
      </c>
      <c r="H4783">
        <v>211060693</v>
      </c>
      <c r="I4783">
        <v>143396035</v>
      </c>
      <c r="J4783">
        <v>91429805</v>
      </c>
      <c r="P4783">
        <v>31</v>
      </c>
      <c r="Q4783" t="s">
        <v>9914</v>
      </c>
    </row>
    <row r="4784" spans="1:17" x14ac:dyDescent="0.3">
      <c r="A4784" t="s">
        <v>4729</v>
      </c>
      <c r="B4784" t="str">
        <f>"301004"</f>
        <v>301004</v>
      </c>
      <c r="C4784" t="s">
        <v>9915</v>
      </c>
      <c r="D4784" t="s">
        <v>2445</v>
      </c>
      <c r="F4784">
        <v>604336511</v>
      </c>
      <c r="G4784">
        <v>386392070</v>
      </c>
      <c r="H4784">
        <v>322387543</v>
      </c>
      <c r="I4784">
        <v>249766114</v>
      </c>
      <c r="J4784">
        <v>168541945</v>
      </c>
      <c r="P4784">
        <v>25</v>
      </c>
      <c r="Q4784" t="s">
        <v>9916</v>
      </c>
    </row>
    <row r="4785" spans="1:17" x14ac:dyDescent="0.3">
      <c r="A4785" t="s">
        <v>4729</v>
      </c>
      <c r="B4785" t="str">
        <f>"301005"</f>
        <v>301005</v>
      </c>
      <c r="C4785" t="s">
        <v>9917</v>
      </c>
      <c r="D4785" t="s">
        <v>985</v>
      </c>
      <c r="F4785">
        <v>773969757</v>
      </c>
      <c r="G4785">
        <v>269359486</v>
      </c>
      <c r="H4785">
        <v>223084872</v>
      </c>
      <c r="I4785">
        <v>183989745</v>
      </c>
      <c r="J4785">
        <v>96566135</v>
      </c>
      <c r="P4785">
        <v>23</v>
      </c>
      <c r="Q4785" t="s">
        <v>9918</v>
      </c>
    </row>
    <row r="4786" spans="1:17" x14ac:dyDescent="0.3">
      <c r="A4786" t="s">
        <v>4729</v>
      </c>
      <c r="B4786" t="str">
        <f>"301006"</f>
        <v>301006</v>
      </c>
      <c r="C4786" t="s">
        <v>9919</v>
      </c>
      <c r="D4786" t="s">
        <v>2566</v>
      </c>
      <c r="F4786">
        <v>1079091342</v>
      </c>
      <c r="G4786">
        <v>556302931</v>
      </c>
      <c r="H4786">
        <v>408993376</v>
      </c>
      <c r="I4786">
        <v>309821782</v>
      </c>
      <c r="J4786">
        <v>223438939</v>
      </c>
      <c r="P4786">
        <v>50</v>
      </c>
      <c r="Q4786" t="s">
        <v>9920</v>
      </c>
    </row>
    <row r="4787" spans="1:17" x14ac:dyDescent="0.3">
      <c r="A4787" t="s">
        <v>4729</v>
      </c>
      <c r="B4787" t="str">
        <f>"301007"</f>
        <v>301007</v>
      </c>
      <c r="C4787" t="s">
        <v>9921</v>
      </c>
      <c r="D4787" t="s">
        <v>348</v>
      </c>
      <c r="F4787">
        <v>590031678</v>
      </c>
      <c r="G4787">
        <v>373596507</v>
      </c>
      <c r="H4787">
        <v>332047472</v>
      </c>
      <c r="I4787">
        <v>297234230</v>
      </c>
      <c r="J4787">
        <v>257710323</v>
      </c>
      <c r="K4787">
        <v>159033030</v>
      </c>
      <c r="P4787">
        <v>44</v>
      </c>
      <c r="Q4787" t="s">
        <v>9922</v>
      </c>
    </row>
    <row r="4788" spans="1:17" x14ac:dyDescent="0.3">
      <c r="A4788" t="s">
        <v>4729</v>
      </c>
      <c r="B4788" t="str">
        <f>"301008"</f>
        <v>301008</v>
      </c>
      <c r="C4788" t="s">
        <v>9923</v>
      </c>
      <c r="D4788" t="s">
        <v>1253</v>
      </c>
      <c r="F4788">
        <v>957090918</v>
      </c>
      <c r="G4788">
        <v>382329736</v>
      </c>
      <c r="H4788">
        <v>315152328</v>
      </c>
      <c r="I4788">
        <v>244625260</v>
      </c>
      <c r="J4788">
        <v>199786978</v>
      </c>
      <c r="P4788">
        <v>36</v>
      </c>
      <c r="Q4788" t="s">
        <v>9924</v>
      </c>
    </row>
    <row r="4789" spans="1:17" x14ac:dyDescent="0.3">
      <c r="A4789" t="s">
        <v>4729</v>
      </c>
      <c r="B4789" t="str">
        <f>"301009"</f>
        <v>301009</v>
      </c>
      <c r="C4789" t="s">
        <v>9925</v>
      </c>
      <c r="D4789" t="s">
        <v>2751</v>
      </c>
      <c r="F4789">
        <v>1414729191</v>
      </c>
      <c r="G4789">
        <v>613425460</v>
      </c>
      <c r="H4789">
        <v>399008308</v>
      </c>
      <c r="I4789">
        <v>482822162</v>
      </c>
      <c r="J4789">
        <v>430968839</v>
      </c>
      <c r="P4789">
        <v>59</v>
      </c>
      <c r="Q4789" t="s">
        <v>9926</v>
      </c>
    </row>
    <row r="4790" spans="1:17" x14ac:dyDescent="0.3">
      <c r="A4790" t="s">
        <v>4729</v>
      </c>
      <c r="B4790" t="str">
        <f>"301010"</f>
        <v>301010</v>
      </c>
      <c r="C4790" t="s">
        <v>9927</v>
      </c>
      <c r="D4790" t="s">
        <v>722</v>
      </c>
      <c r="F4790">
        <v>784015870</v>
      </c>
      <c r="G4790">
        <v>558880509</v>
      </c>
      <c r="H4790">
        <v>497867181</v>
      </c>
      <c r="I4790">
        <v>443691275</v>
      </c>
      <c r="J4790">
        <v>407955738</v>
      </c>
      <c r="K4790">
        <v>357708576</v>
      </c>
      <c r="P4790">
        <v>33</v>
      </c>
      <c r="Q4790" t="s">
        <v>9928</v>
      </c>
    </row>
    <row r="4791" spans="1:17" x14ac:dyDescent="0.3">
      <c r="A4791" t="s">
        <v>4729</v>
      </c>
      <c r="B4791" t="str">
        <f>"301011"</f>
        <v>301011</v>
      </c>
      <c r="C4791" t="s">
        <v>9929</v>
      </c>
      <c r="D4791" t="s">
        <v>741</v>
      </c>
      <c r="F4791">
        <v>722674434</v>
      </c>
      <c r="G4791">
        <v>415740376</v>
      </c>
      <c r="H4791">
        <v>372122201</v>
      </c>
      <c r="I4791">
        <v>311838665</v>
      </c>
      <c r="J4791">
        <v>262201445</v>
      </c>
      <c r="P4791">
        <v>28</v>
      </c>
      <c r="Q4791" t="s">
        <v>9930</v>
      </c>
    </row>
    <row r="4792" spans="1:17" x14ac:dyDescent="0.3">
      <c r="A4792" t="s">
        <v>4729</v>
      </c>
      <c r="B4792" t="str">
        <f>"301012"</f>
        <v>301012</v>
      </c>
      <c r="C4792" t="s">
        <v>9931</v>
      </c>
      <c r="D4792" t="s">
        <v>210</v>
      </c>
      <c r="F4792">
        <v>564581713</v>
      </c>
      <c r="G4792">
        <v>384351644</v>
      </c>
      <c r="H4792">
        <v>332590062</v>
      </c>
      <c r="I4792">
        <v>253716881</v>
      </c>
      <c r="J4792">
        <v>213475860</v>
      </c>
      <c r="P4792">
        <v>23</v>
      </c>
      <c r="Q4792" t="s">
        <v>9932</v>
      </c>
    </row>
    <row r="4793" spans="1:17" x14ac:dyDescent="0.3">
      <c r="A4793" t="s">
        <v>4729</v>
      </c>
      <c r="B4793" t="str">
        <f>"301013"</f>
        <v>301013</v>
      </c>
      <c r="C4793" t="s">
        <v>9933</v>
      </c>
      <c r="D4793" t="s">
        <v>741</v>
      </c>
      <c r="F4793">
        <v>932332716</v>
      </c>
      <c r="G4793">
        <v>603634107</v>
      </c>
      <c r="H4793">
        <v>518916256</v>
      </c>
      <c r="I4793">
        <v>288022302</v>
      </c>
      <c r="J4793">
        <v>237525605</v>
      </c>
      <c r="P4793">
        <v>20</v>
      </c>
      <c r="Q4793" t="s">
        <v>9934</v>
      </c>
    </row>
    <row r="4794" spans="1:17" x14ac:dyDescent="0.3">
      <c r="A4794" t="s">
        <v>4729</v>
      </c>
      <c r="B4794" t="str">
        <f>"301015"</f>
        <v>301015</v>
      </c>
      <c r="C4794" t="s">
        <v>9935</v>
      </c>
      <c r="D4794" t="s">
        <v>125</v>
      </c>
      <c r="F4794">
        <v>2156343070</v>
      </c>
      <c r="G4794">
        <v>1471896330</v>
      </c>
      <c r="H4794">
        <v>1280740672</v>
      </c>
      <c r="I4794">
        <v>1075089988</v>
      </c>
      <c r="J4794">
        <v>936128184</v>
      </c>
      <c r="P4794">
        <v>45</v>
      </c>
      <c r="Q4794" t="s">
        <v>9936</v>
      </c>
    </row>
    <row r="4795" spans="1:17" x14ac:dyDescent="0.3">
      <c r="A4795" t="s">
        <v>4729</v>
      </c>
      <c r="B4795" t="str">
        <f>"301016"</f>
        <v>301016</v>
      </c>
      <c r="C4795" t="s">
        <v>9937</v>
      </c>
      <c r="D4795" t="s">
        <v>1012</v>
      </c>
      <c r="F4795">
        <v>895370012</v>
      </c>
      <c r="G4795">
        <v>400304427</v>
      </c>
      <c r="H4795">
        <v>301654938</v>
      </c>
      <c r="I4795">
        <v>214086790</v>
      </c>
      <c r="J4795">
        <v>179749717</v>
      </c>
      <c r="P4795">
        <v>35</v>
      </c>
      <c r="Q4795" t="s">
        <v>9938</v>
      </c>
    </row>
    <row r="4796" spans="1:17" x14ac:dyDescent="0.3">
      <c r="A4796" t="s">
        <v>4729</v>
      </c>
      <c r="B4796" t="str">
        <f>"301017"</f>
        <v>301017</v>
      </c>
      <c r="C4796" t="s">
        <v>9939</v>
      </c>
      <c r="D4796" t="s">
        <v>1686</v>
      </c>
      <c r="F4796">
        <v>1889588905</v>
      </c>
      <c r="G4796">
        <v>1519885873</v>
      </c>
      <c r="H4796">
        <v>1318122949</v>
      </c>
      <c r="I4796">
        <v>1227001553</v>
      </c>
      <c r="J4796">
        <v>659249813</v>
      </c>
      <c r="P4796">
        <v>36</v>
      </c>
      <c r="Q4796" t="s">
        <v>9940</v>
      </c>
    </row>
    <row r="4797" spans="1:17" x14ac:dyDescent="0.3">
      <c r="A4797" t="s">
        <v>4729</v>
      </c>
      <c r="B4797" t="str">
        <f>"301018"</f>
        <v>301018</v>
      </c>
      <c r="C4797" t="s">
        <v>9941</v>
      </c>
      <c r="D4797" t="s">
        <v>988</v>
      </c>
      <c r="F4797">
        <v>1440089122</v>
      </c>
      <c r="G4797">
        <v>890177057</v>
      </c>
      <c r="H4797">
        <v>804863144</v>
      </c>
      <c r="I4797">
        <v>739492695</v>
      </c>
      <c r="J4797">
        <v>672432292</v>
      </c>
      <c r="P4797">
        <v>37</v>
      </c>
      <c r="Q4797" t="s">
        <v>9942</v>
      </c>
    </row>
    <row r="4798" spans="1:17" x14ac:dyDescent="0.3">
      <c r="A4798" t="s">
        <v>4729</v>
      </c>
      <c r="B4798" t="str">
        <f>"301019"</f>
        <v>301019</v>
      </c>
      <c r="C4798" t="s">
        <v>9943</v>
      </c>
      <c r="D4798" t="s">
        <v>1192</v>
      </c>
      <c r="F4798">
        <v>983326892</v>
      </c>
      <c r="G4798">
        <v>363907403</v>
      </c>
      <c r="H4798">
        <v>264676415</v>
      </c>
      <c r="I4798">
        <v>223873749</v>
      </c>
      <c r="J4798">
        <v>224657117</v>
      </c>
      <c r="P4798">
        <v>39</v>
      </c>
      <c r="Q4798" t="s">
        <v>9944</v>
      </c>
    </row>
    <row r="4799" spans="1:17" x14ac:dyDescent="0.3">
      <c r="A4799" t="s">
        <v>4729</v>
      </c>
      <c r="B4799" t="str">
        <f>"301020"</f>
        <v>301020</v>
      </c>
      <c r="C4799" t="s">
        <v>9945</v>
      </c>
      <c r="D4799" t="s">
        <v>348</v>
      </c>
      <c r="F4799">
        <v>831964861</v>
      </c>
      <c r="G4799">
        <v>392318911</v>
      </c>
      <c r="H4799">
        <v>324211884</v>
      </c>
      <c r="I4799">
        <v>294805217</v>
      </c>
      <c r="J4799">
        <v>215055908</v>
      </c>
      <c r="P4799">
        <v>54</v>
      </c>
      <c r="Q4799" t="s">
        <v>9946</v>
      </c>
    </row>
    <row r="4800" spans="1:17" x14ac:dyDescent="0.3">
      <c r="A4800" t="s">
        <v>4729</v>
      </c>
      <c r="B4800" t="str">
        <f>"301021"</f>
        <v>301021</v>
      </c>
      <c r="C4800" t="s">
        <v>9947</v>
      </c>
      <c r="D4800" t="s">
        <v>3811</v>
      </c>
      <c r="F4800">
        <v>973798040</v>
      </c>
      <c r="G4800">
        <v>592326455</v>
      </c>
      <c r="H4800">
        <v>531180284</v>
      </c>
      <c r="I4800">
        <v>455931967</v>
      </c>
      <c r="J4800">
        <v>260423348</v>
      </c>
      <c r="K4800">
        <v>220692327</v>
      </c>
      <c r="P4800">
        <v>35</v>
      </c>
      <c r="Q4800" t="s">
        <v>9948</v>
      </c>
    </row>
    <row r="4801" spans="1:17" x14ac:dyDescent="0.3">
      <c r="A4801" t="s">
        <v>4729</v>
      </c>
      <c r="B4801" t="str">
        <f>"301022"</f>
        <v>301022</v>
      </c>
      <c r="C4801" t="s">
        <v>9949</v>
      </c>
      <c r="D4801" t="s">
        <v>985</v>
      </c>
      <c r="F4801">
        <v>860653348</v>
      </c>
      <c r="G4801">
        <v>348346177</v>
      </c>
      <c r="H4801">
        <v>279929791</v>
      </c>
      <c r="I4801">
        <v>224885973</v>
      </c>
      <c r="J4801">
        <v>97905168</v>
      </c>
      <c r="P4801">
        <v>24</v>
      </c>
      <c r="Q4801" t="s">
        <v>9950</v>
      </c>
    </row>
    <row r="4802" spans="1:17" x14ac:dyDescent="0.3">
      <c r="A4802" t="s">
        <v>4729</v>
      </c>
      <c r="B4802" t="str">
        <f>"301023"</f>
        <v>301023</v>
      </c>
      <c r="C4802" t="s">
        <v>9951</v>
      </c>
      <c r="D4802" t="s">
        <v>1171</v>
      </c>
      <c r="F4802">
        <v>807500283</v>
      </c>
      <c r="G4802">
        <v>262862324</v>
      </c>
      <c r="H4802">
        <v>210931429</v>
      </c>
      <c r="I4802">
        <v>161211691</v>
      </c>
      <c r="J4802">
        <v>120905779</v>
      </c>
      <c r="P4802">
        <v>22</v>
      </c>
      <c r="Q4802" t="s">
        <v>9952</v>
      </c>
    </row>
    <row r="4803" spans="1:17" x14ac:dyDescent="0.3">
      <c r="A4803" t="s">
        <v>4729</v>
      </c>
      <c r="B4803" t="str">
        <f>"301024"</f>
        <v>301024</v>
      </c>
      <c r="C4803" t="s">
        <v>9953</v>
      </c>
      <c r="D4803" t="s">
        <v>1272</v>
      </c>
      <c r="F4803">
        <v>830674448</v>
      </c>
      <c r="G4803">
        <v>321406695</v>
      </c>
      <c r="H4803">
        <v>248488326</v>
      </c>
      <c r="I4803">
        <v>184822988</v>
      </c>
      <c r="J4803">
        <v>150513258</v>
      </c>
      <c r="K4803">
        <v>107061724</v>
      </c>
      <c r="P4803">
        <v>22</v>
      </c>
      <c r="Q4803" t="s">
        <v>9954</v>
      </c>
    </row>
    <row r="4804" spans="1:17" x14ac:dyDescent="0.3">
      <c r="A4804" t="s">
        <v>4729</v>
      </c>
      <c r="B4804" t="str">
        <f>"301025"</f>
        <v>301025</v>
      </c>
      <c r="C4804" t="s">
        <v>9955</v>
      </c>
      <c r="D4804" t="s">
        <v>525</v>
      </c>
      <c r="F4804">
        <v>624017395</v>
      </c>
      <c r="G4804">
        <v>511949044</v>
      </c>
      <c r="H4804">
        <v>458011962</v>
      </c>
      <c r="I4804">
        <v>400926479</v>
      </c>
      <c r="J4804">
        <v>354330760</v>
      </c>
      <c r="K4804">
        <v>121541338</v>
      </c>
      <c r="P4804">
        <v>24</v>
      </c>
      <c r="Q4804" t="s">
        <v>9956</v>
      </c>
    </row>
    <row r="4805" spans="1:17" x14ac:dyDescent="0.3">
      <c r="A4805" t="s">
        <v>4729</v>
      </c>
      <c r="B4805" t="str">
        <f>"301026"</f>
        <v>301026</v>
      </c>
      <c r="C4805" t="s">
        <v>9957</v>
      </c>
      <c r="D4805" t="s">
        <v>636</v>
      </c>
      <c r="F4805">
        <v>1279266348</v>
      </c>
      <c r="G4805">
        <v>561479944</v>
      </c>
      <c r="H4805">
        <v>440013644</v>
      </c>
      <c r="I4805">
        <v>379824481</v>
      </c>
      <c r="J4805">
        <v>336040353</v>
      </c>
      <c r="K4805">
        <v>237541806</v>
      </c>
      <c r="P4805">
        <v>41</v>
      </c>
      <c r="Q4805" t="s">
        <v>9958</v>
      </c>
    </row>
    <row r="4806" spans="1:17" x14ac:dyDescent="0.3">
      <c r="A4806" t="s">
        <v>4729</v>
      </c>
      <c r="B4806" t="str">
        <f>"301027"</f>
        <v>301027</v>
      </c>
      <c r="C4806" t="s">
        <v>9959</v>
      </c>
      <c r="D4806" t="s">
        <v>1272</v>
      </c>
      <c r="F4806">
        <v>919831483</v>
      </c>
      <c r="G4806">
        <v>422836328</v>
      </c>
      <c r="H4806">
        <v>301403755</v>
      </c>
      <c r="I4806">
        <v>377286351</v>
      </c>
      <c r="J4806">
        <v>340062071</v>
      </c>
      <c r="P4806">
        <v>25</v>
      </c>
      <c r="Q4806" t="s">
        <v>9960</v>
      </c>
    </row>
    <row r="4807" spans="1:17" x14ac:dyDescent="0.3">
      <c r="A4807" t="s">
        <v>4729</v>
      </c>
      <c r="B4807" t="str">
        <f>"301028"</f>
        <v>301028</v>
      </c>
      <c r="C4807" t="s">
        <v>9961</v>
      </c>
      <c r="D4807" t="s">
        <v>560</v>
      </c>
      <c r="F4807">
        <v>1098637724</v>
      </c>
      <c r="G4807">
        <v>536231423</v>
      </c>
      <c r="H4807">
        <v>431334183</v>
      </c>
      <c r="I4807">
        <v>397350709</v>
      </c>
      <c r="J4807">
        <v>362773108</v>
      </c>
      <c r="P4807">
        <v>53</v>
      </c>
      <c r="Q4807" t="s">
        <v>9962</v>
      </c>
    </row>
    <row r="4808" spans="1:17" x14ac:dyDescent="0.3">
      <c r="A4808" t="s">
        <v>4729</v>
      </c>
      <c r="B4808" t="str">
        <f>"301029"</f>
        <v>301029</v>
      </c>
      <c r="C4808" t="s">
        <v>9963</v>
      </c>
      <c r="D4808" t="s">
        <v>3477</v>
      </c>
      <c r="F4808">
        <v>2262699134</v>
      </c>
      <c r="G4808">
        <v>1357712115</v>
      </c>
      <c r="H4808">
        <v>1115161462</v>
      </c>
      <c r="I4808">
        <v>611065023</v>
      </c>
      <c r="J4808">
        <v>232112732</v>
      </c>
      <c r="P4808">
        <v>67</v>
      </c>
      <c r="Q4808" t="s">
        <v>9964</v>
      </c>
    </row>
    <row r="4809" spans="1:17" x14ac:dyDescent="0.3">
      <c r="A4809" t="s">
        <v>4729</v>
      </c>
      <c r="B4809" t="str">
        <f>"301030"</f>
        <v>301030</v>
      </c>
      <c r="C4809" t="s">
        <v>9965</v>
      </c>
      <c r="D4809" t="s">
        <v>1070</v>
      </c>
      <c r="F4809">
        <v>1026223916</v>
      </c>
      <c r="G4809">
        <v>826180879</v>
      </c>
      <c r="H4809">
        <v>764772888</v>
      </c>
      <c r="I4809">
        <v>532414562</v>
      </c>
      <c r="J4809">
        <v>380050919</v>
      </c>
      <c r="K4809">
        <v>247866600</v>
      </c>
      <c r="P4809">
        <v>19</v>
      </c>
      <c r="Q4809" t="s">
        <v>9966</v>
      </c>
    </row>
    <row r="4810" spans="1:17" x14ac:dyDescent="0.3">
      <c r="A4810" t="s">
        <v>4729</v>
      </c>
      <c r="B4810" t="str">
        <f>"301031"</f>
        <v>301031</v>
      </c>
      <c r="C4810" t="s">
        <v>9967</v>
      </c>
      <c r="D4810" t="s">
        <v>651</v>
      </c>
      <c r="F4810">
        <v>723341422</v>
      </c>
      <c r="G4810">
        <v>246681027</v>
      </c>
      <c r="H4810">
        <v>191295771</v>
      </c>
      <c r="I4810">
        <v>106761219</v>
      </c>
      <c r="J4810">
        <v>75082566</v>
      </c>
      <c r="P4810">
        <v>77</v>
      </c>
      <c r="Q4810" t="s">
        <v>9968</v>
      </c>
    </row>
    <row r="4811" spans="1:17" x14ac:dyDescent="0.3">
      <c r="A4811" t="s">
        <v>4729</v>
      </c>
      <c r="B4811" t="str">
        <f>"301032"</f>
        <v>301032</v>
      </c>
      <c r="C4811" t="s">
        <v>9969</v>
      </c>
      <c r="D4811" t="s">
        <v>560</v>
      </c>
      <c r="F4811">
        <v>1073591716</v>
      </c>
      <c r="G4811">
        <v>753791577</v>
      </c>
      <c r="H4811">
        <v>660498070</v>
      </c>
      <c r="I4811">
        <v>571378003</v>
      </c>
      <c r="J4811">
        <v>334460754</v>
      </c>
      <c r="P4811">
        <v>19</v>
      </c>
      <c r="Q4811" t="s">
        <v>9970</v>
      </c>
    </row>
    <row r="4812" spans="1:17" x14ac:dyDescent="0.3">
      <c r="A4812" t="s">
        <v>4729</v>
      </c>
      <c r="B4812" t="str">
        <f>"301033"</f>
        <v>301033</v>
      </c>
      <c r="C4812" t="s">
        <v>9971</v>
      </c>
      <c r="D4812" t="s">
        <v>1077</v>
      </c>
      <c r="F4812">
        <v>572042384</v>
      </c>
      <c r="G4812">
        <v>335995920</v>
      </c>
      <c r="H4812">
        <v>299028104</v>
      </c>
      <c r="I4812">
        <v>271347713</v>
      </c>
      <c r="J4812">
        <v>112607064</v>
      </c>
      <c r="P4812">
        <v>31</v>
      </c>
      <c r="Q4812" t="s">
        <v>9972</v>
      </c>
    </row>
    <row r="4813" spans="1:17" x14ac:dyDescent="0.3">
      <c r="A4813" t="s">
        <v>4729</v>
      </c>
      <c r="B4813" t="str">
        <f>"301035"</f>
        <v>301035</v>
      </c>
      <c r="C4813" t="s">
        <v>9973</v>
      </c>
      <c r="D4813" t="s">
        <v>853</v>
      </c>
      <c r="F4813">
        <v>4908724303</v>
      </c>
      <c r="G4813">
        <v>2801888243</v>
      </c>
      <c r="H4813">
        <v>2449452843</v>
      </c>
      <c r="I4813">
        <v>2151324450</v>
      </c>
      <c r="J4813">
        <v>1885826641</v>
      </c>
      <c r="K4813">
        <v>1300568535</v>
      </c>
      <c r="P4813">
        <v>40</v>
      </c>
      <c r="Q4813" t="s">
        <v>9974</v>
      </c>
    </row>
    <row r="4814" spans="1:17" x14ac:dyDescent="0.3">
      <c r="A4814" t="s">
        <v>4729</v>
      </c>
      <c r="B4814" t="str">
        <f>"301036"</f>
        <v>301036</v>
      </c>
      <c r="C4814" t="s">
        <v>9975</v>
      </c>
      <c r="D4814" t="s">
        <v>2585</v>
      </c>
      <c r="F4814">
        <v>1587486532</v>
      </c>
      <c r="G4814">
        <v>973352991</v>
      </c>
      <c r="H4814">
        <v>833564680</v>
      </c>
      <c r="I4814">
        <v>689386565</v>
      </c>
      <c r="J4814">
        <v>624902154</v>
      </c>
      <c r="P4814">
        <v>20</v>
      </c>
      <c r="Q4814" t="s">
        <v>9976</v>
      </c>
    </row>
    <row r="4815" spans="1:17" x14ac:dyDescent="0.3">
      <c r="A4815" t="s">
        <v>4729</v>
      </c>
      <c r="B4815" t="str">
        <f>"301037"</f>
        <v>301037</v>
      </c>
      <c r="C4815" t="s">
        <v>9977</v>
      </c>
      <c r="D4815" t="s">
        <v>2585</v>
      </c>
      <c r="F4815">
        <v>826076279</v>
      </c>
      <c r="G4815">
        <v>491853700</v>
      </c>
      <c r="H4815">
        <v>402135267</v>
      </c>
      <c r="I4815">
        <v>339914475</v>
      </c>
      <c r="J4815">
        <v>293217349</v>
      </c>
      <c r="P4815">
        <v>13</v>
      </c>
      <c r="Q4815" t="s">
        <v>9978</v>
      </c>
    </row>
    <row r="4816" spans="1:17" x14ac:dyDescent="0.3">
      <c r="A4816" t="s">
        <v>4729</v>
      </c>
      <c r="B4816" t="str">
        <f>"301038"</f>
        <v>301038</v>
      </c>
      <c r="C4816" t="s">
        <v>9979</v>
      </c>
      <c r="D4816" t="s">
        <v>1272</v>
      </c>
      <c r="F4816">
        <v>942311818</v>
      </c>
      <c r="G4816">
        <v>661061131</v>
      </c>
      <c r="H4816">
        <v>561953787</v>
      </c>
      <c r="I4816">
        <v>505997418</v>
      </c>
      <c r="J4816">
        <v>471896636</v>
      </c>
      <c r="P4816">
        <v>21</v>
      </c>
      <c r="Q4816" t="s">
        <v>9980</v>
      </c>
    </row>
    <row r="4817" spans="1:17" x14ac:dyDescent="0.3">
      <c r="A4817" t="s">
        <v>4729</v>
      </c>
      <c r="B4817" t="str">
        <f>"301039"</f>
        <v>301039</v>
      </c>
      <c r="C4817" t="s">
        <v>9981</v>
      </c>
      <c r="D4817" t="s">
        <v>27</v>
      </c>
      <c r="F4817">
        <v>11738895400</v>
      </c>
      <c r="G4817">
        <v>9962233215</v>
      </c>
      <c r="H4817">
        <v>9750514867</v>
      </c>
      <c r="I4817">
        <v>7487680331</v>
      </c>
      <c r="J4817">
        <v>6605537848</v>
      </c>
      <c r="P4817">
        <v>35</v>
      </c>
      <c r="Q4817" t="s">
        <v>9982</v>
      </c>
    </row>
    <row r="4818" spans="1:17" x14ac:dyDescent="0.3">
      <c r="A4818" t="s">
        <v>4729</v>
      </c>
      <c r="B4818" t="str">
        <f>"301040"</f>
        <v>301040</v>
      </c>
      <c r="C4818" t="s">
        <v>9983</v>
      </c>
      <c r="D4818" t="s">
        <v>950</v>
      </c>
      <c r="F4818">
        <v>966879722</v>
      </c>
      <c r="G4818">
        <v>614120753</v>
      </c>
      <c r="H4818">
        <v>480215777</v>
      </c>
      <c r="I4818">
        <v>407340470</v>
      </c>
      <c r="J4818">
        <v>400631665</v>
      </c>
      <c r="P4818">
        <v>22</v>
      </c>
      <c r="Q4818" t="s">
        <v>9984</v>
      </c>
    </row>
    <row r="4819" spans="1:17" x14ac:dyDescent="0.3">
      <c r="A4819" t="s">
        <v>4729</v>
      </c>
      <c r="B4819" t="str">
        <f>"301041"</f>
        <v>301041</v>
      </c>
      <c r="C4819" t="s">
        <v>9985</v>
      </c>
      <c r="D4819" t="s">
        <v>425</v>
      </c>
      <c r="F4819">
        <v>607495729</v>
      </c>
      <c r="G4819">
        <v>403999406</v>
      </c>
      <c r="H4819">
        <v>347641400</v>
      </c>
      <c r="I4819">
        <v>300453729</v>
      </c>
      <c r="J4819">
        <v>258899011</v>
      </c>
      <c r="P4819">
        <v>31</v>
      </c>
      <c r="Q4819" t="s">
        <v>9986</v>
      </c>
    </row>
    <row r="4820" spans="1:17" x14ac:dyDescent="0.3">
      <c r="A4820" t="s">
        <v>4729</v>
      </c>
      <c r="B4820" t="str">
        <f>"301042"</f>
        <v>301042</v>
      </c>
      <c r="C4820" t="s">
        <v>9987</v>
      </c>
      <c r="D4820" t="s">
        <v>2980</v>
      </c>
      <c r="F4820">
        <v>1111341636</v>
      </c>
      <c r="G4820">
        <v>442217110</v>
      </c>
      <c r="H4820">
        <v>382668471</v>
      </c>
      <c r="I4820">
        <v>326924243</v>
      </c>
      <c r="J4820">
        <v>276021034</v>
      </c>
      <c r="K4820">
        <v>211649764</v>
      </c>
      <c r="P4820">
        <v>14</v>
      </c>
      <c r="Q4820" t="s">
        <v>9988</v>
      </c>
    </row>
    <row r="4821" spans="1:17" x14ac:dyDescent="0.3">
      <c r="A4821" t="s">
        <v>4729</v>
      </c>
      <c r="B4821" t="str">
        <f>"301043"</f>
        <v>301043</v>
      </c>
      <c r="C4821" t="s">
        <v>9989</v>
      </c>
      <c r="D4821" t="s">
        <v>560</v>
      </c>
      <c r="F4821">
        <v>739848455</v>
      </c>
      <c r="G4821">
        <v>275707009</v>
      </c>
      <c r="H4821">
        <v>235823634</v>
      </c>
      <c r="I4821">
        <v>167693432</v>
      </c>
      <c r="J4821">
        <v>115449065</v>
      </c>
      <c r="P4821">
        <v>18</v>
      </c>
      <c r="Q4821" t="s">
        <v>9990</v>
      </c>
    </row>
    <row r="4822" spans="1:17" x14ac:dyDescent="0.3">
      <c r="A4822" t="s">
        <v>4729</v>
      </c>
      <c r="B4822" t="str">
        <f>"301045"</f>
        <v>301045</v>
      </c>
      <c r="C4822" t="s">
        <v>9991</v>
      </c>
      <c r="D4822" t="s">
        <v>164</v>
      </c>
      <c r="F4822">
        <v>828212068</v>
      </c>
      <c r="G4822">
        <v>373871771</v>
      </c>
      <c r="H4822">
        <v>263201036</v>
      </c>
      <c r="I4822">
        <v>180428314</v>
      </c>
      <c r="J4822">
        <v>135591431</v>
      </c>
      <c r="P4822">
        <v>17</v>
      </c>
      <c r="Q4822" t="s">
        <v>9992</v>
      </c>
    </row>
    <row r="4823" spans="1:17" x14ac:dyDescent="0.3">
      <c r="A4823" t="s">
        <v>4729</v>
      </c>
      <c r="B4823" t="str">
        <f>"301046"</f>
        <v>301046</v>
      </c>
      <c r="C4823" t="s">
        <v>9993</v>
      </c>
      <c r="D4823" t="s">
        <v>1992</v>
      </c>
      <c r="F4823">
        <v>787278978</v>
      </c>
      <c r="G4823">
        <v>441679497</v>
      </c>
      <c r="H4823">
        <v>361866551</v>
      </c>
      <c r="I4823">
        <v>323702438</v>
      </c>
      <c r="J4823">
        <v>295746885</v>
      </c>
      <c r="P4823">
        <v>33</v>
      </c>
      <c r="Q4823" t="s">
        <v>9994</v>
      </c>
    </row>
    <row r="4824" spans="1:17" x14ac:dyDescent="0.3">
      <c r="A4824" t="s">
        <v>4729</v>
      </c>
      <c r="B4824" t="str">
        <f>"301047"</f>
        <v>301047</v>
      </c>
      <c r="C4824" t="s">
        <v>9995</v>
      </c>
      <c r="D4824" t="s">
        <v>1461</v>
      </c>
      <c r="F4824">
        <v>6752312588</v>
      </c>
      <c r="G4824">
        <v>1298643518</v>
      </c>
      <c r="H4824">
        <v>149806028</v>
      </c>
      <c r="I4824">
        <v>79014836</v>
      </c>
      <c r="J4824">
        <v>40069143</v>
      </c>
      <c r="P4824">
        <v>71</v>
      </c>
      <c r="Q4824" t="s">
        <v>9996</v>
      </c>
    </row>
    <row r="4825" spans="1:17" x14ac:dyDescent="0.3">
      <c r="A4825" t="s">
        <v>4729</v>
      </c>
      <c r="B4825" t="str">
        <f>"301048"</f>
        <v>301048</v>
      </c>
      <c r="C4825" t="s">
        <v>9997</v>
      </c>
      <c r="D4825" t="s">
        <v>1012</v>
      </c>
      <c r="F4825">
        <v>1970194959</v>
      </c>
      <c r="G4825">
        <v>1348227816</v>
      </c>
      <c r="H4825">
        <v>1157810553</v>
      </c>
      <c r="I4825">
        <v>1082730355</v>
      </c>
      <c r="J4825">
        <v>990728329</v>
      </c>
      <c r="P4825">
        <v>16</v>
      </c>
      <c r="Q4825" t="s">
        <v>9998</v>
      </c>
    </row>
    <row r="4826" spans="1:17" x14ac:dyDescent="0.3">
      <c r="A4826" t="s">
        <v>4729</v>
      </c>
      <c r="B4826" t="str">
        <f>"301049"</f>
        <v>301049</v>
      </c>
      <c r="C4826" t="s">
        <v>9999</v>
      </c>
      <c r="D4826" t="s">
        <v>499</v>
      </c>
      <c r="F4826">
        <v>914838718</v>
      </c>
      <c r="G4826">
        <v>440743700</v>
      </c>
      <c r="H4826">
        <v>295448008</v>
      </c>
      <c r="I4826">
        <v>214520860</v>
      </c>
      <c r="J4826">
        <v>106512455</v>
      </c>
      <c r="P4826">
        <v>26</v>
      </c>
      <c r="Q4826" t="s">
        <v>10000</v>
      </c>
    </row>
    <row r="4827" spans="1:17" x14ac:dyDescent="0.3">
      <c r="A4827" t="s">
        <v>4729</v>
      </c>
      <c r="B4827" t="str">
        <f>"301050"</f>
        <v>301050</v>
      </c>
      <c r="C4827" t="s">
        <v>10001</v>
      </c>
      <c r="D4827" t="s">
        <v>1136</v>
      </c>
      <c r="F4827">
        <v>2066780646</v>
      </c>
      <c r="G4827">
        <v>507157569</v>
      </c>
      <c r="H4827">
        <v>385734289</v>
      </c>
      <c r="I4827">
        <v>238308935</v>
      </c>
      <c r="J4827">
        <v>202365122</v>
      </c>
      <c r="P4827">
        <v>31</v>
      </c>
      <c r="Q4827" t="s">
        <v>10002</v>
      </c>
    </row>
    <row r="4828" spans="1:17" x14ac:dyDescent="0.3">
      <c r="A4828" t="s">
        <v>4729</v>
      </c>
      <c r="B4828" t="str">
        <f>"301051"</f>
        <v>301051</v>
      </c>
      <c r="C4828" t="s">
        <v>10003</v>
      </c>
      <c r="D4828" t="s">
        <v>313</v>
      </c>
      <c r="F4828">
        <v>2826881847</v>
      </c>
      <c r="G4828">
        <v>773771616</v>
      </c>
      <c r="H4828">
        <v>613391358</v>
      </c>
      <c r="I4828">
        <v>334295693</v>
      </c>
      <c r="J4828">
        <v>199439764</v>
      </c>
      <c r="K4828">
        <v>142686386</v>
      </c>
      <c r="P4828">
        <v>18</v>
      </c>
      <c r="Q4828" t="s">
        <v>10004</v>
      </c>
    </row>
    <row r="4829" spans="1:17" x14ac:dyDescent="0.3">
      <c r="A4829" t="s">
        <v>4729</v>
      </c>
      <c r="B4829" t="str">
        <f>"301052"</f>
        <v>301052</v>
      </c>
      <c r="C4829" t="s">
        <v>10005</v>
      </c>
      <c r="D4829" t="s">
        <v>525</v>
      </c>
      <c r="F4829">
        <v>553346821</v>
      </c>
      <c r="G4829">
        <v>391112004</v>
      </c>
      <c r="H4829">
        <v>351318684</v>
      </c>
      <c r="I4829">
        <v>299637654</v>
      </c>
      <c r="J4829">
        <v>129070061</v>
      </c>
      <c r="P4829">
        <v>16</v>
      </c>
      <c r="Q4829" t="s">
        <v>10006</v>
      </c>
    </row>
    <row r="4830" spans="1:17" x14ac:dyDescent="0.3">
      <c r="A4830" t="s">
        <v>4729</v>
      </c>
      <c r="B4830" t="str">
        <f>"301053"</f>
        <v>301053</v>
      </c>
      <c r="C4830" t="s">
        <v>10007</v>
      </c>
      <c r="D4830" t="s">
        <v>534</v>
      </c>
      <c r="F4830">
        <v>527433112</v>
      </c>
      <c r="G4830">
        <v>259027222</v>
      </c>
      <c r="H4830">
        <v>194246488</v>
      </c>
      <c r="I4830">
        <v>160102833</v>
      </c>
      <c r="J4830">
        <v>120330982</v>
      </c>
      <c r="P4830">
        <v>24</v>
      </c>
      <c r="Q4830" t="s">
        <v>10008</v>
      </c>
    </row>
    <row r="4831" spans="1:17" x14ac:dyDescent="0.3">
      <c r="A4831" t="s">
        <v>4729</v>
      </c>
      <c r="B4831" t="str">
        <f>"301055"</f>
        <v>301055</v>
      </c>
      <c r="C4831" t="s">
        <v>10009</v>
      </c>
      <c r="D4831" t="s">
        <v>2445</v>
      </c>
      <c r="F4831">
        <v>722541617</v>
      </c>
      <c r="G4831">
        <v>439017179</v>
      </c>
      <c r="H4831">
        <v>396901210</v>
      </c>
      <c r="I4831">
        <v>324600477</v>
      </c>
      <c r="J4831">
        <v>280792015</v>
      </c>
      <c r="P4831">
        <v>28</v>
      </c>
      <c r="Q4831" t="s">
        <v>10010</v>
      </c>
    </row>
    <row r="4832" spans="1:17" x14ac:dyDescent="0.3">
      <c r="A4832" t="s">
        <v>4729</v>
      </c>
      <c r="B4832" t="str">
        <f>"301056"</f>
        <v>301056</v>
      </c>
      <c r="C4832" t="s">
        <v>10011</v>
      </c>
      <c r="D4832" t="s">
        <v>1691</v>
      </c>
      <c r="F4832">
        <v>748222046</v>
      </c>
      <c r="G4832">
        <v>456884762</v>
      </c>
      <c r="H4832">
        <v>415375214</v>
      </c>
      <c r="I4832">
        <v>381671013</v>
      </c>
      <c r="J4832">
        <v>383508478</v>
      </c>
      <c r="P4832">
        <v>16</v>
      </c>
      <c r="Q4832" t="s">
        <v>10012</v>
      </c>
    </row>
    <row r="4833" spans="1:17" x14ac:dyDescent="0.3">
      <c r="A4833" t="s">
        <v>4729</v>
      </c>
      <c r="B4833" t="str">
        <f>"301057"</f>
        <v>301057</v>
      </c>
      <c r="C4833" t="s">
        <v>10013</v>
      </c>
      <c r="D4833" t="s">
        <v>2731</v>
      </c>
      <c r="F4833">
        <v>600354343</v>
      </c>
      <c r="G4833">
        <v>360307494</v>
      </c>
      <c r="H4833">
        <v>293036179</v>
      </c>
      <c r="I4833">
        <v>168376999</v>
      </c>
      <c r="J4833">
        <v>138514391</v>
      </c>
      <c r="P4833">
        <v>16</v>
      </c>
      <c r="Q4833" t="s">
        <v>10014</v>
      </c>
    </row>
    <row r="4834" spans="1:17" x14ac:dyDescent="0.3">
      <c r="A4834" t="s">
        <v>4729</v>
      </c>
      <c r="B4834" t="str">
        <f>"301058"</f>
        <v>301058</v>
      </c>
      <c r="C4834" t="s">
        <v>10015</v>
      </c>
      <c r="D4834" t="s">
        <v>1272</v>
      </c>
      <c r="F4834">
        <v>1771283413</v>
      </c>
      <c r="G4834">
        <v>1299307183</v>
      </c>
      <c r="H4834">
        <v>1165614078</v>
      </c>
      <c r="I4834">
        <v>968839070</v>
      </c>
      <c r="J4834">
        <v>921415412</v>
      </c>
      <c r="P4834">
        <v>24</v>
      </c>
      <c r="Q4834" t="s">
        <v>10016</v>
      </c>
    </row>
    <row r="4835" spans="1:17" x14ac:dyDescent="0.3">
      <c r="A4835" t="s">
        <v>4729</v>
      </c>
      <c r="B4835" t="str">
        <f>"301059"</f>
        <v>301059</v>
      </c>
      <c r="C4835" t="s">
        <v>10017</v>
      </c>
      <c r="D4835" t="s">
        <v>386</v>
      </c>
      <c r="F4835">
        <v>535315992</v>
      </c>
      <c r="G4835">
        <v>279465950</v>
      </c>
      <c r="H4835">
        <v>225988855</v>
      </c>
      <c r="I4835">
        <v>107362448</v>
      </c>
      <c r="J4835">
        <v>78467581</v>
      </c>
      <c r="P4835">
        <v>21</v>
      </c>
      <c r="Q4835" t="s">
        <v>10018</v>
      </c>
    </row>
    <row r="4836" spans="1:17" x14ac:dyDescent="0.3">
      <c r="A4836" t="s">
        <v>4729</v>
      </c>
      <c r="B4836" t="str">
        <f>"301060"</f>
        <v>301060</v>
      </c>
      <c r="C4836" t="s">
        <v>10019</v>
      </c>
      <c r="D4836" t="s">
        <v>2580</v>
      </c>
      <c r="F4836">
        <v>1564935689</v>
      </c>
      <c r="G4836">
        <v>1222264043</v>
      </c>
      <c r="H4836">
        <v>1180730029</v>
      </c>
      <c r="I4836">
        <v>1151930165</v>
      </c>
      <c r="J4836">
        <v>1078544285</v>
      </c>
      <c r="P4836">
        <v>41</v>
      </c>
      <c r="Q4836" t="s">
        <v>10020</v>
      </c>
    </row>
    <row r="4837" spans="1:17" x14ac:dyDescent="0.3">
      <c r="A4837" t="s">
        <v>4729</v>
      </c>
      <c r="B4837" t="str">
        <f>"301061"</f>
        <v>301061</v>
      </c>
      <c r="C4837" t="s">
        <v>10021</v>
      </c>
      <c r="D4837" t="s">
        <v>757</v>
      </c>
      <c r="F4837">
        <v>2495318592</v>
      </c>
      <c r="G4837">
        <v>853308305</v>
      </c>
      <c r="H4837">
        <v>654758353</v>
      </c>
      <c r="I4837">
        <v>433095638</v>
      </c>
      <c r="J4837">
        <v>434679490</v>
      </c>
      <c r="P4837">
        <v>28</v>
      </c>
      <c r="Q4837" t="s">
        <v>10022</v>
      </c>
    </row>
    <row r="4838" spans="1:17" x14ac:dyDescent="0.3">
      <c r="A4838" t="s">
        <v>4729</v>
      </c>
      <c r="B4838" t="str">
        <f>"301062"</f>
        <v>301062</v>
      </c>
      <c r="C4838" t="s">
        <v>10023</v>
      </c>
      <c r="D4838" t="s">
        <v>2165</v>
      </c>
      <c r="F4838">
        <v>1018608018</v>
      </c>
      <c r="G4838">
        <v>765278366</v>
      </c>
      <c r="H4838">
        <v>654121395</v>
      </c>
      <c r="I4838">
        <v>619451097</v>
      </c>
      <c r="J4838">
        <v>543347943</v>
      </c>
      <c r="P4838">
        <v>13</v>
      </c>
      <c r="Q4838" t="s">
        <v>10024</v>
      </c>
    </row>
    <row r="4839" spans="1:17" x14ac:dyDescent="0.3">
      <c r="A4839" t="s">
        <v>4729</v>
      </c>
      <c r="B4839" t="str">
        <f>"301063"</f>
        <v>301063</v>
      </c>
      <c r="C4839" t="s">
        <v>10025</v>
      </c>
      <c r="D4839" t="s">
        <v>274</v>
      </c>
      <c r="F4839">
        <v>933790534</v>
      </c>
      <c r="G4839">
        <v>519436463</v>
      </c>
      <c r="H4839">
        <v>414011742</v>
      </c>
      <c r="I4839">
        <v>239611337</v>
      </c>
      <c r="J4839">
        <v>161332935</v>
      </c>
      <c r="P4839">
        <v>17</v>
      </c>
      <c r="Q4839" t="s">
        <v>10026</v>
      </c>
    </row>
    <row r="4840" spans="1:17" x14ac:dyDescent="0.3">
      <c r="A4840" t="s">
        <v>4729</v>
      </c>
      <c r="B4840" t="str">
        <f>"301065"</f>
        <v>301065</v>
      </c>
      <c r="C4840" t="s">
        <v>10027</v>
      </c>
      <c r="D4840" t="s">
        <v>386</v>
      </c>
      <c r="F4840">
        <v>1211551419</v>
      </c>
      <c r="G4840">
        <v>473471257</v>
      </c>
      <c r="H4840">
        <v>378722446</v>
      </c>
      <c r="I4840">
        <v>305598832</v>
      </c>
      <c r="J4840">
        <v>273993457</v>
      </c>
      <c r="P4840">
        <v>12</v>
      </c>
      <c r="Q4840" t="s">
        <v>10028</v>
      </c>
    </row>
    <row r="4841" spans="1:17" x14ac:dyDescent="0.3">
      <c r="A4841" t="s">
        <v>4729</v>
      </c>
      <c r="B4841" t="str">
        <f>"301066"</f>
        <v>301066</v>
      </c>
      <c r="C4841" t="s">
        <v>10029</v>
      </c>
      <c r="D4841" t="s">
        <v>330</v>
      </c>
      <c r="F4841">
        <v>655664934</v>
      </c>
      <c r="G4841">
        <v>487119726</v>
      </c>
      <c r="H4841">
        <v>443897488</v>
      </c>
      <c r="I4841">
        <v>384237149</v>
      </c>
      <c r="J4841">
        <v>334118138</v>
      </c>
      <c r="P4841">
        <v>21</v>
      </c>
      <c r="Q4841" t="s">
        <v>10030</v>
      </c>
    </row>
    <row r="4842" spans="1:17" x14ac:dyDescent="0.3">
      <c r="A4842" t="s">
        <v>4729</v>
      </c>
      <c r="B4842" t="str">
        <f>"301067"</f>
        <v>301067</v>
      </c>
      <c r="C4842" t="s">
        <v>10031</v>
      </c>
      <c r="D4842" t="s">
        <v>313</v>
      </c>
      <c r="F4842">
        <v>822817213</v>
      </c>
      <c r="G4842">
        <v>186686877</v>
      </c>
      <c r="H4842">
        <v>136484233</v>
      </c>
      <c r="I4842">
        <v>100936962</v>
      </c>
      <c r="J4842">
        <v>65417090</v>
      </c>
      <c r="P4842">
        <v>18</v>
      </c>
      <c r="Q4842" t="s">
        <v>10032</v>
      </c>
    </row>
    <row r="4843" spans="1:17" x14ac:dyDescent="0.3">
      <c r="A4843" t="s">
        <v>4729</v>
      </c>
      <c r="B4843" t="str">
        <f>"301068"</f>
        <v>301068</v>
      </c>
      <c r="C4843" t="s">
        <v>10033</v>
      </c>
      <c r="D4843" t="s">
        <v>499</v>
      </c>
      <c r="F4843">
        <v>740797546</v>
      </c>
      <c r="G4843">
        <v>450341980</v>
      </c>
      <c r="H4843">
        <v>369033353</v>
      </c>
      <c r="I4843">
        <v>245195340</v>
      </c>
      <c r="J4843">
        <v>178171031</v>
      </c>
      <c r="P4843">
        <v>14</v>
      </c>
      <c r="Q4843" t="s">
        <v>10034</v>
      </c>
    </row>
    <row r="4844" spans="1:17" x14ac:dyDescent="0.3">
      <c r="A4844" t="s">
        <v>4729</v>
      </c>
      <c r="B4844" t="str">
        <f>"301069"</f>
        <v>301069</v>
      </c>
      <c r="C4844" t="s">
        <v>10035</v>
      </c>
      <c r="D4844" t="s">
        <v>1233</v>
      </c>
      <c r="F4844">
        <v>1275044068</v>
      </c>
      <c r="G4844">
        <v>797702313</v>
      </c>
      <c r="H4844">
        <v>729552300</v>
      </c>
      <c r="I4844">
        <v>461756495</v>
      </c>
      <c r="J4844">
        <v>443596059</v>
      </c>
      <c r="P4844">
        <v>29</v>
      </c>
      <c r="Q4844" t="s">
        <v>10036</v>
      </c>
    </row>
    <row r="4845" spans="1:17" x14ac:dyDescent="0.3">
      <c r="A4845" t="s">
        <v>4729</v>
      </c>
      <c r="B4845" t="str">
        <f>"301070"</f>
        <v>301070</v>
      </c>
      <c r="C4845" t="s">
        <v>10037</v>
      </c>
      <c r="D4845" t="s">
        <v>560</v>
      </c>
      <c r="F4845">
        <v>786765490</v>
      </c>
      <c r="G4845">
        <v>346536080</v>
      </c>
      <c r="H4845">
        <v>282618176</v>
      </c>
      <c r="I4845">
        <v>225913956</v>
      </c>
      <c r="J4845">
        <v>149918755</v>
      </c>
      <c r="P4845">
        <v>19</v>
      </c>
      <c r="Q4845" t="s">
        <v>10038</v>
      </c>
    </row>
    <row r="4846" spans="1:17" x14ac:dyDescent="0.3">
      <c r="A4846" t="s">
        <v>4729</v>
      </c>
      <c r="B4846" t="str">
        <f>"301071"</f>
        <v>301071</v>
      </c>
      <c r="C4846" t="s">
        <v>10039</v>
      </c>
      <c r="D4846" t="s">
        <v>404</v>
      </c>
      <c r="F4846">
        <v>958318370</v>
      </c>
      <c r="G4846">
        <v>445235765</v>
      </c>
      <c r="H4846">
        <v>372612149</v>
      </c>
      <c r="I4846">
        <v>288448210</v>
      </c>
      <c r="J4846">
        <v>190801020</v>
      </c>
      <c r="P4846">
        <v>76</v>
      </c>
      <c r="Q4846" t="s">
        <v>10040</v>
      </c>
    </row>
    <row r="4847" spans="1:17" x14ac:dyDescent="0.3">
      <c r="A4847" t="s">
        <v>4729</v>
      </c>
      <c r="B4847" t="str">
        <f>"301072"</f>
        <v>301072</v>
      </c>
      <c r="C4847" t="s">
        <v>10041</v>
      </c>
      <c r="D4847" t="s">
        <v>348</v>
      </c>
      <c r="F4847">
        <v>769820829</v>
      </c>
      <c r="G4847">
        <v>575507576</v>
      </c>
      <c r="H4847">
        <v>522995243</v>
      </c>
      <c r="I4847">
        <v>466068370</v>
      </c>
      <c r="J4847">
        <v>318482588</v>
      </c>
      <c r="P4847">
        <v>17</v>
      </c>
      <c r="Q4847" t="s">
        <v>10042</v>
      </c>
    </row>
    <row r="4848" spans="1:17" x14ac:dyDescent="0.3">
      <c r="A4848" t="s">
        <v>4729</v>
      </c>
      <c r="B4848" t="str">
        <f>"301073"</f>
        <v>301073</v>
      </c>
      <c r="C4848" t="s">
        <v>10043</v>
      </c>
      <c r="D4848" t="s">
        <v>590</v>
      </c>
      <c r="F4848">
        <v>486199715</v>
      </c>
      <c r="G4848">
        <v>295770889</v>
      </c>
      <c r="H4848">
        <v>260704846</v>
      </c>
      <c r="I4848">
        <v>208445112</v>
      </c>
      <c r="J4848">
        <v>164748891</v>
      </c>
      <c r="K4848">
        <v>84567913</v>
      </c>
      <c r="P4848">
        <v>22</v>
      </c>
      <c r="Q4848" t="s">
        <v>10044</v>
      </c>
    </row>
    <row r="4849" spans="1:17" x14ac:dyDescent="0.3">
      <c r="A4849" t="s">
        <v>4729</v>
      </c>
      <c r="B4849" t="str">
        <f>"301075"</f>
        <v>301075</v>
      </c>
      <c r="C4849" t="s">
        <v>10045</v>
      </c>
      <c r="D4849" t="s">
        <v>143</v>
      </c>
      <c r="F4849">
        <v>792918557</v>
      </c>
      <c r="G4849">
        <v>242361002</v>
      </c>
      <c r="H4849">
        <v>150372409</v>
      </c>
      <c r="I4849">
        <v>74218126</v>
      </c>
      <c r="J4849">
        <v>-564069</v>
      </c>
      <c r="P4849">
        <v>22</v>
      </c>
      <c r="Q4849" t="s">
        <v>10046</v>
      </c>
    </row>
    <row r="4850" spans="1:17" x14ac:dyDescent="0.3">
      <c r="A4850" t="s">
        <v>4729</v>
      </c>
      <c r="B4850" t="str">
        <f>"301076"</f>
        <v>301076</v>
      </c>
      <c r="C4850" t="s">
        <v>10047</v>
      </c>
      <c r="D4850" t="s">
        <v>386</v>
      </c>
      <c r="F4850">
        <v>1013272466</v>
      </c>
      <c r="G4850">
        <v>390974848</v>
      </c>
      <c r="H4850">
        <v>317908403</v>
      </c>
      <c r="I4850">
        <v>286190143</v>
      </c>
      <c r="J4850">
        <v>228405992</v>
      </c>
      <c r="P4850">
        <v>20</v>
      </c>
      <c r="Q4850" t="s">
        <v>10048</v>
      </c>
    </row>
    <row r="4851" spans="1:17" x14ac:dyDescent="0.3">
      <c r="A4851" t="s">
        <v>4729</v>
      </c>
      <c r="B4851" t="str">
        <f>"301077"</f>
        <v>301077</v>
      </c>
      <c r="C4851" t="s">
        <v>10049</v>
      </c>
      <c r="D4851" t="s">
        <v>386</v>
      </c>
      <c r="F4851">
        <v>1240434712</v>
      </c>
      <c r="G4851">
        <v>269109641</v>
      </c>
      <c r="H4851">
        <v>170876589</v>
      </c>
      <c r="I4851">
        <v>120589922</v>
      </c>
      <c r="J4851">
        <v>83654873</v>
      </c>
      <c r="P4851">
        <v>30</v>
      </c>
      <c r="Q4851" t="s">
        <v>10050</v>
      </c>
    </row>
    <row r="4852" spans="1:17" x14ac:dyDescent="0.3">
      <c r="A4852" t="s">
        <v>4729</v>
      </c>
      <c r="B4852" t="str">
        <f>"301078"</f>
        <v>301078</v>
      </c>
      <c r="C4852" t="s">
        <v>10051</v>
      </c>
      <c r="D4852" t="s">
        <v>295</v>
      </c>
      <c r="F4852">
        <v>2848034670</v>
      </c>
      <c r="G4852">
        <v>2090290592</v>
      </c>
      <c r="H4852">
        <v>1699274724</v>
      </c>
      <c r="I4852">
        <v>1320776067</v>
      </c>
      <c r="J4852">
        <v>1033909978</v>
      </c>
      <c r="P4852">
        <v>23</v>
      </c>
      <c r="Q4852" t="s">
        <v>10052</v>
      </c>
    </row>
    <row r="4853" spans="1:17" x14ac:dyDescent="0.3">
      <c r="A4853" t="s">
        <v>4729</v>
      </c>
      <c r="B4853" t="str">
        <f>"301079"</f>
        <v>301079</v>
      </c>
      <c r="C4853" t="s">
        <v>10053</v>
      </c>
      <c r="D4853" t="s">
        <v>2007</v>
      </c>
      <c r="F4853">
        <v>438825614</v>
      </c>
      <c r="G4853">
        <v>178499370</v>
      </c>
      <c r="H4853">
        <v>154778182</v>
      </c>
      <c r="I4853">
        <v>132489644</v>
      </c>
      <c r="J4853">
        <v>110421166</v>
      </c>
      <c r="P4853">
        <v>22</v>
      </c>
      <c r="Q4853" t="s">
        <v>10054</v>
      </c>
    </row>
    <row r="4854" spans="1:17" x14ac:dyDescent="0.3">
      <c r="A4854" t="s">
        <v>4729</v>
      </c>
      <c r="B4854" t="str">
        <f>"301080"</f>
        <v>301080</v>
      </c>
      <c r="C4854" t="s">
        <v>10055</v>
      </c>
      <c r="D4854" t="s">
        <v>1461</v>
      </c>
      <c r="F4854">
        <v>2466970919</v>
      </c>
      <c r="G4854">
        <v>200304424</v>
      </c>
      <c r="H4854">
        <v>97390107</v>
      </c>
      <c r="I4854">
        <v>73310472</v>
      </c>
      <c r="J4854">
        <v>60366987</v>
      </c>
      <c r="P4854">
        <v>52</v>
      </c>
      <c r="Q4854" t="s">
        <v>10056</v>
      </c>
    </row>
    <row r="4855" spans="1:17" x14ac:dyDescent="0.3">
      <c r="A4855" t="s">
        <v>4729</v>
      </c>
      <c r="B4855" t="str">
        <f>"301081"</f>
        <v>301081</v>
      </c>
      <c r="C4855" t="s">
        <v>10057</v>
      </c>
      <c r="D4855" t="s">
        <v>1070</v>
      </c>
      <c r="F4855">
        <v>977883059</v>
      </c>
      <c r="G4855">
        <v>407217173</v>
      </c>
      <c r="H4855">
        <v>337515412</v>
      </c>
      <c r="I4855">
        <v>230097365</v>
      </c>
      <c r="J4855">
        <v>199334888</v>
      </c>
      <c r="K4855">
        <v>60517721</v>
      </c>
      <c r="P4855">
        <v>21</v>
      </c>
      <c r="Q4855" t="s">
        <v>10058</v>
      </c>
    </row>
    <row r="4856" spans="1:17" x14ac:dyDescent="0.3">
      <c r="A4856" t="s">
        <v>4729</v>
      </c>
      <c r="B4856" t="str">
        <f>"301082"</f>
        <v>301082</v>
      </c>
      <c r="C4856" t="s">
        <v>10059</v>
      </c>
      <c r="D4856" t="s">
        <v>1164</v>
      </c>
      <c r="F4856">
        <v>1054998662</v>
      </c>
      <c r="G4856">
        <v>458971141</v>
      </c>
      <c r="H4856">
        <v>395747908</v>
      </c>
      <c r="I4856">
        <v>315743461</v>
      </c>
      <c r="J4856">
        <v>250950203</v>
      </c>
      <c r="P4856">
        <v>17</v>
      </c>
      <c r="Q4856" t="s">
        <v>10060</v>
      </c>
    </row>
    <row r="4857" spans="1:17" x14ac:dyDescent="0.3">
      <c r="A4857" t="s">
        <v>4729</v>
      </c>
      <c r="B4857" t="str">
        <f>"301083"</f>
        <v>301083</v>
      </c>
      <c r="C4857" t="s">
        <v>10061</v>
      </c>
      <c r="D4857" t="s">
        <v>741</v>
      </c>
      <c r="F4857">
        <v>728907036</v>
      </c>
      <c r="G4857">
        <v>311508050</v>
      </c>
      <c r="H4857">
        <v>245254393</v>
      </c>
      <c r="I4857">
        <v>254621649</v>
      </c>
      <c r="J4857">
        <v>199112840</v>
      </c>
      <c r="P4857">
        <v>16</v>
      </c>
      <c r="Q4857" t="s">
        <v>10062</v>
      </c>
    </row>
    <row r="4858" spans="1:17" x14ac:dyDescent="0.3">
      <c r="A4858" t="s">
        <v>4729</v>
      </c>
      <c r="B4858" t="str">
        <f>"301085"</f>
        <v>301085</v>
      </c>
      <c r="C4858" t="s">
        <v>10063</v>
      </c>
      <c r="D4858" t="s">
        <v>316</v>
      </c>
      <c r="F4858">
        <v>790613778</v>
      </c>
      <c r="G4858">
        <v>352046636</v>
      </c>
      <c r="H4858">
        <v>273817899</v>
      </c>
      <c r="I4858">
        <v>177214855</v>
      </c>
      <c r="J4858">
        <v>131211405</v>
      </c>
      <c r="P4858">
        <v>16</v>
      </c>
      <c r="Q4858" t="s">
        <v>10064</v>
      </c>
    </row>
    <row r="4859" spans="1:17" x14ac:dyDescent="0.3">
      <c r="A4859" t="s">
        <v>4729</v>
      </c>
      <c r="B4859" t="str">
        <f>"301086"</f>
        <v>301086</v>
      </c>
      <c r="C4859" t="s">
        <v>10065</v>
      </c>
      <c r="D4859" t="s">
        <v>313</v>
      </c>
      <c r="F4859">
        <v>1778577947</v>
      </c>
      <c r="G4859">
        <v>344170527</v>
      </c>
      <c r="H4859">
        <v>228657288</v>
      </c>
      <c r="I4859">
        <v>140577739</v>
      </c>
      <c r="J4859">
        <v>73064336</v>
      </c>
      <c r="P4859">
        <v>28</v>
      </c>
      <c r="Q4859" t="s">
        <v>10066</v>
      </c>
    </row>
    <row r="4860" spans="1:17" x14ac:dyDescent="0.3">
      <c r="A4860" t="s">
        <v>4729</v>
      </c>
      <c r="B4860" t="str">
        <f>"301087"</f>
        <v>301087</v>
      </c>
      <c r="C4860" t="s">
        <v>10067</v>
      </c>
      <c r="D4860" t="s">
        <v>1305</v>
      </c>
      <c r="F4860">
        <v>4947205855</v>
      </c>
      <c r="G4860">
        <v>996417687</v>
      </c>
      <c r="H4860">
        <v>596467802</v>
      </c>
      <c r="I4860">
        <v>232784811</v>
      </c>
      <c r="J4860">
        <v>166557780</v>
      </c>
      <c r="P4860">
        <v>33</v>
      </c>
      <c r="Q4860" t="s">
        <v>10068</v>
      </c>
    </row>
    <row r="4861" spans="1:17" x14ac:dyDescent="0.3">
      <c r="A4861" t="s">
        <v>4729</v>
      </c>
      <c r="B4861" t="str">
        <f>"301088"</f>
        <v>301088</v>
      </c>
      <c r="C4861" t="s">
        <v>10069</v>
      </c>
      <c r="D4861" t="s">
        <v>255</v>
      </c>
      <c r="F4861">
        <v>2442002438</v>
      </c>
      <c r="G4861">
        <v>546649025</v>
      </c>
      <c r="H4861">
        <v>384584342</v>
      </c>
      <c r="I4861">
        <v>259879404</v>
      </c>
      <c r="J4861">
        <v>159573394</v>
      </c>
      <c r="P4861">
        <v>28</v>
      </c>
      <c r="Q4861" t="s">
        <v>10070</v>
      </c>
    </row>
    <row r="4862" spans="1:17" x14ac:dyDescent="0.3">
      <c r="A4862" t="s">
        <v>4729</v>
      </c>
      <c r="B4862" t="str">
        <f>"301089"</f>
        <v>301089</v>
      </c>
      <c r="C4862" t="s">
        <v>10071</v>
      </c>
      <c r="D4862" t="s">
        <v>496</v>
      </c>
      <c r="F4862">
        <v>1097359637</v>
      </c>
      <c r="G4862">
        <v>490874496</v>
      </c>
      <c r="H4862">
        <v>383113260</v>
      </c>
      <c r="I4862">
        <v>315296277</v>
      </c>
      <c r="J4862">
        <v>254912130</v>
      </c>
      <c r="P4862">
        <v>37</v>
      </c>
      <c r="Q4862" t="s">
        <v>10072</v>
      </c>
    </row>
    <row r="4863" spans="1:17" x14ac:dyDescent="0.3">
      <c r="A4863" t="s">
        <v>4729</v>
      </c>
      <c r="B4863" t="str">
        <f>"301090"</f>
        <v>301090</v>
      </c>
      <c r="C4863" t="s">
        <v>10073</v>
      </c>
      <c r="D4863" t="s">
        <v>528</v>
      </c>
      <c r="F4863">
        <v>6177105930</v>
      </c>
      <c r="G4863">
        <v>3424638500</v>
      </c>
      <c r="H4863">
        <v>2606637870</v>
      </c>
      <c r="I4863">
        <v>1923897931</v>
      </c>
      <c r="J4863">
        <v>2268447292</v>
      </c>
      <c r="P4863">
        <v>18</v>
      </c>
      <c r="Q4863" t="s">
        <v>10074</v>
      </c>
    </row>
    <row r="4864" spans="1:17" x14ac:dyDescent="0.3">
      <c r="A4864" t="s">
        <v>4729</v>
      </c>
      <c r="B4864" t="str">
        <f>"301091"</f>
        <v>301091</v>
      </c>
      <c r="C4864" t="s">
        <v>10075</v>
      </c>
      <c r="D4864" t="s">
        <v>1272</v>
      </c>
      <c r="F4864">
        <v>1952745986</v>
      </c>
      <c r="G4864">
        <v>407969101</v>
      </c>
      <c r="H4864">
        <v>283411727</v>
      </c>
      <c r="I4864">
        <v>261225408</v>
      </c>
      <c r="J4864">
        <v>193750324</v>
      </c>
      <c r="P4864">
        <v>25</v>
      </c>
      <c r="Q4864" t="s">
        <v>10076</v>
      </c>
    </row>
    <row r="4865" spans="1:17" x14ac:dyDescent="0.3">
      <c r="A4865" t="s">
        <v>4729</v>
      </c>
      <c r="B4865" t="str">
        <f>"301092"</f>
        <v>301092</v>
      </c>
      <c r="C4865" t="s">
        <v>10077</v>
      </c>
      <c r="D4865" t="s">
        <v>3377</v>
      </c>
      <c r="F4865">
        <v>1544284420</v>
      </c>
      <c r="G4865">
        <v>370883089</v>
      </c>
      <c r="H4865">
        <v>243774838</v>
      </c>
      <c r="I4865">
        <v>273228215</v>
      </c>
      <c r="J4865">
        <v>221107629</v>
      </c>
      <c r="P4865">
        <v>22</v>
      </c>
      <c r="Q4865" t="s">
        <v>10078</v>
      </c>
    </row>
    <row r="4866" spans="1:17" x14ac:dyDescent="0.3">
      <c r="A4866" t="s">
        <v>4729</v>
      </c>
      <c r="B4866" t="str">
        <f>"301093"</f>
        <v>301093</v>
      </c>
      <c r="C4866" t="s">
        <v>10079</v>
      </c>
      <c r="D4866" t="s">
        <v>1077</v>
      </c>
      <c r="F4866">
        <v>2416443393</v>
      </c>
      <c r="G4866">
        <v>396392282</v>
      </c>
      <c r="H4866">
        <v>360484160</v>
      </c>
      <c r="I4866">
        <v>310663058</v>
      </c>
      <c r="J4866">
        <v>224601671</v>
      </c>
      <c r="P4866">
        <v>30</v>
      </c>
      <c r="Q4866" t="s">
        <v>10080</v>
      </c>
    </row>
    <row r="4867" spans="1:17" x14ac:dyDescent="0.3">
      <c r="A4867" t="s">
        <v>4729</v>
      </c>
      <c r="B4867" t="str">
        <f>"301096"</f>
        <v>301096</v>
      </c>
      <c r="C4867" t="s">
        <v>10081</v>
      </c>
      <c r="D4867" t="s">
        <v>1461</v>
      </c>
      <c r="F4867">
        <v>2317911097</v>
      </c>
      <c r="G4867">
        <v>340186623</v>
      </c>
      <c r="H4867">
        <v>278448973</v>
      </c>
      <c r="I4867">
        <v>74060064</v>
      </c>
      <c r="J4867">
        <v>26731733</v>
      </c>
      <c r="P4867">
        <v>26</v>
      </c>
      <c r="Q4867" t="s">
        <v>10082</v>
      </c>
    </row>
    <row r="4868" spans="1:17" x14ac:dyDescent="0.3">
      <c r="A4868" t="s">
        <v>4729</v>
      </c>
      <c r="B4868" t="str">
        <f>"301097"</f>
        <v>301097</v>
      </c>
      <c r="C4868" t="s">
        <v>10083</v>
      </c>
      <c r="F4868">
        <v>469438292</v>
      </c>
      <c r="G4868">
        <v>391146250</v>
      </c>
      <c r="H4868">
        <v>303996712</v>
      </c>
      <c r="I4868">
        <v>253792880</v>
      </c>
      <c r="J4868">
        <v>209214958</v>
      </c>
      <c r="P4868">
        <v>2</v>
      </c>
      <c r="Q4868" t="s">
        <v>10084</v>
      </c>
    </row>
    <row r="4869" spans="1:17" x14ac:dyDescent="0.3">
      <c r="A4869" t="s">
        <v>4729</v>
      </c>
      <c r="B4869" t="str">
        <f>"301098"</f>
        <v>301098</v>
      </c>
      <c r="C4869" t="s">
        <v>10085</v>
      </c>
      <c r="D4869" t="s">
        <v>2417</v>
      </c>
      <c r="F4869">
        <v>1038661203</v>
      </c>
      <c r="G4869">
        <v>668051076</v>
      </c>
      <c r="H4869">
        <v>597931448</v>
      </c>
      <c r="I4869">
        <v>510766176</v>
      </c>
      <c r="J4869">
        <v>478247375</v>
      </c>
      <c r="K4869">
        <v>350988919</v>
      </c>
      <c r="P4869">
        <v>13</v>
      </c>
      <c r="Q4869" t="s">
        <v>10086</v>
      </c>
    </row>
    <row r="4870" spans="1:17" x14ac:dyDescent="0.3">
      <c r="A4870" t="s">
        <v>4729</v>
      </c>
      <c r="B4870" t="str">
        <f>"301099"</f>
        <v>301099</v>
      </c>
      <c r="C4870" t="s">
        <v>10087</v>
      </c>
      <c r="D4870" t="s">
        <v>546</v>
      </c>
      <c r="F4870">
        <v>841067423</v>
      </c>
      <c r="G4870">
        <v>364994747</v>
      </c>
      <c r="H4870">
        <v>308636595</v>
      </c>
      <c r="I4870">
        <v>270395127</v>
      </c>
      <c r="J4870">
        <v>133255111</v>
      </c>
      <c r="P4870">
        <v>16</v>
      </c>
      <c r="Q4870" t="s">
        <v>10088</v>
      </c>
    </row>
    <row r="4871" spans="1:17" x14ac:dyDescent="0.3">
      <c r="A4871" t="s">
        <v>4729</v>
      </c>
      <c r="B4871" t="str">
        <f>"301100"</f>
        <v>301100</v>
      </c>
      <c r="C4871" t="s">
        <v>10089</v>
      </c>
      <c r="D4871" t="s">
        <v>386</v>
      </c>
      <c r="F4871">
        <v>2225759481</v>
      </c>
      <c r="G4871">
        <v>828717195</v>
      </c>
      <c r="H4871">
        <v>695953920</v>
      </c>
      <c r="I4871">
        <v>588298248</v>
      </c>
      <c r="J4871">
        <v>471539541</v>
      </c>
      <c r="P4871">
        <v>11</v>
      </c>
      <c r="Q4871" t="s">
        <v>10090</v>
      </c>
    </row>
    <row r="4872" spans="1:17" x14ac:dyDescent="0.3">
      <c r="A4872" t="s">
        <v>4729</v>
      </c>
      <c r="B4872" t="str">
        <f>"301101"</f>
        <v>301101</v>
      </c>
      <c r="C4872" t="s">
        <v>10091</v>
      </c>
      <c r="D4872" t="s">
        <v>3410</v>
      </c>
      <c r="F4872">
        <v>1404351740</v>
      </c>
      <c r="G4872">
        <v>527142893</v>
      </c>
      <c r="H4872">
        <v>453974697</v>
      </c>
      <c r="I4872">
        <v>279505030</v>
      </c>
      <c r="J4872">
        <v>263579314</v>
      </c>
      <c r="P4872">
        <v>19</v>
      </c>
      <c r="Q4872" t="s">
        <v>10092</v>
      </c>
    </row>
    <row r="4873" spans="1:17" x14ac:dyDescent="0.3">
      <c r="A4873" t="s">
        <v>4729</v>
      </c>
      <c r="B4873" t="str">
        <f>"301102"</f>
        <v>301102</v>
      </c>
      <c r="C4873" t="s">
        <v>10093</v>
      </c>
      <c r="F4873">
        <v>864000300</v>
      </c>
      <c r="G4873">
        <v>623358941</v>
      </c>
      <c r="H4873">
        <v>565173917</v>
      </c>
      <c r="I4873">
        <v>373026565</v>
      </c>
      <c r="J4873">
        <v>358914173</v>
      </c>
      <c r="P4873">
        <v>4</v>
      </c>
      <c r="Q4873" t="s">
        <v>10094</v>
      </c>
    </row>
    <row r="4874" spans="1:17" x14ac:dyDescent="0.3">
      <c r="A4874" t="s">
        <v>4729</v>
      </c>
      <c r="B4874" t="str">
        <f>"301103"</f>
        <v>301103</v>
      </c>
      <c r="C4874" t="s">
        <v>10095</v>
      </c>
      <c r="F4874">
        <v>1049654208</v>
      </c>
      <c r="G4874">
        <v>963289861</v>
      </c>
      <c r="H4874">
        <v>861697552</v>
      </c>
      <c r="I4874">
        <v>747228159</v>
      </c>
      <c r="J4874">
        <v>690406316</v>
      </c>
      <c r="P4874">
        <v>5</v>
      </c>
      <c r="Q4874" t="s">
        <v>10096</v>
      </c>
    </row>
    <row r="4875" spans="1:17" x14ac:dyDescent="0.3">
      <c r="A4875" t="s">
        <v>4729</v>
      </c>
      <c r="B4875" t="str">
        <f>"301106"</f>
        <v>301106</v>
      </c>
      <c r="C4875" t="s">
        <v>10097</v>
      </c>
      <c r="F4875">
        <v>445393339</v>
      </c>
      <c r="G4875">
        <v>378860431</v>
      </c>
      <c r="H4875">
        <v>321200895</v>
      </c>
      <c r="I4875">
        <v>198851130</v>
      </c>
      <c r="J4875">
        <v>142103945</v>
      </c>
      <c r="P4875">
        <v>8</v>
      </c>
      <c r="Q4875" t="s">
        <v>10098</v>
      </c>
    </row>
    <row r="4876" spans="1:17" x14ac:dyDescent="0.3">
      <c r="A4876" t="s">
        <v>4729</v>
      </c>
      <c r="B4876" t="str">
        <f>"301108"</f>
        <v>301108</v>
      </c>
      <c r="C4876" t="s">
        <v>10099</v>
      </c>
      <c r="D4876" t="s">
        <v>2751</v>
      </c>
      <c r="F4876">
        <v>1693431671</v>
      </c>
      <c r="G4876">
        <v>441551833</v>
      </c>
      <c r="H4876">
        <v>264200939</v>
      </c>
      <c r="I4876">
        <v>226331898</v>
      </c>
      <c r="J4876">
        <v>168699275</v>
      </c>
      <c r="P4876">
        <v>24</v>
      </c>
      <c r="Q4876" t="s">
        <v>10100</v>
      </c>
    </row>
    <row r="4877" spans="1:17" x14ac:dyDescent="0.3">
      <c r="A4877" t="s">
        <v>4729</v>
      </c>
      <c r="B4877" t="str">
        <f>"301109"</f>
        <v>301109</v>
      </c>
      <c r="C4877" t="s">
        <v>10101</v>
      </c>
      <c r="F4877">
        <v>2346163233</v>
      </c>
      <c r="G4877">
        <v>1886103533</v>
      </c>
      <c r="H4877">
        <v>1590850836</v>
      </c>
      <c r="I4877">
        <v>1272156485</v>
      </c>
      <c r="J4877">
        <v>871066111</v>
      </c>
      <c r="P4877">
        <v>3</v>
      </c>
      <c r="Q4877" t="s">
        <v>10102</v>
      </c>
    </row>
    <row r="4878" spans="1:17" x14ac:dyDescent="0.3">
      <c r="A4878" t="s">
        <v>4729</v>
      </c>
      <c r="B4878" t="str">
        <f>"301110"</f>
        <v>301110</v>
      </c>
      <c r="C4878" t="s">
        <v>10103</v>
      </c>
      <c r="F4878">
        <v>428167419</v>
      </c>
      <c r="G4878">
        <v>279193327</v>
      </c>
      <c r="H4878">
        <v>174015613</v>
      </c>
      <c r="I4878">
        <v>148806098</v>
      </c>
      <c r="J4878">
        <v>134077365</v>
      </c>
      <c r="P4878">
        <v>9</v>
      </c>
      <c r="Q4878" t="s">
        <v>10104</v>
      </c>
    </row>
    <row r="4879" spans="1:17" x14ac:dyDescent="0.3">
      <c r="A4879" t="s">
        <v>4729</v>
      </c>
      <c r="B4879" t="str">
        <f>"301111"</f>
        <v>301111</v>
      </c>
      <c r="C4879" t="s">
        <v>10105</v>
      </c>
      <c r="D4879" t="s">
        <v>143</v>
      </c>
      <c r="F4879">
        <v>750853632</v>
      </c>
      <c r="G4879">
        <v>323406104</v>
      </c>
      <c r="H4879">
        <v>271684436</v>
      </c>
      <c r="I4879">
        <v>229967278</v>
      </c>
      <c r="J4879">
        <v>166366853</v>
      </c>
      <c r="P4879">
        <v>28</v>
      </c>
      <c r="Q4879" t="s">
        <v>10106</v>
      </c>
    </row>
    <row r="4880" spans="1:17" x14ac:dyDescent="0.3">
      <c r="A4880" t="s">
        <v>4729</v>
      </c>
      <c r="B4880" t="str">
        <f>"301113"</f>
        <v>301113</v>
      </c>
      <c r="C4880" t="s">
        <v>10107</v>
      </c>
      <c r="D4880" t="s">
        <v>2445</v>
      </c>
      <c r="F4880">
        <v>747467282</v>
      </c>
      <c r="G4880">
        <v>160432031</v>
      </c>
      <c r="H4880">
        <v>113685548</v>
      </c>
      <c r="I4880">
        <v>128157630</v>
      </c>
      <c r="J4880">
        <v>101417237</v>
      </c>
      <c r="P4880">
        <v>27</v>
      </c>
      <c r="Q4880" t="s">
        <v>10108</v>
      </c>
    </row>
    <row r="4881" spans="1:17" x14ac:dyDescent="0.3">
      <c r="A4881" t="s">
        <v>4729</v>
      </c>
      <c r="B4881" t="str">
        <f>"301116"</f>
        <v>301116</v>
      </c>
      <c r="C4881" t="s">
        <v>10109</v>
      </c>
      <c r="D4881" t="s">
        <v>6260</v>
      </c>
      <c r="F4881">
        <v>1482934909</v>
      </c>
      <c r="G4881">
        <v>1408693146</v>
      </c>
      <c r="H4881">
        <v>1324203455</v>
      </c>
      <c r="I4881">
        <v>975841426</v>
      </c>
      <c r="J4881">
        <v>854659848</v>
      </c>
      <c r="K4881">
        <v>465863402</v>
      </c>
      <c r="P4881">
        <v>11</v>
      </c>
      <c r="Q4881" t="s">
        <v>10110</v>
      </c>
    </row>
    <row r="4882" spans="1:17" x14ac:dyDescent="0.3">
      <c r="A4882" t="s">
        <v>4729</v>
      </c>
      <c r="B4882" t="str">
        <f>"301117"</f>
        <v>301117</v>
      </c>
      <c r="C4882" t="s">
        <v>10111</v>
      </c>
      <c r="D4882" t="s">
        <v>2980</v>
      </c>
      <c r="F4882">
        <v>295411448</v>
      </c>
      <c r="G4882">
        <v>202910525</v>
      </c>
      <c r="H4882">
        <v>145277165</v>
      </c>
      <c r="I4882">
        <v>78677466</v>
      </c>
      <c r="J4882">
        <v>49030215</v>
      </c>
      <c r="P4882">
        <v>9</v>
      </c>
      <c r="Q4882" t="s">
        <v>10112</v>
      </c>
    </row>
    <row r="4883" spans="1:17" x14ac:dyDescent="0.3">
      <c r="A4883" t="s">
        <v>4729</v>
      </c>
      <c r="B4883" t="str">
        <f>"301118"</f>
        <v>301118</v>
      </c>
      <c r="C4883" t="s">
        <v>10113</v>
      </c>
      <c r="D4883" t="s">
        <v>1233</v>
      </c>
      <c r="F4883">
        <v>1352848922</v>
      </c>
      <c r="G4883">
        <v>571427255</v>
      </c>
      <c r="H4883">
        <v>513354899</v>
      </c>
      <c r="I4883">
        <v>446558407</v>
      </c>
      <c r="J4883">
        <v>335276642</v>
      </c>
      <c r="P4883">
        <v>16</v>
      </c>
      <c r="Q4883" t="s">
        <v>10114</v>
      </c>
    </row>
    <row r="4884" spans="1:17" x14ac:dyDescent="0.3">
      <c r="A4884" t="s">
        <v>4729</v>
      </c>
      <c r="B4884" t="str">
        <f>"301119"</f>
        <v>301119</v>
      </c>
      <c r="C4884" t="s">
        <v>10115</v>
      </c>
      <c r="D4884" t="s">
        <v>348</v>
      </c>
      <c r="F4884">
        <v>777731498</v>
      </c>
      <c r="G4884">
        <v>434737530</v>
      </c>
      <c r="H4884">
        <v>381818962</v>
      </c>
      <c r="I4884">
        <v>330392244</v>
      </c>
      <c r="J4884">
        <v>275968378</v>
      </c>
      <c r="P4884">
        <v>12</v>
      </c>
      <c r="Q4884" t="s">
        <v>10116</v>
      </c>
    </row>
    <row r="4885" spans="1:17" x14ac:dyDescent="0.3">
      <c r="A4885" t="s">
        <v>4729</v>
      </c>
      <c r="B4885" t="str">
        <f>"301120"</f>
        <v>301120</v>
      </c>
      <c r="C4885" t="s">
        <v>10117</v>
      </c>
      <c r="F4885">
        <v>759914713</v>
      </c>
      <c r="G4885">
        <v>675378242</v>
      </c>
      <c r="H4885">
        <v>617240230</v>
      </c>
      <c r="I4885">
        <v>570422696</v>
      </c>
      <c r="J4885">
        <v>546764466</v>
      </c>
      <c r="P4885">
        <v>7</v>
      </c>
      <c r="Q4885" t="s">
        <v>10118</v>
      </c>
    </row>
    <row r="4886" spans="1:17" x14ac:dyDescent="0.3">
      <c r="A4886" t="s">
        <v>4729</v>
      </c>
      <c r="B4886" t="str">
        <f>"301122"</f>
        <v>301122</v>
      </c>
      <c r="C4886" t="s">
        <v>10119</v>
      </c>
      <c r="F4886">
        <v>510124479</v>
      </c>
      <c r="G4886">
        <v>379442783</v>
      </c>
      <c r="H4886">
        <v>173515069</v>
      </c>
      <c r="I4886">
        <v>111181956</v>
      </c>
      <c r="J4886">
        <v>90683679</v>
      </c>
      <c r="P4886">
        <v>14</v>
      </c>
      <c r="Q4886" t="s">
        <v>10120</v>
      </c>
    </row>
    <row r="4887" spans="1:17" x14ac:dyDescent="0.3">
      <c r="A4887" t="s">
        <v>4729</v>
      </c>
      <c r="B4887" t="str">
        <f>"301123"</f>
        <v>301123</v>
      </c>
      <c r="C4887" t="s">
        <v>10121</v>
      </c>
      <c r="F4887">
        <v>1034874201</v>
      </c>
      <c r="G4887">
        <v>833879591</v>
      </c>
      <c r="H4887">
        <v>653169324</v>
      </c>
      <c r="I4887">
        <v>417920693</v>
      </c>
      <c r="J4887">
        <v>575165568</v>
      </c>
      <c r="P4887">
        <v>6</v>
      </c>
      <c r="Q4887" t="s">
        <v>10122</v>
      </c>
    </row>
    <row r="4888" spans="1:17" x14ac:dyDescent="0.3">
      <c r="A4888" t="s">
        <v>4729</v>
      </c>
      <c r="B4888" t="str">
        <f>"301126"</f>
        <v>301126</v>
      </c>
      <c r="C4888" t="s">
        <v>10123</v>
      </c>
      <c r="D4888" t="s">
        <v>125</v>
      </c>
      <c r="F4888">
        <v>1679144379</v>
      </c>
      <c r="G4888">
        <v>1042098323</v>
      </c>
      <c r="H4888">
        <v>977244358</v>
      </c>
      <c r="I4888">
        <v>863515891</v>
      </c>
      <c r="J4888">
        <v>750963240</v>
      </c>
      <c r="P4888">
        <v>14</v>
      </c>
      <c r="Q4888" t="s">
        <v>10124</v>
      </c>
    </row>
    <row r="4889" spans="1:17" x14ac:dyDescent="0.3">
      <c r="A4889" t="s">
        <v>4729</v>
      </c>
      <c r="B4889" t="str">
        <f>"301127"</f>
        <v>301127</v>
      </c>
      <c r="C4889" t="s">
        <v>10125</v>
      </c>
      <c r="D4889" t="s">
        <v>33</v>
      </c>
      <c r="F4889">
        <v>1904401428</v>
      </c>
      <c r="G4889">
        <v>616315120</v>
      </c>
      <c r="H4889">
        <v>471772148</v>
      </c>
      <c r="I4889">
        <v>381172819</v>
      </c>
      <c r="J4889">
        <v>344336543</v>
      </c>
      <c r="P4889">
        <v>13</v>
      </c>
      <c r="Q4889" t="s">
        <v>10126</v>
      </c>
    </row>
    <row r="4890" spans="1:17" x14ac:dyDescent="0.3">
      <c r="A4890" t="s">
        <v>4729</v>
      </c>
      <c r="B4890" t="str">
        <f>"301128"</f>
        <v>301128</v>
      </c>
      <c r="C4890" t="s">
        <v>10127</v>
      </c>
      <c r="D4890" t="s">
        <v>741</v>
      </c>
      <c r="F4890">
        <v>819945399</v>
      </c>
      <c r="G4890">
        <v>271294644</v>
      </c>
      <c r="H4890">
        <v>205853134</v>
      </c>
      <c r="I4890">
        <v>81478673</v>
      </c>
      <c r="J4890">
        <v>39413843</v>
      </c>
      <c r="P4890">
        <v>12</v>
      </c>
      <c r="Q4890" t="s">
        <v>10128</v>
      </c>
    </row>
    <row r="4891" spans="1:17" x14ac:dyDescent="0.3">
      <c r="A4891" t="s">
        <v>4729</v>
      </c>
      <c r="B4891" t="str">
        <f>"301129"</f>
        <v>301129</v>
      </c>
      <c r="C4891" t="s">
        <v>10129</v>
      </c>
      <c r="D4891" t="s">
        <v>2566</v>
      </c>
      <c r="F4891">
        <v>1489670655</v>
      </c>
      <c r="G4891">
        <v>397441430</v>
      </c>
      <c r="H4891">
        <v>266129198</v>
      </c>
      <c r="I4891">
        <v>155332377</v>
      </c>
      <c r="J4891">
        <v>131194361</v>
      </c>
      <c r="P4891">
        <v>22</v>
      </c>
      <c r="Q4891" t="s">
        <v>10130</v>
      </c>
    </row>
    <row r="4892" spans="1:17" x14ac:dyDescent="0.3">
      <c r="A4892" t="s">
        <v>4729</v>
      </c>
      <c r="B4892" t="str">
        <f>"301130"</f>
        <v>301130</v>
      </c>
      <c r="C4892" t="s">
        <v>10131</v>
      </c>
      <c r="F4892">
        <v>524138056</v>
      </c>
      <c r="G4892">
        <v>472118964</v>
      </c>
      <c r="H4892">
        <v>446617711</v>
      </c>
      <c r="I4892">
        <v>410185128</v>
      </c>
      <c r="J4892">
        <v>380945511</v>
      </c>
      <c r="P4892">
        <v>7</v>
      </c>
      <c r="Q4892" t="s">
        <v>10132</v>
      </c>
    </row>
    <row r="4893" spans="1:17" x14ac:dyDescent="0.3">
      <c r="A4893" t="s">
        <v>4729</v>
      </c>
      <c r="B4893" t="str">
        <f>"301131"</f>
        <v>301131</v>
      </c>
      <c r="C4893" t="s">
        <v>10133</v>
      </c>
      <c r="F4893">
        <v>456384495</v>
      </c>
      <c r="G4893">
        <v>392012173</v>
      </c>
      <c r="H4893">
        <v>327487827</v>
      </c>
      <c r="I4893">
        <v>290228996</v>
      </c>
      <c r="J4893">
        <v>247106467</v>
      </c>
      <c r="P4893">
        <v>4</v>
      </c>
      <c r="Q4893" t="s">
        <v>10134</v>
      </c>
    </row>
    <row r="4894" spans="1:17" x14ac:dyDescent="0.3">
      <c r="A4894" t="s">
        <v>4729</v>
      </c>
      <c r="B4894" t="str">
        <f>"301133"</f>
        <v>301133</v>
      </c>
      <c r="C4894" t="s">
        <v>10135</v>
      </c>
      <c r="D4894" t="s">
        <v>191</v>
      </c>
      <c r="F4894">
        <v>794266903</v>
      </c>
      <c r="G4894">
        <v>426287142</v>
      </c>
      <c r="H4894">
        <v>372857401</v>
      </c>
      <c r="I4894">
        <v>322122269</v>
      </c>
      <c r="J4894">
        <v>269075284</v>
      </c>
      <c r="P4894">
        <v>15</v>
      </c>
      <c r="Q4894" t="s">
        <v>10136</v>
      </c>
    </row>
    <row r="4895" spans="1:17" x14ac:dyDescent="0.3">
      <c r="A4895" t="s">
        <v>4729</v>
      </c>
      <c r="B4895" t="str">
        <f>"301135"</f>
        <v>301135</v>
      </c>
      <c r="C4895" t="s">
        <v>10137</v>
      </c>
      <c r="F4895">
        <v>545422206</v>
      </c>
      <c r="G4895">
        <v>484816528</v>
      </c>
      <c r="H4895">
        <v>351489936</v>
      </c>
      <c r="I4895">
        <v>301575661</v>
      </c>
      <c r="J4895">
        <v>271869815</v>
      </c>
      <c r="P4895">
        <v>1</v>
      </c>
      <c r="Q4895" t="s">
        <v>10138</v>
      </c>
    </row>
    <row r="4896" spans="1:17" x14ac:dyDescent="0.3">
      <c r="A4896" t="s">
        <v>4729</v>
      </c>
      <c r="B4896" t="str">
        <f>"301136"</f>
        <v>301136</v>
      </c>
      <c r="C4896" t="s">
        <v>10139</v>
      </c>
      <c r="D4896" t="s">
        <v>1272</v>
      </c>
      <c r="F4896">
        <v>817864234</v>
      </c>
      <c r="G4896">
        <v>767531941</v>
      </c>
      <c r="H4896">
        <v>740409361</v>
      </c>
      <c r="I4896">
        <v>787017757</v>
      </c>
      <c r="J4896">
        <v>393225266</v>
      </c>
      <c r="P4896">
        <v>9</v>
      </c>
      <c r="Q4896" t="s">
        <v>10140</v>
      </c>
    </row>
    <row r="4897" spans="1:17" x14ac:dyDescent="0.3">
      <c r="A4897" t="s">
        <v>4729</v>
      </c>
      <c r="B4897" t="str">
        <f>"301137"</f>
        <v>301137</v>
      </c>
      <c r="C4897" t="s">
        <v>10141</v>
      </c>
      <c r="F4897">
        <v>623288686</v>
      </c>
      <c r="G4897">
        <v>543924108</v>
      </c>
      <c r="H4897">
        <v>546770211</v>
      </c>
      <c r="I4897">
        <v>509990302</v>
      </c>
      <c r="J4897">
        <v>457815173</v>
      </c>
      <c r="P4897">
        <v>3</v>
      </c>
      <c r="Q4897" t="s">
        <v>10142</v>
      </c>
    </row>
    <row r="4898" spans="1:17" x14ac:dyDescent="0.3">
      <c r="A4898" t="s">
        <v>4729</v>
      </c>
      <c r="B4898" t="str">
        <f>"301138"</f>
        <v>301138</v>
      </c>
      <c r="C4898" t="s">
        <v>10143</v>
      </c>
      <c r="D4898" t="s">
        <v>741</v>
      </c>
      <c r="F4898">
        <v>1099743804</v>
      </c>
      <c r="G4898">
        <v>325506161</v>
      </c>
      <c r="H4898">
        <v>270999043</v>
      </c>
      <c r="I4898">
        <v>239916518</v>
      </c>
      <c r="J4898">
        <v>197348864</v>
      </c>
      <c r="P4898">
        <v>16</v>
      </c>
      <c r="Q4898" t="s">
        <v>10144</v>
      </c>
    </row>
    <row r="4899" spans="1:17" x14ac:dyDescent="0.3">
      <c r="A4899" t="s">
        <v>4729</v>
      </c>
      <c r="B4899" t="str">
        <f>"301148"</f>
        <v>301148</v>
      </c>
      <c r="C4899" t="s">
        <v>10145</v>
      </c>
      <c r="F4899">
        <v>681654373</v>
      </c>
      <c r="G4899">
        <v>521319025</v>
      </c>
      <c r="H4899">
        <v>377183343</v>
      </c>
      <c r="I4899">
        <v>117584052</v>
      </c>
      <c r="J4899">
        <v>57607246</v>
      </c>
      <c r="P4899">
        <v>1</v>
      </c>
      <c r="Q4899" t="s">
        <v>10146</v>
      </c>
    </row>
    <row r="4900" spans="1:17" x14ac:dyDescent="0.3">
      <c r="A4900" t="s">
        <v>4729</v>
      </c>
      <c r="B4900" t="str">
        <f>"301149"</f>
        <v>301149</v>
      </c>
      <c r="C4900" t="s">
        <v>10147</v>
      </c>
      <c r="D4900" t="s">
        <v>386</v>
      </c>
      <c r="F4900">
        <v>1538317132</v>
      </c>
      <c r="G4900">
        <v>692820467</v>
      </c>
      <c r="H4900">
        <v>579104002</v>
      </c>
      <c r="I4900">
        <v>480616490</v>
      </c>
      <c r="J4900">
        <v>428457478</v>
      </c>
      <c r="P4900">
        <v>17</v>
      </c>
      <c r="Q4900" t="s">
        <v>10148</v>
      </c>
    </row>
    <row r="4901" spans="1:17" x14ac:dyDescent="0.3">
      <c r="A4901" t="s">
        <v>4729</v>
      </c>
      <c r="B4901" t="str">
        <f>"301150"</f>
        <v>301150</v>
      </c>
      <c r="C4901" t="s">
        <v>10149</v>
      </c>
      <c r="F4901">
        <v>1052110886</v>
      </c>
      <c r="G4901">
        <v>670715918</v>
      </c>
      <c r="H4901">
        <v>546741999</v>
      </c>
      <c r="I4901">
        <v>391003644</v>
      </c>
      <c r="J4901">
        <v>295118800</v>
      </c>
      <c r="P4901">
        <v>7</v>
      </c>
      <c r="Q4901" t="s">
        <v>10150</v>
      </c>
    </row>
    <row r="4902" spans="1:17" x14ac:dyDescent="0.3">
      <c r="A4902" t="s">
        <v>4729</v>
      </c>
      <c r="B4902" t="str">
        <f>"301151"</f>
        <v>301151</v>
      </c>
      <c r="C4902" t="s">
        <v>10151</v>
      </c>
      <c r="F4902">
        <v>773554120</v>
      </c>
      <c r="G4902">
        <v>581094865</v>
      </c>
      <c r="H4902">
        <v>337276313</v>
      </c>
      <c r="I4902">
        <v>241482748</v>
      </c>
      <c r="J4902">
        <v>111550090</v>
      </c>
      <c r="P4902">
        <v>5</v>
      </c>
      <c r="Q4902" t="s">
        <v>10152</v>
      </c>
    </row>
    <row r="4903" spans="1:17" x14ac:dyDescent="0.3">
      <c r="A4903" t="s">
        <v>4729</v>
      </c>
      <c r="B4903" t="str">
        <f>"301153"</f>
        <v>301153</v>
      </c>
      <c r="C4903" t="s">
        <v>10153</v>
      </c>
      <c r="F4903">
        <v>555069774</v>
      </c>
      <c r="G4903">
        <v>399016827</v>
      </c>
      <c r="H4903">
        <v>313441295</v>
      </c>
      <c r="I4903">
        <v>242284892</v>
      </c>
      <c r="J4903">
        <v>192484405</v>
      </c>
      <c r="Q4903" t="s">
        <v>10154</v>
      </c>
    </row>
    <row r="4904" spans="1:17" x14ac:dyDescent="0.3">
      <c r="A4904" t="s">
        <v>4729</v>
      </c>
      <c r="B4904" t="str">
        <f>"301155"</f>
        <v>301155</v>
      </c>
      <c r="C4904" t="s">
        <v>10155</v>
      </c>
      <c r="D4904" t="s">
        <v>950</v>
      </c>
      <c r="F4904">
        <v>5333105037</v>
      </c>
      <c r="G4904">
        <v>1096984574</v>
      </c>
      <c r="H4904">
        <v>481550062</v>
      </c>
      <c r="I4904">
        <v>225919353</v>
      </c>
      <c r="J4904">
        <v>189921342</v>
      </c>
      <c r="P4904">
        <v>40</v>
      </c>
      <c r="Q4904" t="s">
        <v>10156</v>
      </c>
    </row>
    <row r="4905" spans="1:17" x14ac:dyDescent="0.3">
      <c r="A4905" t="s">
        <v>4729</v>
      </c>
      <c r="B4905" t="str">
        <f>"301158"</f>
        <v>301158</v>
      </c>
      <c r="C4905" t="s">
        <v>10157</v>
      </c>
      <c r="D4905" t="s">
        <v>395</v>
      </c>
      <c r="F4905">
        <v>654801828</v>
      </c>
      <c r="G4905">
        <v>605958829</v>
      </c>
      <c r="H4905">
        <v>559362696</v>
      </c>
      <c r="I4905">
        <v>508335540</v>
      </c>
      <c r="J4905">
        <v>469805224</v>
      </c>
      <c r="P4905">
        <v>12</v>
      </c>
      <c r="Q4905" t="s">
        <v>10158</v>
      </c>
    </row>
    <row r="4906" spans="1:17" x14ac:dyDescent="0.3">
      <c r="A4906" t="s">
        <v>4729</v>
      </c>
      <c r="B4906" t="str">
        <f>"301159"</f>
        <v>301159</v>
      </c>
      <c r="C4906" t="s">
        <v>10159</v>
      </c>
      <c r="D4906" t="s">
        <v>945</v>
      </c>
      <c r="F4906">
        <v>892870947</v>
      </c>
      <c r="G4906">
        <v>322172845</v>
      </c>
      <c r="H4906">
        <v>269666829</v>
      </c>
      <c r="I4906">
        <v>93026497</v>
      </c>
      <c r="J4906">
        <v>45342296</v>
      </c>
      <c r="P4906">
        <v>10</v>
      </c>
      <c r="Q4906" t="s">
        <v>10160</v>
      </c>
    </row>
    <row r="4907" spans="1:17" x14ac:dyDescent="0.3">
      <c r="A4907" t="s">
        <v>4729</v>
      </c>
      <c r="B4907" t="str">
        <f>"301162"</f>
        <v>301162</v>
      </c>
      <c r="C4907" t="s">
        <v>10161</v>
      </c>
      <c r="F4907">
        <v>246350041</v>
      </c>
      <c r="G4907">
        <v>187174249</v>
      </c>
      <c r="H4907">
        <v>133589678</v>
      </c>
      <c r="I4907">
        <v>73694351</v>
      </c>
      <c r="J4907">
        <v>53102112</v>
      </c>
      <c r="P4907">
        <v>2</v>
      </c>
      <c r="Q4907" t="s">
        <v>10162</v>
      </c>
    </row>
    <row r="4908" spans="1:17" x14ac:dyDescent="0.3">
      <c r="A4908" t="s">
        <v>4729</v>
      </c>
      <c r="B4908" t="str">
        <f>"301163"</f>
        <v>301163</v>
      </c>
      <c r="C4908" t="s">
        <v>10163</v>
      </c>
      <c r="F4908">
        <v>567394001</v>
      </c>
      <c r="G4908">
        <v>501736279</v>
      </c>
      <c r="H4908">
        <v>425349338</v>
      </c>
      <c r="I4908">
        <v>389285268</v>
      </c>
      <c r="J4908">
        <v>346179924</v>
      </c>
      <c r="P4908">
        <v>3</v>
      </c>
      <c r="Q4908" t="s">
        <v>10164</v>
      </c>
    </row>
    <row r="4909" spans="1:17" x14ac:dyDescent="0.3">
      <c r="A4909" t="s">
        <v>4729</v>
      </c>
      <c r="B4909" t="str">
        <f>"301166"</f>
        <v>301166</v>
      </c>
      <c r="C4909" t="s">
        <v>10165</v>
      </c>
      <c r="D4909" t="s">
        <v>1379</v>
      </c>
      <c r="F4909">
        <v>2088255081</v>
      </c>
      <c r="G4909">
        <v>404790482</v>
      </c>
      <c r="H4909">
        <v>329373719</v>
      </c>
      <c r="I4909">
        <v>191349689</v>
      </c>
      <c r="J4909">
        <v>151136692</v>
      </c>
      <c r="P4909">
        <v>21</v>
      </c>
      <c r="Q4909" t="s">
        <v>10166</v>
      </c>
    </row>
    <row r="4910" spans="1:17" x14ac:dyDescent="0.3">
      <c r="A4910" t="s">
        <v>4729</v>
      </c>
      <c r="B4910" t="str">
        <f>"301167"</f>
        <v>301167</v>
      </c>
      <c r="C4910" t="s">
        <v>10167</v>
      </c>
      <c r="D4910" t="s">
        <v>1272</v>
      </c>
      <c r="F4910">
        <v>837920978</v>
      </c>
      <c r="G4910">
        <v>302773717</v>
      </c>
      <c r="H4910">
        <v>300016857</v>
      </c>
      <c r="I4910">
        <v>257073365</v>
      </c>
      <c r="J4910">
        <v>221174157</v>
      </c>
      <c r="P4910">
        <v>17</v>
      </c>
      <c r="Q4910" t="s">
        <v>10168</v>
      </c>
    </row>
    <row r="4911" spans="1:17" x14ac:dyDescent="0.3">
      <c r="A4911" t="s">
        <v>4729</v>
      </c>
      <c r="B4911" t="str">
        <f>"301168"</f>
        <v>301168</v>
      </c>
      <c r="C4911" t="s">
        <v>10169</v>
      </c>
      <c r="D4911" t="s">
        <v>478</v>
      </c>
      <c r="F4911">
        <v>1837471911</v>
      </c>
      <c r="G4911">
        <v>699824836</v>
      </c>
      <c r="H4911">
        <v>603444498</v>
      </c>
      <c r="I4911">
        <v>509455331</v>
      </c>
      <c r="J4911">
        <v>498790620</v>
      </c>
      <c r="P4911">
        <v>14</v>
      </c>
      <c r="Q4911" t="s">
        <v>10170</v>
      </c>
    </row>
    <row r="4912" spans="1:17" x14ac:dyDescent="0.3">
      <c r="A4912" t="s">
        <v>4729</v>
      </c>
      <c r="B4912" t="str">
        <f>"301169"</f>
        <v>301169</v>
      </c>
      <c r="C4912" t="s">
        <v>10171</v>
      </c>
      <c r="D4912" t="s">
        <v>9832</v>
      </c>
      <c r="F4912">
        <v>686166097</v>
      </c>
      <c r="G4912">
        <v>347616970</v>
      </c>
      <c r="H4912">
        <v>312313153</v>
      </c>
      <c r="I4912">
        <v>271167329</v>
      </c>
      <c r="J4912">
        <v>251512375</v>
      </c>
      <c r="P4912">
        <v>15</v>
      </c>
      <c r="Q4912" t="s">
        <v>10172</v>
      </c>
    </row>
    <row r="4913" spans="1:17" x14ac:dyDescent="0.3">
      <c r="A4913" t="s">
        <v>4729</v>
      </c>
      <c r="B4913" t="str">
        <f>"301177"</f>
        <v>301177</v>
      </c>
      <c r="C4913" t="s">
        <v>10173</v>
      </c>
      <c r="D4913" t="s">
        <v>1238</v>
      </c>
      <c r="F4913">
        <v>6866575701</v>
      </c>
      <c r="G4913">
        <v>1118352287</v>
      </c>
      <c r="H4913">
        <v>669268370</v>
      </c>
      <c r="I4913">
        <v>489147790</v>
      </c>
      <c r="J4913">
        <v>358086917</v>
      </c>
      <c r="P4913">
        <v>30</v>
      </c>
      <c r="Q4913" t="s">
        <v>10174</v>
      </c>
    </row>
    <row r="4914" spans="1:17" x14ac:dyDescent="0.3">
      <c r="A4914" t="s">
        <v>4729</v>
      </c>
      <c r="B4914" t="str">
        <f>"301178"</f>
        <v>301178</v>
      </c>
      <c r="C4914" t="s">
        <v>10175</v>
      </c>
      <c r="D4914" t="s">
        <v>316</v>
      </c>
      <c r="F4914">
        <v>818790589</v>
      </c>
      <c r="G4914">
        <v>252972412</v>
      </c>
      <c r="H4914">
        <v>212238026</v>
      </c>
      <c r="I4914">
        <v>192477495</v>
      </c>
      <c r="J4914">
        <v>173155347</v>
      </c>
      <c r="P4914">
        <v>15</v>
      </c>
      <c r="Q4914" t="s">
        <v>10176</v>
      </c>
    </row>
    <row r="4915" spans="1:17" x14ac:dyDescent="0.3">
      <c r="A4915" t="s">
        <v>4729</v>
      </c>
      <c r="B4915" t="str">
        <f>"301179"</f>
        <v>301179</v>
      </c>
      <c r="C4915" t="s">
        <v>10177</v>
      </c>
      <c r="D4915" t="s">
        <v>610</v>
      </c>
      <c r="F4915">
        <v>2003648367</v>
      </c>
      <c r="G4915">
        <v>479241582</v>
      </c>
      <c r="H4915">
        <v>348181060</v>
      </c>
      <c r="I4915">
        <v>227024058</v>
      </c>
      <c r="J4915">
        <v>198392507</v>
      </c>
      <c r="P4915">
        <v>17</v>
      </c>
      <c r="Q4915" t="s">
        <v>10178</v>
      </c>
    </row>
    <row r="4916" spans="1:17" x14ac:dyDescent="0.3">
      <c r="A4916" t="s">
        <v>4729</v>
      </c>
      <c r="B4916" t="str">
        <f>"301180"</f>
        <v>301180</v>
      </c>
      <c r="C4916" t="s">
        <v>10179</v>
      </c>
      <c r="D4916" t="s">
        <v>313</v>
      </c>
      <c r="F4916">
        <v>1143796679</v>
      </c>
      <c r="G4916">
        <v>530819687</v>
      </c>
      <c r="H4916">
        <v>411864910</v>
      </c>
      <c r="I4916">
        <v>243410437</v>
      </c>
      <c r="J4916">
        <v>324954245</v>
      </c>
      <c r="P4916">
        <v>15</v>
      </c>
      <c r="Q4916" t="s">
        <v>10180</v>
      </c>
    </row>
    <row r="4917" spans="1:17" x14ac:dyDescent="0.3">
      <c r="A4917" t="s">
        <v>4729</v>
      </c>
      <c r="B4917" t="str">
        <f>"301181"</f>
        <v>301181</v>
      </c>
      <c r="C4917" t="s">
        <v>10181</v>
      </c>
      <c r="F4917">
        <v>407377790</v>
      </c>
      <c r="G4917">
        <v>306022239</v>
      </c>
      <c r="H4917">
        <v>276369542</v>
      </c>
      <c r="I4917">
        <v>204356355</v>
      </c>
      <c r="J4917">
        <v>162731075</v>
      </c>
      <c r="P4917">
        <v>5</v>
      </c>
      <c r="Q4917" t="s">
        <v>10182</v>
      </c>
    </row>
    <row r="4918" spans="1:17" x14ac:dyDescent="0.3">
      <c r="A4918" t="s">
        <v>4729</v>
      </c>
      <c r="B4918" t="str">
        <f>"301182"</f>
        <v>301182</v>
      </c>
      <c r="C4918" t="s">
        <v>10183</v>
      </c>
      <c r="D4918" t="s">
        <v>313</v>
      </c>
      <c r="F4918">
        <v>971506622</v>
      </c>
      <c r="G4918">
        <v>336508342</v>
      </c>
      <c r="H4918">
        <v>302987667</v>
      </c>
      <c r="I4918">
        <v>221605285</v>
      </c>
      <c r="J4918">
        <v>169597655</v>
      </c>
      <c r="P4918">
        <v>11</v>
      </c>
      <c r="Q4918" t="s">
        <v>10184</v>
      </c>
    </row>
    <row r="4919" spans="1:17" x14ac:dyDescent="0.3">
      <c r="A4919" t="s">
        <v>4729</v>
      </c>
      <c r="B4919" t="str">
        <f>"301185"</f>
        <v>301185</v>
      </c>
      <c r="C4919" t="s">
        <v>10185</v>
      </c>
      <c r="D4919" t="s">
        <v>316</v>
      </c>
      <c r="F4919">
        <v>952396078</v>
      </c>
      <c r="G4919">
        <v>453068528</v>
      </c>
      <c r="H4919">
        <v>438616201</v>
      </c>
      <c r="I4919">
        <v>409852211</v>
      </c>
      <c r="J4919">
        <v>154962677</v>
      </c>
      <c r="P4919">
        <v>20</v>
      </c>
      <c r="Q4919" t="s">
        <v>10186</v>
      </c>
    </row>
    <row r="4920" spans="1:17" x14ac:dyDescent="0.3">
      <c r="A4920" t="s">
        <v>4729</v>
      </c>
      <c r="B4920" t="str">
        <f>"301186"</f>
        <v>301186</v>
      </c>
      <c r="C4920" t="s">
        <v>10187</v>
      </c>
      <c r="D4920" t="s">
        <v>985</v>
      </c>
      <c r="F4920">
        <v>1101261150</v>
      </c>
      <c r="G4920">
        <v>605083938</v>
      </c>
      <c r="H4920">
        <v>538676849</v>
      </c>
      <c r="I4920">
        <v>493900690</v>
      </c>
      <c r="J4920">
        <v>407164716</v>
      </c>
      <c r="P4920">
        <v>10</v>
      </c>
      <c r="Q4920" t="s">
        <v>10188</v>
      </c>
    </row>
    <row r="4921" spans="1:17" x14ac:dyDescent="0.3">
      <c r="A4921" t="s">
        <v>4729</v>
      </c>
      <c r="B4921" t="str">
        <f>"301187"</f>
        <v>301187</v>
      </c>
      <c r="C4921" t="s">
        <v>10189</v>
      </c>
      <c r="F4921">
        <v>489204074</v>
      </c>
      <c r="G4921">
        <v>375294114</v>
      </c>
      <c r="H4921">
        <v>268386342</v>
      </c>
      <c r="I4921">
        <v>233976342</v>
      </c>
      <c r="J4921">
        <v>202278828</v>
      </c>
      <c r="P4921">
        <v>1</v>
      </c>
      <c r="Q4921" t="s">
        <v>10190</v>
      </c>
    </row>
    <row r="4922" spans="1:17" x14ac:dyDescent="0.3">
      <c r="A4922" t="s">
        <v>4729</v>
      </c>
      <c r="B4922" t="str">
        <f>"301188"</f>
        <v>301188</v>
      </c>
      <c r="C4922" t="s">
        <v>10191</v>
      </c>
      <c r="D4922" t="s">
        <v>2445</v>
      </c>
      <c r="F4922">
        <v>1360896593</v>
      </c>
      <c r="G4922">
        <v>551496132</v>
      </c>
      <c r="H4922">
        <v>461075287</v>
      </c>
      <c r="I4922">
        <v>355796639</v>
      </c>
      <c r="J4922">
        <v>345540892</v>
      </c>
      <c r="P4922">
        <v>18</v>
      </c>
      <c r="Q4922" t="s">
        <v>10192</v>
      </c>
    </row>
    <row r="4923" spans="1:17" x14ac:dyDescent="0.3">
      <c r="A4923" t="s">
        <v>4729</v>
      </c>
      <c r="B4923" t="str">
        <f>"301189"</f>
        <v>301189</v>
      </c>
      <c r="C4923" t="s">
        <v>10193</v>
      </c>
      <c r="D4923" t="s">
        <v>3526</v>
      </c>
      <c r="F4923">
        <v>2272486275</v>
      </c>
      <c r="G4923">
        <v>348115482</v>
      </c>
      <c r="H4923">
        <v>106148940</v>
      </c>
      <c r="I4923">
        <v>57349420</v>
      </c>
      <c r="J4923">
        <v>54086167</v>
      </c>
      <c r="P4923">
        <v>10</v>
      </c>
      <c r="Q4923" t="s">
        <v>10194</v>
      </c>
    </row>
    <row r="4924" spans="1:17" x14ac:dyDescent="0.3">
      <c r="A4924" t="s">
        <v>4729</v>
      </c>
      <c r="B4924" t="str">
        <f>"301190"</f>
        <v>301190</v>
      </c>
      <c r="C4924" t="s">
        <v>10195</v>
      </c>
      <c r="D4924" t="s">
        <v>779</v>
      </c>
      <c r="F4924">
        <v>1974625899</v>
      </c>
      <c r="G4924">
        <v>447385387</v>
      </c>
      <c r="H4924">
        <v>337303872</v>
      </c>
      <c r="I4924">
        <v>271491910</v>
      </c>
      <c r="J4924">
        <v>212080976</v>
      </c>
      <c r="P4924">
        <v>11</v>
      </c>
      <c r="Q4924" t="s">
        <v>10196</v>
      </c>
    </row>
    <row r="4925" spans="1:17" x14ac:dyDescent="0.3">
      <c r="A4925" t="s">
        <v>4729</v>
      </c>
      <c r="B4925" t="str">
        <f>"301193"</f>
        <v>301193</v>
      </c>
      <c r="C4925" t="s">
        <v>10197</v>
      </c>
      <c r="D4925" t="s">
        <v>2445</v>
      </c>
      <c r="F4925">
        <v>1357818144</v>
      </c>
      <c r="G4925">
        <v>458875474</v>
      </c>
      <c r="H4925">
        <v>345869972</v>
      </c>
      <c r="I4925">
        <v>274401130</v>
      </c>
      <c r="J4925">
        <v>263531920</v>
      </c>
      <c r="P4925">
        <v>15</v>
      </c>
      <c r="Q4925" t="s">
        <v>10198</v>
      </c>
    </row>
    <row r="4926" spans="1:17" x14ac:dyDescent="0.3">
      <c r="A4926" t="s">
        <v>4729</v>
      </c>
      <c r="B4926" t="str">
        <f>"301196"</f>
        <v>301196</v>
      </c>
      <c r="C4926" t="s">
        <v>10199</v>
      </c>
      <c r="D4926" t="s">
        <v>1192</v>
      </c>
      <c r="F4926">
        <v>1117772194</v>
      </c>
      <c r="G4926">
        <v>931782995</v>
      </c>
      <c r="H4926">
        <v>710329933</v>
      </c>
      <c r="I4926">
        <v>596930055</v>
      </c>
      <c r="J4926">
        <v>476050518</v>
      </c>
      <c r="P4926">
        <v>7</v>
      </c>
      <c r="Q4926" t="s">
        <v>10200</v>
      </c>
    </row>
    <row r="4927" spans="1:17" x14ac:dyDescent="0.3">
      <c r="A4927" t="s">
        <v>4729</v>
      </c>
      <c r="B4927" t="str">
        <f>"301198"</f>
        <v>301198</v>
      </c>
      <c r="C4927" t="s">
        <v>10201</v>
      </c>
      <c r="D4927" t="s">
        <v>485</v>
      </c>
      <c r="F4927">
        <v>904684972</v>
      </c>
      <c r="G4927">
        <v>360390542</v>
      </c>
      <c r="H4927">
        <v>301567015</v>
      </c>
      <c r="I4927">
        <v>279868665</v>
      </c>
      <c r="J4927">
        <v>128152566</v>
      </c>
      <c r="P4927">
        <v>16</v>
      </c>
      <c r="Q4927" t="s">
        <v>10202</v>
      </c>
    </row>
    <row r="4928" spans="1:17" x14ac:dyDescent="0.3">
      <c r="A4928" t="s">
        <v>4729</v>
      </c>
      <c r="B4928" t="str">
        <f>"301199"</f>
        <v>301199</v>
      </c>
      <c r="C4928" t="s">
        <v>10203</v>
      </c>
      <c r="D4928" t="s">
        <v>2938</v>
      </c>
      <c r="F4928">
        <v>1733930322</v>
      </c>
      <c r="G4928">
        <v>777775666</v>
      </c>
      <c r="H4928">
        <v>679077148</v>
      </c>
      <c r="I4928">
        <v>577762120</v>
      </c>
      <c r="J4928">
        <v>487676255</v>
      </c>
      <c r="K4928">
        <v>329787764</v>
      </c>
      <c r="P4928">
        <v>10</v>
      </c>
      <c r="Q4928" t="s">
        <v>10204</v>
      </c>
    </row>
    <row r="4929" spans="1:17" x14ac:dyDescent="0.3">
      <c r="A4929" t="s">
        <v>4729</v>
      </c>
      <c r="B4929" t="str">
        <f>"301200"</f>
        <v>301200</v>
      </c>
      <c r="C4929" t="s">
        <v>10205</v>
      </c>
      <c r="F4929">
        <v>2388235830</v>
      </c>
      <c r="G4929">
        <v>1828833694</v>
      </c>
      <c r="H4929">
        <v>1386930745</v>
      </c>
      <c r="I4929">
        <v>1304293141</v>
      </c>
      <c r="P4929">
        <v>13</v>
      </c>
      <c r="Q4929" t="s">
        <v>10206</v>
      </c>
    </row>
    <row r="4930" spans="1:17" x14ac:dyDescent="0.3">
      <c r="A4930" t="s">
        <v>4729</v>
      </c>
      <c r="B4930" t="str">
        <f>"301201"</f>
        <v>301201</v>
      </c>
      <c r="C4930" t="s">
        <v>10207</v>
      </c>
      <c r="D4930" t="s">
        <v>1461</v>
      </c>
      <c r="F4930">
        <v>529243641</v>
      </c>
      <c r="G4930">
        <v>458062945</v>
      </c>
      <c r="H4930">
        <v>356143668</v>
      </c>
      <c r="I4930">
        <v>279523202</v>
      </c>
      <c r="J4930">
        <v>272813113</v>
      </c>
      <c r="P4930">
        <v>18</v>
      </c>
      <c r="Q4930" t="s">
        <v>10208</v>
      </c>
    </row>
    <row r="4931" spans="1:17" x14ac:dyDescent="0.3">
      <c r="A4931" t="s">
        <v>4729</v>
      </c>
      <c r="B4931" t="str">
        <f>"301206"</f>
        <v>301206</v>
      </c>
      <c r="C4931" t="s">
        <v>10209</v>
      </c>
      <c r="F4931">
        <v>1045328565</v>
      </c>
      <c r="G4931">
        <v>509913556</v>
      </c>
      <c r="H4931">
        <v>348154745</v>
      </c>
      <c r="I4931">
        <v>179516040</v>
      </c>
      <c r="J4931">
        <v>115806831</v>
      </c>
      <c r="P4931">
        <v>24</v>
      </c>
      <c r="Q4931" t="s">
        <v>10210</v>
      </c>
    </row>
    <row r="4932" spans="1:17" x14ac:dyDescent="0.3">
      <c r="A4932" t="s">
        <v>4729</v>
      </c>
      <c r="B4932" t="str">
        <f>"301207"</f>
        <v>301207</v>
      </c>
      <c r="C4932" t="s">
        <v>10211</v>
      </c>
      <c r="F4932">
        <v>2808092496</v>
      </c>
      <c r="G4932">
        <v>2187133655</v>
      </c>
      <c r="H4932">
        <v>1262224525</v>
      </c>
      <c r="I4932">
        <v>886926805</v>
      </c>
      <c r="J4932">
        <v>616778987</v>
      </c>
      <c r="P4932">
        <v>19</v>
      </c>
      <c r="Q4932" t="s">
        <v>10212</v>
      </c>
    </row>
    <row r="4933" spans="1:17" x14ac:dyDescent="0.3">
      <c r="A4933" t="s">
        <v>4729</v>
      </c>
      <c r="B4933" t="str">
        <f>"301211"</f>
        <v>301211</v>
      </c>
      <c r="C4933" t="s">
        <v>10213</v>
      </c>
      <c r="D4933" t="s">
        <v>496</v>
      </c>
      <c r="F4933">
        <v>2222775540</v>
      </c>
      <c r="G4933">
        <v>700393830</v>
      </c>
      <c r="H4933">
        <v>488249905</v>
      </c>
      <c r="I4933">
        <v>286092390</v>
      </c>
      <c r="J4933">
        <v>237607619</v>
      </c>
      <c r="P4933">
        <v>14</v>
      </c>
      <c r="Q4933" t="s">
        <v>10214</v>
      </c>
    </row>
    <row r="4934" spans="1:17" x14ac:dyDescent="0.3">
      <c r="A4934" t="s">
        <v>4729</v>
      </c>
      <c r="B4934" t="str">
        <f>"301212"</f>
        <v>301212</v>
      </c>
      <c r="C4934" t="s">
        <v>10215</v>
      </c>
      <c r="F4934">
        <v>425575775</v>
      </c>
      <c r="G4934">
        <v>338514778</v>
      </c>
      <c r="H4934">
        <v>255589195</v>
      </c>
      <c r="I4934">
        <v>225499130</v>
      </c>
      <c r="J4934">
        <v>179824786</v>
      </c>
      <c r="P4934">
        <v>3</v>
      </c>
      <c r="Q4934" t="s">
        <v>10216</v>
      </c>
    </row>
    <row r="4935" spans="1:17" x14ac:dyDescent="0.3">
      <c r="A4935" t="s">
        <v>4729</v>
      </c>
      <c r="B4935" t="str">
        <f>"301213"</f>
        <v>301213</v>
      </c>
      <c r="C4935" t="s">
        <v>10217</v>
      </c>
      <c r="D4935" t="s">
        <v>1136</v>
      </c>
      <c r="F4935">
        <v>816291046</v>
      </c>
      <c r="G4935">
        <v>188899859</v>
      </c>
      <c r="H4935">
        <v>132345640</v>
      </c>
      <c r="I4935">
        <v>60712426</v>
      </c>
      <c r="J4935">
        <v>23453905</v>
      </c>
      <c r="P4935">
        <v>16</v>
      </c>
      <c r="Q4935" t="s">
        <v>10218</v>
      </c>
    </row>
    <row r="4936" spans="1:17" x14ac:dyDescent="0.3">
      <c r="A4936" t="s">
        <v>4729</v>
      </c>
      <c r="B4936" t="str">
        <f>"301215"</f>
        <v>301215</v>
      </c>
      <c r="C4936" t="s">
        <v>10219</v>
      </c>
      <c r="F4936">
        <v>1428577824</v>
      </c>
      <c r="G4936">
        <v>1336413310</v>
      </c>
      <c r="H4936">
        <v>1236279865</v>
      </c>
      <c r="I4936">
        <v>1093124245</v>
      </c>
      <c r="J4936">
        <v>956821994</v>
      </c>
      <c r="P4936">
        <v>7</v>
      </c>
      <c r="Q4936" t="s">
        <v>10220</v>
      </c>
    </row>
    <row r="4937" spans="1:17" x14ac:dyDescent="0.3">
      <c r="A4937" t="s">
        <v>4729</v>
      </c>
      <c r="B4937" t="str">
        <f>"301216"</f>
        <v>301216</v>
      </c>
      <c r="C4937" t="s">
        <v>10221</v>
      </c>
      <c r="F4937">
        <v>1790246690</v>
      </c>
      <c r="G4937">
        <v>1347650764</v>
      </c>
      <c r="H4937">
        <v>1217377227</v>
      </c>
      <c r="I4937">
        <v>750225681</v>
      </c>
      <c r="J4937">
        <v>506243826</v>
      </c>
      <c r="P4937">
        <v>6</v>
      </c>
      <c r="Q4937" t="s">
        <v>10222</v>
      </c>
    </row>
    <row r="4938" spans="1:17" x14ac:dyDescent="0.3">
      <c r="A4938" t="s">
        <v>4729</v>
      </c>
      <c r="B4938" t="str">
        <f>"301217"</f>
        <v>301217</v>
      </c>
      <c r="C4938" t="s">
        <v>10223</v>
      </c>
      <c r="F4938">
        <v>2075594626</v>
      </c>
      <c r="G4938">
        <v>1706745868</v>
      </c>
      <c r="H4938">
        <v>1579744280</v>
      </c>
      <c r="I4938">
        <v>1482839343</v>
      </c>
      <c r="J4938">
        <v>1382686427</v>
      </c>
      <c r="P4938">
        <v>16</v>
      </c>
      <c r="Q4938" t="s">
        <v>10224</v>
      </c>
    </row>
    <row r="4939" spans="1:17" x14ac:dyDescent="0.3">
      <c r="A4939" t="s">
        <v>4729</v>
      </c>
      <c r="B4939" t="str">
        <f>"301218"</f>
        <v>301218</v>
      </c>
      <c r="C4939" t="s">
        <v>10225</v>
      </c>
      <c r="F4939">
        <v>337614499</v>
      </c>
      <c r="G4939">
        <v>277616926</v>
      </c>
      <c r="H4939">
        <v>223802138</v>
      </c>
      <c r="I4939">
        <v>154911975</v>
      </c>
      <c r="J4939">
        <v>128767693</v>
      </c>
      <c r="P4939">
        <v>8</v>
      </c>
      <c r="Q4939" t="s">
        <v>10226</v>
      </c>
    </row>
    <row r="4940" spans="1:17" x14ac:dyDescent="0.3">
      <c r="A4940" t="s">
        <v>4729</v>
      </c>
      <c r="B4940" t="str">
        <f>"301219"</f>
        <v>301219</v>
      </c>
      <c r="C4940" t="s">
        <v>10227</v>
      </c>
      <c r="F4940">
        <v>3324975455</v>
      </c>
      <c r="G4940">
        <v>2199822278</v>
      </c>
      <c r="H4940">
        <v>1334509363</v>
      </c>
      <c r="I4940">
        <v>1213458056</v>
      </c>
      <c r="J4940">
        <v>806066695</v>
      </c>
      <c r="P4940">
        <v>8</v>
      </c>
      <c r="Q4940" t="s">
        <v>10228</v>
      </c>
    </row>
    <row r="4941" spans="1:17" x14ac:dyDescent="0.3">
      <c r="A4941" t="s">
        <v>4729</v>
      </c>
      <c r="B4941" t="str">
        <f>"301221"</f>
        <v>301221</v>
      </c>
      <c r="C4941" t="s">
        <v>10229</v>
      </c>
      <c r="D4941" t="s">
        <v>1415</v>
      </c>
      <c r="F4941">
        <v>1979496230</v>
      </c>
      <c r="G4941">
        <v>443116227</v>
      </c>
      <c r="H4941">
        <v>390581856</v>
      </c>
      <c r="I4941">
        <v>345487687</v>
      </c>
      <c r="J4941">
        <v>251527037</v>
      </c>
      <c r="P4941">
        <v>16</v>
      </c>
      <c r="Q4941" t="s">
        <v>10230</v>
      </c>
    </row>
    <row r="4942" spans="1:17" x14ac:dyDescent="0.3">
      <c r="A4942" t="s">
        <v>4729</v>
      </c>
      <c r="B4942" t="str">
        <f>"301222"</f>
        <v>301222</v>
      </c>
      <c r="C4942" t="s">
        <v>10231</v>
      </c>
      <c r="F4942">
        <v>440364422</v>
      </c>
      <c r="G4942">
        <v>351078465</v>
      </c>
      <c r="H4942">
        <v>303580248</v>
      </c>
      <c r="I4942">
        <v>291096768</v>
      </c>
      <c r="J4942">
        <v>253937120</v>
      </c>
      <c r="P4942">
        <v>4</v>
      </c>
      <c r="Q4942" t="s">
        <v>10232</v>
      </c>
    </row>
    <row r="4943" spans="1:17" x14ac:dyDescent="0.3">
      <c r="A4943" t="s">
        <v>4729</v>
      </c>
      <c r="B4943" t="str">
        <f>"301226"</f>
        <v>301226</v>
      </c>
      <c r="C4943" t="s">
        <v>10233</v>
      </c>
      <c r="F4943">
        <v>443863071</v>
      </c>
      <c r="G4943">
        <v>381451946</v>
      </c>
      <c r="H4943">
        <v>346396042</v>
      </c>
      <c r="I4943">
        <v>311058583</v>
      </c>
      <c r="J4943">
        <v>258154391</v>
      </c>
      <c r="P4943">
        <v>4</v>
      </c>
      <c r="Q4943" t="s">
        <v>10234</v>
      </c>
    </row>
    <row r="4944" spans="1:17" x14ac:dyDescent="0.3">
      <c r="A4944" t="s">
        <v>4729</v>
      </c>
      <c r="B4944" t="str">
        <f>"301228"</f>
        <v>301228</v>
      </c>
      <c r="C4944" t="s">
        <v>10235</v>
      </c>
      <c r="F4944">
        <v>424897989</v>
      </c>
      <c r="G4944">
        <v>375810661</v>
      </c>
      <c r="H4944">
        <v>326290672</v>
      </c>
      <c r="I4944">
        <v>141442240</v>
      </c>
      <c r="J4944">
        <v>75294590</v>
      </c>
      <c r="P4944">
        <v>11</v>
      </c>
      <c r="Q4944" t="s">
        <v>10236</v>
      </c>
    </row>
    <row r="4945" spans="1:17" x14ac:dyDescent="0.3">
      <c r="A4945" t="s">
        <v>4729</v>
      </c>
      <c r="B4945" t="str">
        <f>"301229"</f>
        <v>301229</v>
      </c>
      <c r="C4945" t="s">
        <v>10237</v>
      </c>
      <c r="F4945">
        <v>429652544</v>
      </c>
      <c r="G4945">
        <v>372385076</v>
      </c>
      <c r="H4945">
        <v>309527020</v>
      </c>
      <c r="I4945">
        <v>192109595</v>
      </c>
      <c r="J4945">
        <v>138268371</v>
      </c>
      <c r="P4945">
        <v>6</v>
      </c>
      <c r="Q4945" t="s">
        <v>10238</v>
      </c>
    </row>
    <row r="4946" spans="1:17" x14ac:dyDescent="0.3">
      <c r="A4946" t="s">
        <v>4729</v>
      </c>
      <c r="B4946" t="str">
        <f>"301235"</f>
        <v>301235</v>
      </c>
      <c r="C4946" t="s">
        <v>10239</v>
      </c>
      <c r="F4946">
        <v>592061371</v>
      </c>
      <c r="G4946">
        <v>510699843</v>
      </c>
      <c r="H4946">
        <v>458095006</v>
      </c>
      <c r="I4946">
        <v>399408032</v>
      </c>
      <c r="J4946">
        <v>369692326</v>
      </c>
      <c r="P4946">
        <v>11</v>
      </c>
      <c r="Q4946" t="s">
        <v>10240</v>
      </c>
    </row>
    <row r="4947" spans="1:17" x14ac:dyDescent="0.3">
      <c r="A4947" t="s">
        <v>4729</v>
      </c>
      <c r="B4947" t="str">
        <f>"301236"</f>
        <v>301236</v>
      </c>
      <c r="C4947" t="s">
        <v>10241</v>
      </c>
      <c r="F4947">
        <v>5078404421</v>
      </c>
      <c r="G4947">
        <v>4117741669</v>
      </c>
      <c r="H4947">
        <v>3317585660</v>
      </c>
      <c r="I4947">
        <v>2620341367</v>
      </c>
      <c r="J4947">
        <v>2301043978</v>
      </c>
      <c r="P4947">
        <v>4</v>
      </c>
      <c r="Q4947" t="s">
        <v>10242</v>
      </c>
    </row>
    <row r="4948" spans="1:17" x14ac:dyDescent="0.3">
      <c r="A4948" t="s">
        <v>4729</v>
      </c>
      <c r="B4948" t="str">
        <f>"301237"</f>
        <v>301237</v>
      </c>
      <c r="C4948" t="s">
        <v>10243</v>
      </c>
      <c r="F4948">
        <v>472390522</v>
      </c>
      <c r="G4948">
        <v>348695141</v>
      </c>
      <c r="H4948">
        <v>274520754</v>
      </c>
      <c r="I4948">
        <v>169662313</v>
      </c>
      <c r="J4948">
        <v>147343176</v>
      </c>
      <c r="P4948">
        <v>6</v>
      </c>
      <c r="Q4948" t="s">
        <v>10244</v>
      </c>
    </row>
    <row r="4949" spans="1:17" x14ac:dyDescent="0.3">
      <c r="A4949" t="s">
        <v>4729</v>
      </c>
      <c r="B4949" t="str">
        <f>"301248"</f>
        <v>301248</v>
      </c>
      <c r="C4949" t="s">
        <v>10245</v>
      </c>
      <c r="F4949">
        <v>623665687</v>
      </c>
      <c r="G4949">
        <v>518514158</v>
      </c>
      <c r="H4949">
        <v>435851870</v>
      </c>
      <c r="I4949">
        <v>228340690</v>
      </c>
      <c r="J4949">
        <v>182928557</v>
      </c>
      <c r="P4949">
        <v>2</v>
      </c>
      <c r="Q4949" t="s">
        <v>10246</v>
      </c>
    </row>
    <row r="4950" spans="1:17" x14ac:dyDescent="0.3">
      <c r="A4950" t="s">
        <v>4729</v>
      </c>
      <c r="B4950" t="str">
        <f>"301256"</f>
        <v>301256</v>
      </c>
      <c r="C4950" t="s">
        <v>10247</v>
      </c>
      <c r="F4950">
        <v>654069041</v>
      </c>
      <c r="G4950">
        <v>552488216</v>
      </c>
      <c r="H4950">
        <v>421730838</v>
      </c>
      <c r="I4950">
        <v>416669208</v>
      </c>
      <c r="J4950">
        <v>723855656</v>
      </c>
      <c r="P4950">
        <v>3</v>
      </c>
      <c r="Q4950" t="s">
        <v>10248</v>
      </c>
    </row>
    <row r="4951" spans="1:17" x14ac:dyDescent="0.3">
      <c r="A4951" t="s">
        <v>4729</v>
      </c>
      <c r="B4951" t="str">
        <f>"301257"</f>
        <v>301257</v>
      </c>
      <c r="C4951" t="s">
        <v>10249</v>
      </c>
      <c r="F4951">
        <v>228843138</v>
      </c>
      <c r="G4951">
        <v>164956652</v>
      </c>
      <c r="H4951">
        <v>125192325</v>
      </c>
      <c r="I4951">
        <v>69641950</v>
      </c>
      <c r="J4951">
        <v>37929839</v>
      </c>
      <c r="Q4951" t="s">
        <v>10250</v>
      </c>
    </row>
    <row r="4952" spans="1:17" x14ac:dyDescent="0.3">
      <c r="A4952" t="s">
        <v>4729</v>
      </c>
      <c r="B4952" t="str">
        <f>"301258"</f>
        <v>301258</v>
      </c>
      <c r="C4952" t="s">
        <v>10251</v>
      </c>
      <c r="F4952">
        <v>742839395</v>
      </c>
      <c r="G4952">
        <v>622637979</v>
      </c>
      <c r="H4952">
        <v>581960199</v>
      </c>
      <c r="I4952">
        <v>445767133</v>
      </c>
      <c r="J4952">
        <v>352498649</v>
      </c>
      <c r="P4952">
        <v>4</v>
      </c>
      <c r="Q4952" t="s">
        <v>10252</v>
      </c>
    </row>
    <row r="4953" spans="1:17" x14ac:dyDescent="0.3">
      <c r="A4953" t="s">
        <v>4729</v>
      </c>
      <c r="B4953" t="str">
        <f>"301259"</f>
        <v>301259</v>
      </c>
      <c r="C4953" t="s">
        <v>10253</v>
      </c>
      <c r="F4953">
        <v>369040377</v>
      </c>
      <c r="G4953">
        <v>297979205</v>
      </c>
      <c r="H4953">
        <v>240294835</v>
      </c>
      <c r="I4953">
        <v>148533949</v>
      </c>
      <c r="J4953">
        <v>108156174</v>
      </c>
      <c r="P4953">
        <v>0</v>
      </c>
      <c r="Q4953" t="s">
        <v>10254</v>
      </c>
    </row>
    <row r="4954" spans="1:17" x14ac:dyDescent="0.3">
      <c r="A4954" t="s">
        <v>4729</v>
      </c>
      <c r="B4954" t="str">
        <f>"301263"</f>
        <v>301263</v>
      </c>
      <c r="C4954" t="s">
        <v>10255</v>
      </c>
      <c r="F4954">
        <v>709958987</v>
      </c>
      <c r="G4954">
        <v>589716438</v>
      </c>
      <c r="H4954">
        <v>496389097</v>
      </c>
      <c r="I4954">
        <v>519168638</v>
      </c>
      <c r="J4954">
        <v>444671828</v>
      </c>
      <c r="P4954">
        <v>5</v>
      </c>
      <c r="Q4954" t="s">
        <v>10256</v>
      </c>
    </row>
    <row r="4955" spans="1:17" x14ac:dyDescent="0.3">
      <c r="A4955" t="s">
        <v>4729</v>
      </c>
      <c r="B4955" t="str">
        <f>"301268"</f>
        <v>301268</v>
      </c>
      <c r="C4955" t="s">
        <v>10257</v>
      </c>
      <c r="F4955">
        <v>797903954</v>
      </c>
      <c r="G4955">
        <v>645024827</v>
      </c>
      <c r="H4955">
        <v>483984964</v>
      </c>
      <c r="I4955">
        <v>408403414</v>
      </c>
      <c r="J4955">
        <v>184721817</v>
      </c>
      <c r="P4955">
        <v>2</v>
      </c>
      <c r="Q4955" t="s">
        <v>10258</v>
      </c>
    </row>
    <row r="4956" spans="1:17" x14ac:dyDescent="0.3">
      <c r="A4956" t="s">
        <v>4729</v>
      </c>
      <c r="B4956" t="str">
        <f>"301279"</f>
        <v>301279</v>
      </c>
      <c r="C4956" t="s">
        <v>10259</v>
      </c>
      <c r="F4956">
        <v>531628740</v>
      </c>
      <c r="G4956">
        <v>452076762</v>
      </c>
      <c r="H4956">
        <v>380821753</v>
      </c>
      <c r="I4956">
        <v>329004393</v>
      </c>
      <c r="J4956">
        <v>279728906</v>
      </c>
      <c r="P4956">
        <v>5</v>
      </c>
      <c r="Q4956" t="s">
        <v>10260</v>
      </c>
    </row>
    <row r="4957" spans="1:17" x14ac:dyDescent="0.3">
      <c r="A4957" t="s">
        <v>4729</v>
      </c>
      <c r="B4957" t="str">
        <f>"301288"</f>
        <v>301288</v>
      </c>
      <c r="C4957" t="s">
        <v>10261</v>
      </c>
      <c r="F4957">
        <v>361755672</v>
      </c>
      <c r="G4957">
        <v>279333610</v>
      </c>
      <c r="H4957">
        <v>86192209</v>
      </c>
      <c r="I4957">
        <v>43096074</v>
      </c>
      <c r="P4957">
        <v>4</v>
      </c>
      <c r="Q4957" t="s">
        <v>10262</v>
      </c>
    </row>
    <row r="4959" spans="1:17" x14ac:dyDescent="0.3">
      <c r="A4959" t="s">
        <v>10263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筛选器_大陆_20220502_012948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ChaosongYao 姚超松</dc:creator>
  <cp:lastModifiedBy>Midea</cp:lastModifiedBy>
  <dcterms:created xsi:type="dcterms:W3CDTF">2022-05-01T17:30:35Z</dcterms:created>
  <dcterms:modified xsi:type="dcterms:W3CDTF">2022-05-01T17:30:35Z</dcterms:modified>
</cp:coreProperties>
</file>