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B46123E-A572-4461-B300-116F94DCEEF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140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<sst xmlns="http://schemas.openxmlformats.org/spreadsheetml/2006/main" count="19434" uniqueCount="10215">
  <si>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</si>
  <si>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</si>
  <si>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</si>
  <si>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</si>
  <si>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经营活动产生的现金流量净额 累积 2022-03-31 (元)</t>
  </si>
  <si>
    <t>经营活动产生的现金流量净额 累积 2021-03-31 (元)</t>
  </si>
  <si>
    <t>经营活动产生的现金流量净额 累积 2020-03-31 (元)</t>
  </si>
  <si>
    <t>经营活动产生的现金流量净额 累积 2019-03-31 (元)</t>
  </si>
  <si>
    <t>经营活动产生的现金流量净额 累积 2018-03-31 (元)</t>
  </si>
  <si>
    <t>经营活动产生的现金流量净额 累积 2017-03-31 (元)</t>
  </si>
  <si>
    <t>经营活动产生的现金流量净额 累积 2016-03-31 (元)</t>
  </si>
  <si>
    <t>经营活动产生的现金流量净额 累积 2015-03-31 (元)</t>
  </si>
  <si>
    <t>经营活动产生的现金流量净额 累积 2014-03-31 (元)</t>
  </si>
  <si>
    <t>经营活动产生的现金流量净额 累积 2013-03-31 (元)</t>
  </si>
  <si>
    <t>经营活动产生的现金流量净额 累积 2012-03-31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</si>
  <si>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</si>
  <si>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</si>
  <si>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</si>
  <si>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</si>
  <si>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</si>
  <si>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</si>
  <si>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</si>
  <si>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</si>
  <si>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</si>
  <si>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</si>
  <si>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中国平安</t>
  </si>
  <si>
    <t>保险</t>
  </si>
  <si>
    <t>www.lixinger.com/analytics/company/sh/601318/601318/detail</t>
  </si>
  <si>
    <t>中国人寿</t>
  </si>
  <si>
    <t>www.lixinger.com/analytics/company/sh/601628/601628/detail</t>
  </si>
  <si>
    <t>江苏银行</t>
  </si>
  <si>
    <t>城商行</t>
  </si>
  <si>
    <t>www.lixinger.com/analytics/company/sh/600919/600919/detail</t>
  </si>
  <si>
    <t>sz</t>
  </si>
  <si>
    <t>宁波银行</t>
  </si>
  <si>
    <t>www.lixinger.com/analytics/company/sz/002142/2142/detail</t>
  </si>
  <si>
    <t>平安银行</t>
  </si>
  <si>
    <t>股份制银行</t>
  </si>
  <si>
    <t>www.lixinger.com/analytics/company/sz/000001/1/detail</t>
  </si>
  <si>
    <t>邮储银行</t>
  </si>
  <si>
    <t>www.lixinger.com/analytics/company/sh/601658/601658/detail</t>
  </si>
  <si>
    <t>民生银行</t>
  </si>
  <si>
    <t>www.lixinger.com/analytics/company/sh/600016/600016/detail</t>
  </si>
  <si>
    <t>交通银行</t>
  </si>
  <si>
    <t>www.lixinger.com/analytics/company/sh/601328/601328/detail</t>
  </si>
  <si>
    <t>中国石油</t>
  </si>
  <si>
    <t>炼油化工</t>
  </si>
  <si>
    <t>www.lixinger.com/analytics/company/sh/601857/601857/detail</t>
  </si>
  <si>
    <t>中国移动</t>
  </si>
  <si>
    <t>电信运营商</t>
  </si>
  <si>
    <t>www.lixinger.com/analytics/company/sh/600941/600941/detail</t>
  </si>
  <si>
    <t>中信证券</t>
  </si>
  <si>
    <t>证券</t>
  </si>
  <si>
    <t>www.lixinger.com/analytics/company/sh/600030/600030/detail</t>
  </si>
  <si>
    <t>中远海控</t>
  </si>
  <si>
    <t>航运</t>
  </si>
  <si>
    <t>www.lixinger.com/analytics/company/sh/601919/601919/detail</t>
  </si>
  <si>
    <t>渝农商行</t>
  </si>
  <si>
    <t>农商行</t>
  </si>
  <si>
    <t>www.lixinger.com/analytics/company/sh/601077/601077/detail</t>
  </si>
  <si>
    <t>中国太保</t>
  </si>
  <si>
    <t>www.lixinger.com/analytics/company/sh/601601/601601/detail</t>
  </si>
  <si>
    <t>浙商银行</t>
  </si>
  <si>
    <t>www.lixinger.com/analytics/company/sh/601916/601916/detail</t>
  </si>
  <si>
    <t>沪农商行</t>
  </si>
  <si>
    <t>www.lixinger.com/analytics/company/sh/601825/601825/detail</t>
  </si>
  <si>
    <t>中国海油</t>
  </si>
  <si>
    <t>www.lixinger.com/analytics/company/sh/600938/600938/detail</t>
  </si>
  <si>
    <t>华夏银行</t>
  </si>
  <si>
    <t>www.lixinger.com/analytics/company/sh/600015/600015/detail</t>
  </si>
  <si>
    <t>新华保险</t>
  </si>
  <si>
    <t>www.lixinger.com/analytics/company/sh/601336/601336/detail</t>
  </si>
  <si>
    <t>上海银行</t>
  </si>
  <si>
    <t>www.lixinger.com/analytics/company/sh/601229/601229/detail</t>
  </si>
  <si>
    <t>中信银行</t>
  </si>
  <si>
    <t>www.lixinger.com/analytics/company/sh/601998/601998/detail</t>
  </si>
  <si>
    <t>中国神华</t>
  </si>
  <si>
    <t>动力煤</t>
  </si>
  <si>
    <t>www.lixinger.com/analytics/company/sh/601088/601088/detail</t>
  </si>
  <si>
    <t>中国电信</t>
  </si>
  <si>
    <t>www.lixinger.com/analytics/company/sh/601728/601728/detail</t>
  </si>
  <si>
    <t>中国人保</t>
  </si>
  <si>
    <t>www.lixinger.com/analytics/company/sh/601319/601319/detail</t>
  </si>
  <si>
    <t>东吴证券</t>
  </si>
  <si>
    <t>www.lixinger.com/analytics/company/sh/601555/601555/detail</t>
  </si>
  <si>
    <t>招商证券</t>
  </si>
  <si>
    <t>www.lixinger.com/analytics/company/sh/600999/600999/detail</t>
  </si>
  <si>
    <t>光大证券</t>
  </si>
  <si>
    <t>www.lixinger.com/analytics/company/sh/601788/601788/detail</t>
  </si>
  <si>
    <t>荣盛石化</t>
  </si>
  <si>
    <t>www.lixinger.com/analytics/company/sz/002493/2493/detail</t>
  </si>
  <si>
    <t>京东方Ｂ</t>
  </si>
  <si>
    <t>www.lixinger.com/analytics/company/sz/200725/200725/detail</t>
  </si>
  <si>
    <t>国泰君安</t>
  </si>
  <si>
    <t>www.lixinger.com/analytics/company/sh/601211/601211/detail</t>
  </si>
  <si>
    <t>中国银河</t>
  </si>
  <si>
    <t>www.lixinger.com/analytics/company/sh/601881/601881/detail</t>
  </si>
  <si>
    <t>紫金银行</t>
  </si>
  <si>
    <t>www.lixinger.com/analytics/company/sh/601860/601860/detail</t>
  </si>
  <si>
    <t>苏州银行</t>
  </si>
  <si>
    <t>www.lixinger.com/analytics/company/sz/002966/2966/detail</t>
  </si>
  <si>
    <t>京东方Ａ</t>
  </si>
  <si>
    <t>面板</t>
  </si>
  <si>
    <t>www.lixinger.com/analytics/company/sz/000725/725/detail</t>
  </si>
  <si>
    <t>中信建投</t>
  </si>
  <si>
    <t>www.lixinger.com/analytics/company/sh/601066/601066/detail</t>
  </si>
  <si>
    <t>中国联通</t>
  </si>
  <si>
    <t>www.lixinger.com/analytics/company/sh/600050/600050/detail</t>
  </si>
  <si>
    <t>广发证券</t>
  </si>
  <si>
    <t>www.lixinger.com/analytics/company/sz/000776/776/detail</t>
  </si>
  <si>
    <t>九安医疗</t>
  </si>
  <si>
    <t>医疗设备</t>
  </si>
  <si>
    <t>www.lixinger.com/analytics/company/sz/002432/2432/detail</t>
  </si>
  <si>
    <t>国投资本</t>
  </si>
  <si>
    <t>金融控股</t>
  </si>
  <si>
    <t>www.lixinger.com/analytics/company/sh/600061/600061/detail</t>
  </si>
  <si>
    <t>比亚迪</t>
  </si>
  <si>
    <t>电动乘用车</t>
  </si>
  <si>
    <t>www.lixinger.com/analytics/company/sz/002594/2594/detail</t>
  </si>
  <si>
    <t>华泰证券</t>
  </si>
  <si>
    <t>www.lixinger.com/analytics/company/sh/601688/601688/detail</t>
  </si>
  <si>
    <t>恒力石化</t>
  </si>
  <si>
    <t>www.lixinger.com/analytics/company/sh/600346/600346/detail</t>
  </si>
  <si>
    <t>中国核电</t>
  </si>
  <si>
    <t>核力发电</t>
  </si>
  <si>
    <t>www.lixinger.com/analytics/company/sh/601985/601985/detail</t>
  </si>
  <si>
    <t>中煤能源</t>
  </si>
  <si>
    <t>www.lixinger.com/analytics/company/sh/601898/601898/detail</t>
  </si>
  <si>
    <t>厦门银行</t>
  </si>
  <si>
    <t>www.lixinger.com/analytics/company/sh/601187/601187/detail</t>
  </si>
  <si>
    <t>宝钢股份</t>
  </si>
  <si>
    <t>板材</t>
  </si>
  <si>
    <t>www.lixinger.com/analytics/company/sh/600019/600019/detail</t>
  </si>
  <si>
    <t>东兴证券</t>
  </si>
  <si>
    <t>www.lixinger.com/analytics/company/sh/601198/601198/detail</t>
  </si>
  <si>
    <t>常熟银行</t>
  </si>
  <si>
    <t>www.lixinger.com/analytics/company/sh/601128/601128/detail</t>
  </si>
  <si>
    <t>申万宏源</t>
  </si>
  <si>
    <t>www.lixinger.com/analytics/company/sz/000166/166/detail</t>
  </si>
  <si>
    <t>中国铝业</t>
  </si>
  <si>
    <t>铝</t>
  </si>
  <si>
    <t>www.lixinger.com/analytics/company/sh/601600/601600/detail</t>
  </si>
  <si>
    <t>华林证券</t>
  </si>
  <si>
    <t>www.lixinger.com/analytics/company/sz/002945/2945/detail</t>
  </si>
  <si>
    <t>华能国际</t>
  </si>
  <si>
    <t>火力发电</t>
  </si>
  <si>
    <t>www.lixinger.com/analytics/company/sh/600011/600011/detail</t>
  </si>
  <si>
    <t>国电电力</t>
  </si>
  <si>
    <t>www.lixinger.com/analytics/company/sh/600795/600795/detail</t>
  </si>
  <si>
    <t>美的集团</t>
  </si>
  <si>
    <t>空调</t>
  </si>
  <si>
    <t>www.lixinger.com/analytics/company/sz/000333/333/detail</t>
  </si>
  <si>
    <t>紫金矿业</t>
  </si>
  <si>
    <t>铜</t>
  </si>
  <si>
    <t>www.lixinger.com/analytics/company/sh/601899/601899/detail</t>
  </si>
  <si>
    <t>宁德时代</t>
  </si>
  <si>
    <t>锂电池</t>
  </si>
  <si>
    <t>www.lixinger.com/analytics/company/sz/300750/300750/detail</t>
  </si>
  <si>
    <t>陕西煤业</t>
  </si>
  <si>
    <t>www.lixinger.com/analytics/company/sh/601225/601225/detail</t>
  </si>
  <si>
    <t>老凤祥</t>
  </si>
  <si>
    <t>钟表珠宝</t>
  </si>
  <si>
    <t>www.lixinger.com/analytics/company/sh/600612/600612/detail</t>
  </si>
  <si>
    <t>中集集团</t>
  </si>
  <si>
    <t>金属制品</t>
  </si>
  <si>
    <t>www.lixinger.com/analytics/company/sz/000039/39/detail</t>
  </si>
  <si>
    <t>华发股份</t>
  </si>
  <si>
    <t>住宅开发</t>
  </si>
  <si>
    <t>www.lixinger.com/analytics/company/sh/600325/600325/detail</t>
  </si>
  <si>
    <t>招商银行</t>
  </si>
  <si>
    <t>www.lixinger.com/analytics/company/sh/600036/600036/detail</t>
  </si>
  <si>
    <t>中泰证券</t>
  </si>
  <si>
    <t>www.lixinger.com/analytics/company/sh/600918/600918/detail</t>
  </si>
  <si>
    <t>大唐发电</t>
  </si>
  <si>
    <t>www.lixinger.com/analytics/company/sh/601991/601991/detail</t>
  </si>
  <si>
    <t>国金证券</t>
  </si>
  <si>
    <t>www.lixinger.com/analytics/company/sh/600109/600109/detail</t>
  </si>
  <si>
    <t>长江证券</t>
  </si>
  <si>
    <t>www.lixinger.com/analytics/company/sz/000783/783/detail</t>
  </si>
  <si>
    <t>渤海租赁</t>
  </si>
  <si>
    <t>租赁</t>
  </si>
  <si>
    <t>www.lixinger.com/analytics/company/sz/000415/415/detail</t>
  </si>
  <si>
    <t>顺丰控股</t>
  </si>
  <si>
    <t>快递</t>
  </si>
  <si>
    <t>www.lixinger.com/analytics/company/sz/002352/2352/detail</t>
  </si>
  <si>
    <t>中金公司</t>
  </si>
  <si>
    <t>www.lixinger.com/analytics/company/sh/601995/601995/detail</t>
  </si>
  <si>
    <t>盐湖股份</t>
  </si>
  <si>
    <t>钾肥</t>
  </si>
  <si>
    <t>www.lixinger.com/analytics/company/sz/000792/792/detail</t>
  </si>
  <si>
    <t>中粮资本</t>
  </si>
  <si>
    <t>www.lixinger.com/analytics/company/sz/002423/2423/detail</t>
  </si>
  <si>
    <t>中远海发</t>
  </si>
  <si>
    <t>www.lixinger.com/analytics/company/sh/601866/601866/detail</t>
  </si>
  <si>
    <t>万华化学</t>
  </si>
  <si>
    <t>聚氨酯</t>
  </si>
  <si>
    <t>www.lixinger.com/analytics/company/sh/600309/600309/detail</t>
  </si>
  <si>
    <t>华电国际</t>
  </si>
  <si>
    <t>www.lixinger.com/analytics/company/sh/600027/600027/detail</t>
  </si>
  <si>
    <t>华域汽车</t>
  </si>
  <si>
    <t>车身附件及饰件</t>
  </si>
  <si>
    <t>www.lixinger.com/analytics/company/sh/600741/600741/detail</t>
  </si>
  <si>
    <t>中国广核</t>
  </si>
  <si>
    <t>www.lixinger.com/analytics/company/sz/003816/3816/detail</t>
  </si>
  <si>
    <t>长江电力</t>
  </si>
  <si>
    <t>水力发电</t>
  </si>
  <si>
    <t>www.lixinger.com/analytics/company/sh/600900/600900/detail</t>
  </si>
  <si>
    <t>五矿资本</t>
  </si>
  <si>
    <t>www.lixinger.com/analytics/company/sh/600390/600390/detail</t>
  </si>
  <si>
    <t>TCL科技</t>
  </si>
  <si>
    <t>www.lixinger.com/analytics/company/sz/000100/100/detail</t>
  </si>
  <si>
    <t>天齐锂业</t>
  </si>
  <si>
    <t>锂</t>
  </si>
  <si>
    <t>www.lixinger.com/analytics/company/sz/002466/2466/detail</t>
  </si>
  <si>
    <t>国投电力</t>
  </si>
  <si>
    <t>www.lixinger.com/analytics/company/sh/600886/600886/detail</t>
  </si>
  <si>
    <t>中南建设</t>
  </si>
  <si>
    <t>www.lixinger.com/analytics/company/sz/000961/961/detail</t>
  </si>
  <si>
    <t>华西证券</t>
  </si>
  <si>
    <t>www.lixinger.com/analytics/company/sz/002926/2926/detail</t>
  </si>
  <si>
    <t>安旭生物</t>
  </si>
  <si>
    <t>体外诊断</t>
  </si>
  <si>
    <t>www.lixinger.com/analytics/company/sh/688075/688075/detail</t>
  </si>
  <si>
    <t>中天金融</t>
  </si>
  <si>
    <t>www.lixinger.com/analytics/company/sz/000540/540/detail</t>
  </si>
  <si>
    <t>蓝思科技</t>
  </si>
  <si>
    <t>消费电子零部件及组装</t>
  </si>
  <si>
    <t>www.lixinger.com/analytics/company/sz/300433/300433/detail</t>
  </si>
  <si>
    <t>山西汾酒</t>
  </si>
  <si>
    <t>白酒</t>
  </si>
  <si>
    <t>www.lixinger.com/analytics/company/sh/600809/600809/detail</t>
  </si>
  <si>
    <t>古井贡Ｂ</t>
  </si>
  <si>
    <t>www.lixinger.com/analytics/company/sz/200596/200596/detail</t>
  </si>
  <si>
    <t>格力电器</t>
  </si>
  <si>
    <t>www.lixinger.com/analytics/company/sz/000651/651/detail</t>
  </si>
  <si>
    <t>北大荒</t>
  </si>
  <si>
    <t>粮食种植</t>
  </si>
  <si>
    <t>www.lixinger.com/analytics/company/sh/600598/600598/detail</t>
  </si>
  <si>
    <t>鹏鼎控股</t>
  </si>
  <si>
    <t>印制电路板</t>
  </si>
  <si>
    <t>www.lixinger.com/analytics/company/sz/002938/2938/detail</t>
  </si>
  <si>
    <t>通威股份</t>
  </si>
  <si>
    <t>硅料硅片</t>
  </si>
  <si>
    <t>www.lixinger.com/analytics/company/sh/600438/600438/detail</t>
  </si>
  <si>
    <t>湖北能源</t>
  </si>
  <si>
    <t>电能综合服务</t>
  </si>
  <si>
    <t>www.lixinger.com/analytics/company/sz/000883/883/detail</t>
  </si>
  <si>
    <t>中船防务</t>
  </si>
  <si>
    <t>航海装备</t>
  </si>
  <si>
    <t>www.lixinger.com/analytics/company/sh/600685/600685/detail</t>
  </si>
  <si>
    <t>中银证券</t>
  </si>
  <si>
    <t>www.lixinger.com/analytics/company/sh/601696/601696/detail</t>
  </si>
  <si>
    <t>方大特钢</t>
  </si>
  <si>
    <t>特钢</t>
  </si>
  <si>
    <t>www.lixinger.com/analytics/company/sh/600507/600507/detail</t>
  </si>
  <si>
    <t>北京银行</t>
  </si>
  <si>
    <t>www.lixinger.com/analytics/company/sh/601169/601169/detail</t>
  </si>
  <si>
    <t>河钢股份</t>
  </si>
  <si>
    <t>www.lixinger.com/analytics/company/sz/000709/709/detail</t>
  </si>
  <si>
    <t>海螺水泥</t>
  </si>
  <si>
    <t>水泥制造</t>
  </si>
  <si>
    <t>www.lixinger.com/analytics/company/sh/600585/600585/detail</t>
  </si>
  <si>
    <t>神火股份</t>
  </si>
  <si>
    <t>www.lixinger.com/analytics/company/sz/000933/933/detail</t>
  </si>
  <si>
    <t>山西焦煤</t>
  </si>
  <si>
    <t>焦煤</t>
  </si>
  <si>
    <t>www.lixinger.com/analytics/company/sz/000983/983/detail</t>
  </si>
  <si>
    <t>无锡银行</t>
  </si>
  <si>
    <t>www.lixinger.com/analytics/company/sh/600908/600908/detail</t>
  </si>
  <si>
    <t>古井贡酒</t>
  </si>
  <si>
    <t>www.lixinger.com/analytics/company/sz/000596/596/detail</t>
  </si>
  <si>
    <t>东航物流</t>
  </si>
  <si>
    <t>跨境物流</t>
  </si>
  <si>
    <t>www.lixinger.com/analytics/company/sh/601156/601156/detail</t>
  </si>
  <si>
    <t>绿地控股</t>
  </si>
  <si>
    <t>www.lixinger.com/analytics/company/sh/600606/600606/detail</t>
  </si>
  <si>
    <t>荣安地产</t>
  </si>
  <si>
    <t>www.lixinger.com/analytics/company/sz/000517/517/detail</t>
  </si>
  <si>
    <t>永辉超市</t>
  </si>
  <si>
    <t>超市</t>
  </si>
  <si>
    <t>www.lixinger.com/analytics/company/sh/601933/601933/detail</t>
  </si>
  <si>
    <t>我爱我家</t>
  </si>
  <si>
    <t>房产租赁经纪</t>
  </si>
  <si>
    <t>www.lixinger.com/analytics/company/sz/000560/560/detail</t>
  </si>
  <si>
    <t>龙源电力</t>
  </si>
  <si>
    <t>www.lixinger.com/analytics/company/sz/001289/1289/detail</t>
  </si>
  <si>
    <t>西部矿业</t>
  </si>
  <si>
    <t>www.lixinger.com/analytics/company/sh/601168/601168/detail</t>
  </si>
  <si>
    <t>上港集团</t>
  </si>
  <si>
    <t>港口</t>
  </si>
  <si>
    <t>www.lixinger.com/analytics/company/sh/600018/600018/detail</t>
  </si>
  <si>
    <t>金科股份</t>
  </si>
  <si>
    <t>www.lixinger.com/analytics/company/sz/000656/656/detail</t>
  </si>
  <si>
    <t>江苏国信</t>
  </si>
  <si>
    <t>www.lixinger.com/analytics/company/sz/002608/2608/detail</t>
  </si>
  <si>
    <t>齐鲁银行</t>
  </si>
  <si>
    <t>www.lixinger.com/analytics/company/sh/601665/601665/detail</t>
  </si>
  <si>
    <t>特变电工</t>
  </si>
  <si>
    <t>输变电设备</t>
  </si>
  <si>
    <t>www.lixinger.com/analytics/company/sh/600089/600089/detail</t>
  </si>
  <si>
    <t>华鲁恒升</t>
  </si>
  <si>
    <t>煤化工</t>
  </si>
  <si>
    <t>www.lixinger.com/analytics/company/sh/600426/600426/detail</t>
  </si>
  <si>
    <t>荣盛发展</t>
  </si>
  <si>
    <t>www.lixinger.com/analytics/company/sz/002146/2146/detail</t>
  </si>
  <si>
    <t>财通证券</t>
  </si>
  <si>
    <t>www.lixinger.com/analytics/company/sh/601108/601108/detail</t>
  </si>
  <si>
    <t>潞安环能</t>
  </si>
  <si>
    <t>www.lixinger.com/analytics/company/sh/601699/601699/detail</t>
  </si>
  <si>
    <t>华能水电</t>
  </si>
  <si>
    <t>www.lixinger.com/analytics/company/sh/600025/600025/detail</t>
  </si>
  <si>
    <t>南京证券</t>
  </si>
  <si>
    <t>www.lixinger.com/analytics/company/sh/601990/601990/detail</t>
  </si>
  <si>
    <t>中国电影</t>
  </si>
  <si>
    <t>影视动漫制作</t>
  </si>
  <si>
    <t>www.lixinger.com/analytics/company/sh/600977/600977/detail</t>
  </si>
  <si>
    <t>新城控股</t>
  </si>
  <si>
    <t>商业地产</t>
  </si>
  <si>
    <t>www.lixinger.com/analytics/company/sh/601155/601155/detail</t>
  </si>
  <si>
    <t>三一重工</t>
  </si>
  <si>
    <t>工程机械整机</t>
  </si>
  <si>
    <t>www.lixinger.com/analytics/company/sh/600031/600031/detail</t>
  </si>
  <si>
    <t>广汇能源</t>
  </si>
  <si>
    <t>油品石化贸易</t>
  </si>
  <si>
    <t>www.lixinger.com/analytics/company/sh/600256/600256/detail</t>
  </si>
  <si>
    <t>鞍钢股份</t>
  </si>
  <si>
    <t>www.lixinger.com/analytics/company/sz/000898/898/detail</t>
  </si>
  <si>
    <t>华创阳安</t>
  </si>
  <si>
    <t>www.lixinger.com/analytics/company/sh/600155/600155/detail</t>
  </si>
  <si>
    <t>中国重汽</t>
  </si>
  <si>
    <t>商用载货车</t>
  </si>
  <si>
    <t>www.lixinger.com/analytics/company/sz/000951/951/detail</t>
  </si>
  <si>
    <t>北方稀土</t>
  </si>
  <si>
    <t>稀土</t>
  </si>
  <si>
    <t>www.lixinger.com/analytics/company/sh/600111/600111/detail</t>
  </si>
  <si>
    <t>电投能源</t>
  </si>
  <si>
    <t>www.lixinger.com/analytics/company/sz/002128/2128/detail</t>
  </si>
  <si>
    <t>山煤国际</t>
  </si>
  <si>
    <t>www.lixinger.com/analytics/company/sh/600546/600546/detail</t>
  </si>
  <si>
    <t>淮北矿业</t>
  </si>
  <si>
    <t>www.lixinger.com/analytics/company/sh/600985/600985/detail</t>
  </si>
  <si>
    <t>东方生物</t>
  </si>
  <si>
    <t>www.lixinger.com/analytics/company/sh/688298/688298/detail</t>
  </si>
  <si>
    <t>工业富联</t>
  </si>
  <si>
    <t>www.lixinger.com/analytics/company/sh/601138/601138/detail</t>
  </si>
  <si>
    <t>宁波港</t>
  </si>
  <si>
    <t>www.lixinger.com/analytics/company/sh/601018/601018/detail</t>
  </si>
  <si>
    <t>海油发展</t>
  </si>
  <si>
    <t>油田服务</t>
  </si>
  <si>
    <t>www.lixinger.com/analytics/company/sh/600968/600968/detail</t>
  </si>
  <si>
    <t>爱施德</t>
  </si>
  <si>
    <t>专业连锁</t>
  </si>
  <si>
    <t>www.lixinger.com/analytics/company/sz/002416/2416/detail</t>
  </si>
  <si>
    <t>平煤股份</t>
  </si>
  <si>
    <t>www.lixinger.com/analytics/company/sh/601666/601666/detail</t>
  </si>
  <si>
    <t>中交地产</t>
  </si>
  <si>
    <t>www.lixinger.com/analytics/company/sz/000736/736/detail</t>
  </si>
  <si>
    <t>金龙鱼</t>
  </si>
  <si>
    <t>粮油加工</t>
  </si>
  <si>
    <t>www.lixinger.com/analytics/company/sz/300999/300999/detail</t>
  </si>
  <si>
    <t>环旭电子</t>
  </si>
  <si>
    <t>www.lixinger.com/analytics/company/sh/601231/601231/detail</t>
  </si>
  <si>
    <t>同济科技</t>
  </si>
  <si>
    <t>www.lixinger.com/analytics/company/sh/600846/600846/detail</t>
  </si>
  <si>
    <t>云铝股份</t>
  </si>
  <si>
    <t>www.lixinger.com/analytics/company/sz/000807/807/detail</t>
  </si>
  <si>
    <t>三峡能源</t>
  </si>
  <si>
    <t>风力发电</t>
  </si>
  <si>
    <t>www.lixinger.com/analytics/company/sh/600905/600905/detail</t>
  </si>
  <si>
    <t>长电科技</t>
  </si>
  <si>
    <t>集成电路封测</t>
  </si>
  <si>
    <t>www.lixinger.com/analytics/company/sh/600584/600584/detail</t>
  </si>
  <si>
    <t>马钢股份</t>
  </si>
  <si>
    <t>www.lixinger.com/analytics/company/sh/600808/600808/detail</t>
  </si>
  <si>
    <t>世茂股份</t>
  </si>
  <si>
    <t>www.lixinger.com/analytics/company/sh/600823/600823/detail</t>
  </si>
  <si>
    <t>分众传媒</t>
  </si>
  <si>
    <t>广告媒体</t>
  </si>
  <si>
    <t>www.lixinger.com/analytics/company/sz/002027/2027/detail</t>
  </si>
  <si>
    <t>瑞丰银行</t>
  </si>
  <si>
    <t>www.lixinger.com/analytics/company/sh/601528/601528/detail</t>
  </si>
  <si>
    <t>太钢不锈</t>
  </si>
  <si>
    <t>www.lixinger.com/analytics/company/sz/000825/825/detail</t>
  </si>
  <si>
    <t>桂冠电力</t>
  </si>
  <si>
    <t>www.lixinger.com/analytics/company/sh/600236/600236/detail</t>
  </si>
  <si>
    <t>云天化</t>
  </si>
  <si>
    <t>磷肥及磷化工</t>
  </si>
  <si>
    <t>www.lixinger.com/analytics/company/sh/600096/600096/detail</t>
  </si>
  <si>
    <t>歌尔股份</t>
  </si>
  <si>
    <t>www.lixinger.com/analytics/company/sz/002241/2241/detail</t>
  </si>
  <si>
    <t>盛屯矿业</t>
  </si>
  <si>
    <t>钴</t>
  </si>
  <si>
    <t>www.lixinger.com/analytics/company/sh/600711/600711/detail</t>
  </si>
  <si>
    <t>居然之家</t>
  </si>
  <si>
    <t>商业物业经营</t>
  </si>
  <si>
    <t>www.lixinger.com/analytics/company/sz/000785/785/detail</t>
  </si>
  <si>
    <t>兴业证券</t>
  </si>
  <si>
    <t>www.lixinger.com/analytics/company/sh/601377/601377/detail</t>
  </si>
  <si>
    <t>天山铝业</t>
  </si>
  <si>
    <t>www.lixinger.com/analytics/company/sz/002532/2532/detail</t>
  </si>
  <si>
    <t>宝丰能源</t>
  </si>
  <si>
    <t>www.lixinger.com/analytics/company/sh/600989/600989/detail</t>
  </si>
  <si>
    <t>京沪高铁</t>
  </si>
  <si>
    <t>铁路运输</t>
  </si>
  <si>
    <t>www.lixinger.com/analytics/company/sh/601816/601816/detail</t>
  </si>
  <si>
    <t>深圳能源</t>
  </si>
  <si>
    <t>www.lixinger.com/analytics/company/sz/000027/27/detail</t>
  </si>
  <si>
    <t>福耀玻璃</t>
  </si>
  <si>
    <t>www.lixinger.com/analytics/company/sh/600660/600660/detail</t>
  </si>
  <si>
    <t>中国巨石</t>
  </si>
  <si>
    <t>玻纤制造</t>
  </si>
  <si>
    <t>www.lixinger.com/analytics/company/sh/600176/600176/detail</t>
  </si>
  <si>
    <t>兖矿能源</t>
  </si>
  <si>
    <t>www.lixinger.com/analytics/company/sh/600188/600188/detail</t>
  </si>
  <si>
    <t>浙农股份</t>
  </si>
  <si>
    <t>医药流通</t>
  </si>
  <si>
    <t>www.lixinger.com/analytics/company/sz/002758/2758/detail</t>
  </si>
  <si>
    <t>卫星化学</t>
  </si>
  <si>
    <t>其他化学制品</t>
  </si>
  <si>
    <t>www.lixinger.com/analytics/company/sz/002648/2648/detail</t>
  </si>
  <si>
    <t>大全能源</t>
  </si>
  <si>
    <t>www.lixinger.com/analytics/company/sh/688303/688303/detail</t>
  </si>
  <si>
    <t>铜陵有色</t>
  </si>
  <si>
    <t>www.lixinger.com/analytics/company/sz/000630/630/detail</t>
  </si>
  <si>
    <t>京能电力</t>
  </si>
  <si>
    <t>www.lixinger.com/analytics/company/sh/600578/600578/detail</t>
  </si>
  <si>
    <t>开滦股份</t>
  </si>
  <si>
    <t>焦炭</t>
  </si>
  <si>
    <t>www.lixinger.com/analytics/company/sh/600997/600997/detail</t>
  </si>
  <si>
    <t>苏宁易购</t>
  </si>
  <si>
    <t>综合电商</t>
  </si>
  <si>
    <t>www.lixinger.com/analytics/company/sz/002024/2024/detail</t>
  </si>
  <si>
    <t>兴发集团</t>
  </si>
  <si>
    <t>www.lixinger.com/analytics/company/sh/600141/600141/detail</t>
  </si>
  <si>
    <t>立讯精密</t>
  </si>
  <si>
    <t>www.lixinger.com/analytics/company/sz/002475/2475/detail</t>
  </si>
  <si>
    <t>南山铝业</t>
  </si>
  <si>
    <t>www.lixinger.com/analytics/company/sh/600219/600219/detail</t>
  </si>
  <si>
    <t>新潮能源</t>
  </si>
  <si>
    <t>油气开采</t>
  </si>
  <si>
    <t>www.lixinger.com/analytics/company/sh/600777/600777/detail</t>
  </si>
  <si>
    <t>杭钢股份</t>
  </si>
  <si>
    <t>www.lixinger.com/analytics/company/sh/600126/600126/detail</t>
  </si>
  <si>
    <t>美凯龙</t>
  </si>
  <si>
    <t>www.lixinger.com/analytics/company/sh/601828/601828/detail</t>
  </si>
  <si>
    <t>宋都股份</t>
  </si>
  <si>
    <t>www.lixinger.com/analytics/company/sh/600077/600077/detail</t>
  </si>
  <si>
    <t>三友化工</t>
  </si>
  <si>
    <t>粘胶</t>
  </si>
  <si>
    <t>www.lixinger.com/analytics/company/sh/600409/600409/detail</t>
  </si>
  <si>
    <t>海信视像</t>
  </si>
  <si>
    <t>彩电</t>
  </si>
  <si>
    <t>www.lixinger.com/analytics/company/sh/600060/600060/detail</t>
  </si>
  <si>
    <t>招港B</t>
  </si>
  <si>
    <t>www.lixinger.com/analytics/company/sz/201872/201872/detail</t>
  </si>
  <si>
    <t>鲁西化工</t>
  </si>
  <si>
    <t>www.lixinger.com/analytics/company/sz/000830/830/detail</t>
  </si>
  <si>
    <t>山东高速</t>
  </si>
  <si>
    <t>高速公路</t>
  </si>
  <si>
    <t>www.lixinger.com/analytics/company/sh/600350/600350/detail</t>
  </si>
  <si>
    <t>中兴通讯</t>
  </si>
  <si>
    <t>通信网络设备及器件</t>
  </si>
  <si>
    <t>www.lixinger.com/analytics/company/sz/000063/63/detail</t>
  </si>
  <si>
    <t>步步高</t>
  </si>
  <si>
    <t>www.lixinger.com/analytics/company/sz/002251/2251/detail</t>
  </si>
  <si>
    <t>盛和资源</t>
  </si>
  <si>
    <t>www.lixinger.com/analytics/company/sh/600392/600392/detail</t>
  </si>
  <si>
    <t>兆驰股份</t>
  </si>
  <si>
    <t>www.lixinger.com/analytics/company/sz/002429/2429/detail</t>
  </si>
  <si>
    <t>欣旺达</t>
  </si>
  <si>
    <t>www.lixinger.com/analytics/company/sz/300207/300207/detail</t>
  </si>
  <si>
    <t>江淮汽车</t>
  </si>
  <si>
    <t>www.lixinger.com/analytics/company/sh/600418/600418/detail</t>
  </si>
  <si>
    <t>海尔智家</t>
  </si>
  <si>
    <t>冰洗</t>
  </si>
  <si>
    <t>www.lixinger.com/analytics/company/sh/600690/600690/detail</t>
  </si>
  <si>
    <t>闻泰科技</t>
  </si>
  <si>
    <t>www.lixinger.com/analytics/company/sh/600745/600745/detail</t>
  </si>
  <si>
    <t>赣锋锂业</t>
  </si>
  <si>
    <t>www.lixinger.com/analytics/company/sz/002460/2460/detail</t>
  </si>
  <si>
    <t>重庆啤酒</t>
  </si>
  <si>
    <t>啤酒</t>
  </si>
  <si>
    <t>www.lixinger.com/analytics/company/sh/600132/600132/detail</t>
  </si>
  <si>
    <t>泸州老窖</t>
  </si>
  <si>
    <t>www.lixinger.com/analytics/company/sz/000568/568/detail</t>
  </si>
  <si>
    <t>浙商证券</t>
  </si>
  <si>
    <t>www.lixinger.com/analytics/company/sh/601878/601878/detail</t>
  </si>
  <si>
    <t>宁沪高速</t>
  </si>
  <si>
    <t>www.lixinger.com/analytics/company/sh/600377/600377/detail</t>
  </si>
  <si>
    <t>西安银行</t>
  </si>
  <si>
    <t>www.lixinger.com/analytics/company/sh/600928/600928/detail</t>
  </si>
  <si>
    <t>大秦铁路</t>
  </si>
  <si>
    <t>www.lixinger.com/analytics/company/sh/601006/601006/detail</t>
  </si>
  <si>
    <t>捷成股份</t>
  </si>
  <si>
    <t>www.lixinger.com/analytics/company/sz/300182/300182/detail</t>
  </si>
  <si>
    <t>湖北宜化</t>
  </si>
  <si>
    <t>氯碱</t>
  </si>
  <si>
    <t>www.lixinger.com/analytics/company/sz/000422/422/detail</t>
  </si>
  <si>
    <t>天华超净</t>
  </si>
  <si>
    <t>其他电子</t>
  </si>
  <si>
    <t>www.lixinger.com/analytics/company/sz/300390/300390/detail</t>
  </si>
  <si>
    <t>湘财股份</t>
  </si>
  <si>
    <t>www.lixinger.com/analytics/company/sh/600095/600095/detail</t>
  </si>
  <si>
    <t>永泰能源</t>
  </si>
  <si>
    <t>www.lixinger.com/analytics/company/sh/600157/600157/detail</t>
  </si>
  <si>
    <t>招商轮船</t>
  </si>
  <si>
    <t>www.lixinger.com/analytics/company/sh/601872/601872/detail</t>
  </si>
  <si>
    <t>宝信软件</t>
  </si>
  <si>
    <t>IT服务</t>
  </si>
  <si>
    <t>www.lixinger.com/analytics/company/sh/600845/600845/detail</t>
  </si>
  <si>
    <t>中盐化工</t>
  </si>
  <si>
    <t>无机盐</t>
  </si>
  <si>
    <t>www.lixinger.com/analytics/company/sh/600328/600328/detail</t>
  </si>
  <si>
    <t>太阳纸业</t>
  </si>
  <si>
    <t>大宗用纸</t>
  </si>
  <si>
    <t>www.lixinger.com/analytics/company/sz/002078/2078/detail</t>
  </si>
  <si>
    <t>华润微</t>
  </si>
  <si>
    <t>集成电路制造</t>
  </si>
  <si>
    <t>www.lixinger.com/analytics/company/sh/688396/688396/detail</t>
  </si>
  <si>
    <t>爱尔眼科</t>
  </si>
  <si>
    <t>医院</t>
  </si>
  <si>
    <t>www.lixinger.com/analytics/company/sz/300015/300015/detail</t>
  </si>
  <si>
    <t>亚泰集团</t>
  </si>
  <si>
    <t>综合</t>
  </si>
  <si>
    <t>www.lixinger.com/analytics/company/sh/600881/600881/detail</t>
  </si>
  <si>
    <t>重庆百货</t>
  </si>
  <si>
    <t>多业态零售</t>
  </si>
  <si>
    <t>www.lixinger.com/analytics/company/sh/600729/600729/detail</t>
  </si>
  <si>
    <t>北辰实业</t>
  </si>
  <si>
    <t>www.lixinger.com/analytics/company/sh/601588/601588/detail</t>
  </si>
  <si>
    <t>山东钢铁</t>
  </si>
  <si>
    <t>www.lixinger.com/analytics/company/sh/600022/600022/detail</t>
  </si>
  <si>
    <t>济川药业</t>
  </si>
  <si>
    <t>中药</t>
  </si>
  <si>
    <t>www.lixinger.com/analytics/company/sh/600566/600566/detail</t>
  </si>
  <si>
    <t>韵达股份</t>
  </si>
  <si>
    <t>www.lixinger.com/analytics/company/sz/002120/2120/detail</t>
  </si>
  <si>
    <t>南华期货</t>
  </si>
  <si>
    <t>期货</t>
  </si>
  <si>
    <t>www.lixinger.com/analytics/company/sh/603093/603093/detail</t>
  </si>
  <si>
    <t>招商港口</t>
  </si>
  <si>
    <t>www.lixinger.com/analytics/company/sz/001872/1872/detail</t>
  </si>
  <si>
    <t>皖能电力</t>
  </si>
  <si>
    <t>www.lixinger.com/analytics/company/sz/000543/543/detail</t>
  </si>
  <si>
    <t>爱玛科技</t>
  </si>
  <si>
    <t>其他运输设备</t>
  </si>
  <si>
    <t>www.lixinger.com/analytics/company/sh/603529/603529/detail</t>
  </si>
  <si>
    <t>中信特钢</t>
  </si>
  <si>
    <t>www.lixinger.com/analytics/company/sz/000708/708/detail</t>
  </si>
  <si>
    <t>新天绿能</t>
  </si>
  <si>
    <t>www.lixinger.com/analytics/company/sh/600956/600956/detail</t>
  </si>
  <si>
    <t>圆通速递</t>
  </si>
  <si>
    <t>www.lixinger.com/analytics/company/sh/600233/600233/detail</t>
  </si>
  <si>
    <t>天音控股</t>
  </si>
  <si>
    <t>www.lixinger.com/analytics/company/sz/000829/829/detail</t>
  </si>
  <si>
    <t>德邦股份</t>
  </si>
  <si>
    <t>公路货运</t>
  </si>
  <si>
    <t>www.lixinger.com/analytics/company/sh/603056/603056/detail</t>
  </si>
  <si>
    <t>中环股份</t>
  </si>
  <si>
    <t>www.lixinger.com/analytics/company/sz/002129/2129/detail</t>
  </si>
  <si>
    <t>长安Ｂ</t>
  </si>
  <si>
    <t>www.lixinger.com/analytics/company/sz/200625/200625/detail</t>
  </si>
  <si>
    <t>包钢股份</t>
  </si>
  <si>
    <t>www.lixinger.com/analytics/company/sh/600010/600010/detail</t>
  </si>
  <si>
    <t>张家港行</t>
  </si>
  <si>
    <t>www.lixinger.com/analytics/company/sz/002839/2839/detail</t>
  </si>
  <si>
    <t>藏格矿业</t>
  </si>
  <si>
    <t>www.lixinger.com/analytics/company/sz/000408/408/detail</t>
  </si>
  <si>
    <t>领益智造</t>
  </si>
  <si>
    <t>www.lixinger.com/analytics/company/sz/002600/2600/detail</t>
  </si>
  <si>
    <t>同仁堂</t>
  </si>
  <si>
    <t>www.lixinger.com/analytics/company/sh/600085/600085/detail</t>
  </si>
  <si>
    <t>青岛啤酒</t>
  </si>
  <si>
    <t>www.lixinger.com/analytics/company/sh/600600/600600/detail</t>
  </si>
  <si>
    <t>奥泰生物</t>
  </si>
  <si>
    <t>www.lixinger.com/analytics/company/sh/688606/688606/detail</t>
  </si>
  <si>
    <t>金能科技</t>
  </si>
  <si>
    <t>www.lixinger.com/analytics/company/sh/603113/603113/detail</t>
  </si>
  <si>
    <t>白云山</t>
  </si>
  <si>
    <t>www.lixinger.com/analytics/company/sh/600332/600332/detail</t>
  </si>
  <si>
    <t>海澜之家</t>
  </si>
  <si>
    <t>非运动服装</t>
  </si>
  <si>
    <t>www.lixinger.com/analytics/company/sh/600398/600398/detail</t>
  </si>
  <si>
    <t>中际旭创</t>
  </si>
  <si>
    <t>www.lixinger.com/analytics/company/sz/300308/300308/detail</t>
  </si>
  <si>
    <t>吉电股份</t>
  </si>
  <si>
    <t>www.lixinger.com/analytics/company/sz/000875/875/detail</t>
  </si>
  <si>
    <t>福田汽车</t>
  </si>
  <si>
    <t>www.lixinger.com/analytics/company/sh/600166/600166/detail</t>
  </si>
  <si>
    <t>健康元</t>
  </si>
  <si>
    <t>化学制剂</t>
  </si>
  <si>
    <t>www.lixinger.com/analytics/company/sh/600380/600380/detail</t>
  </si>
  <si>
    <t>迈瑞医疗</t>
  </si>
  <si>
    <t>www.lixinger.com/analytics/company/sz/300760/300760/detail</t>
  </si>
  <si>
    <t>新集能源</t>
  </si>
  <si>
    <t>www.lixinger.com/analytics/company/sh/601918/601918/detail</t>
  </si>
  <si>
    <t>复星医药</t>
  </si>
  <si>
    <t>www.lixinger.com/analytics/company/sh/600196/600196/detail</t>
  </si>
  <si>
    <t>家家悦</t>
  </si>
  <si>
    <t>www.lixinger.com/analytics/company/sh/603708/603708/detail</t>
  </si>
  <si>
    <t>百联股份</t>
  </si>
  <si>
    <t>www.lixinger.com/analytics/company/sh/600827/600827/detail</t>
  </si>
  <si>
    <t>星宇股份</t>
  </si>
  <si>
    <t>汽车电子电气系统</t>
  </si>
  <si>
    <t>www.lixinger.com/analytics/company/sh/601799/601799/detail</t>
  </si>
  <si>
    <t>美锦能源</t>
  </si>
  <si>
    <t>www.lixinger.com/analytics/company/sz/000723/723/detail</t>
  </si>
  <si>
    <t>亿纬锂能</t>
  </si>
  <si>
    <t>www.lixinger.com/analytics/company/sz/300014/300014/detail</t>
  </si>
  <si>
    <t>史丹利</t>
  </si>
  <si>
    <t>复合肥</t>
  </si>
  <si>
    <t>www.lixinger.com/analytics/company/sz/002588/2588/detail</t>
  </si>
  <si>
    <t>兰花科创</t>
  </si>
  <si>
    <t>www.lixinger.com/analytics/company/sh/600123/600123/detail</t>
  </si>
  <si>
    <t>达安基因</t>
  </si>
  <si>
    <t>www.lixinger.com/analytics/company/sz/002030/2030/detail</t>
  </si>
  <si>
    <t>雷电微力</t>
  </si>
  <si>
    <t>军工电子</t>
  </si>
  <si>
    <t>www.lixinger.com/analytics/company/sz/301050/301050/detail</t>
  </si>
  <si>
    <t>东北证券</t>
  </si>
  <si>
    <t>www.lixinger.com/analytics/company/sz/000686/686/detail</t>
  </si>
  <si>
    <t>酒钢宏兴</t>
  </si>
  <si>
    <t>www.lixinger.com/analytics/company/sh/600307/600307/detail</t>
  </si>
  <si>
    <t>安通控股</t>
  </si>
  <si>
    <t>www.lixinger.com/analytics/company/sh/600179/600179/detail</t>
  </si>
  <si>
    <t>苏农银行</t>
  </si>
  <si>
    <t>www.lixinger.com/analytics/company/sh/603323/603323/detail</t>
  </si>
  <si>
    <t>山西证券</t>
  </si>
  <si>
    <t>www.lixinger.com/analytics/company/sz/002500/2500/detail</t>
  </si>
  <si>
    <t>昊华能源</t>
  </si>
  <si>
    <t>www.lixinger.com/analytics/company/sh/601101/601101/detail</t>
  </si>
  <si>
    <t>北方铜业</t>
  </si>
  <si>
    <t>www.lixinger.com/analytics/company/sz/000737/737/detail</t>
  </si>
  <si>
    <t>新湖中宝</t>
  </si>
  <si>
    <t>www.lixinger.com/analytics/company/sh/600208/600208/detail</t>
  </si>
  <si>
    <t>扬农化工</t>
  </si>
  <si>
    <t>农药</t>
  </si>
  <si>
    <t>www.lixinger.com/analytics/company/sh/600486/600486/detail</t>
  </si>
  <si>
    <t>粤高速Ａ</t>
  </si>
  <si>
    <t>www.lixinger.com/analytics/company/sz/000429/429/detail</t>
  </si>
  <si>
    <t>长安汽车</t>
  </si>
  <si>
    <t>综合乘用车</t>
  </si>
  <si>
    <t>www.lixinger.com/analytics/company/sz/000625/625/detail</t>
  </si>
  <si>
    <t>辉隆股份</t>
  </si>
  <si>
    <t>农业综合</t>
  </si>
  <si>
    <t>www.lixinger.com/analytics/company/sz/002556/2556/detail</t>
  </si>
  <si>
    <t>大有能源</t>
  </si>
  <si>
    <t>www.lixinger.com/analytics/company/sh/600403/600403/detail</t>
  </si>
  <si>
    <t>九丰能源</t>
  </si>
  <si>
    <t>燃气</t>
  </si>
  <si>
    <t>www.lixinger.com/analytics/company/sh/605090/605090/detail</t>
  </si>
  <si>
    <t>君正集团</t>
  </si>
  <si>
    <t>www.lixinger.com/analytics/company/sh/601216/601216/detail</t>
  </si>
  <si>
    <t>安阳钢铁</t>
  </si>
  <si>
    <t>www.lixinger.com/analytics/company/sh/600569/600569/detail</t>
  </si>
  <si>
    <t>菜百股份</t>
  </si>
  <si>
    <t>www.lixinger.com/analytics/company/sh/605599/605599/detail</t>
  </si>
  <si>
    <t>广信股份</t>
  </si>
  <si>
    <t>www.lixinger.com/analytics/company/sh/603599/603599/detail</t>
  </si>
  <si>
    <t>燕京啤酒</t>
  </si>
  <si>
    <t>www.lixinger.com/analytics/company/sz/000729/729/detail</t>
  </si>
  <si>
    <t>内蒙华电</t>
  </si>
  <si>
    <t>www.lixinger.com/analytics/company/sh/600863/600863/detail</t>
  </si>
  <si>
    <t>浙江永强</t>
  </si>
  <si>
    <t>成品家居</t>
  </si>
  <si>
    <t>www.lixinger.com/analytics/company/sz/002489/2489/detail</t>
  </si>
  <si>
    <t>上海电力</t>
  </si>
  <si>
    <t>www.lixinger.com/analytics/company/sh/600021/600021/detail</t>
  </si>
  <si>
    <t>梅花生物</t>
  </si>
  <si>
    <t>调味发酵品</t>
  </si>
  <si>
    <t>www.lixinger.com/analytics/company/sh/600873/600873/detail</t>
  </si>
  <si>
    <t>远兴能源</t>
  </si>
  <si>
    <t>纯碱</t>
  </si>
  <si>
    <t>www.lixinger.com/analytics/company/sz/000683/683/detail</t>
  </si>
  <si>
    <t>正泰电器</t>
  </si>
  <si>
    <t>配电设备</t>
  </si>
  <si>
    <t>www.lixinger.com/analytics/company/sh/601877/601877/detail</t>
  </si>
  <si>
    <t>四川成渝</t>
  </si>
  <si>
    <t>www.lixinger.com/analytics/company/sh/601107/601107/detail</t>
  </si>
  <si>
    <t>丽珠集团</t>
  </si>
  <si>
    <t>www.lixinger.com/analytics/company/sz/000513/513/detail</t>
  </si>
  <si>
    <t>中谷物流</t>
  </si>
  <si>
    <t>www.lixinger.com/analytics/company/sh/603565/603565/detail</t>
  </si>
  <si>
    <t>华谊集团</t>
  </si>
  <si>
    <t>www.lixinger.com/analytics/company/sh/600623/600623/detail</t>
  </si>
  <si>
    <t>冠城大通</t>
  </si>
  <si>
    <t>www.lixinger.com/analytics/company/sh/600067/600067/detail</t>
  </si>
  <si>
    <t>博拓生物</t>
  </si>
  <si>
    <t>www.lixinger.com/analytics/company/sh/688767/688767/detail</t>
  </si>
  <si>
    <t>东方日升</t>
  </si>
  <si>
    <t>光伏电池组件</t>
  </si>
  <si>
    <t>www.lixinger.com/analytics/company/sz/300118/300118/detail</t>
  </si>
  <si>
    <t>华孚时尚</t>
  </si>
  <si>
    <t>棉纺</t>
  </si>
  <si>
    <t>www.lixinger.com/analytics/company/sz/002042/2042/detail</t>
  </si>
  <si>
    <t>东方能源</t>
  </si>
  <si>
    <t>www.lixinger.com/analytics/company/sz/000958/958/detail</t>
  </si>
  <si>
    <t>东山精密</t>
  </si>
  <si>
    <t>www.lixinger.com/analytics/company/sz/002384/2384/detail</t>
  </si>
  <si>
    <t>中华企业</t>
  </si>
  <si>
    <t>www.lixinger.com/analytics/company/sh/600675/600675/detail</t>
  </si>
  <si>
    <t>驰宏锌锗</t>
  </si>
  <si>
    <t>铅锌</t>
  </si>
  <si>
    <t>www.lixinger.com/analytics/company/sh/600497/600497/detail</t>
  </si>
  <si>
    <t>鄂尔多斯</t>
  </si>
  <si>
    <t>冶钢辅料</t>
  </si>
  <si>
    <t>www.lixinger.com/analytics/company/sh/600295/600295/detail</t>
  </si>
  <si>
    <t>青岛港</t>
  </si>
  <si>
    <t>www.lixinger.com/analytics/company/sh/601298/601298/detail</t>
  </si>
  <si>
    <t>大参林</t>
  </si>
  <si>
    <t>线下药店</t>
  </si>
  <si>
    <t>www.lixinger.com/analytics/company/sh/603233/603233/detail</t>
  </si>
  <si>
    <t>周大生</t>
  </si>
  <si>
    <t>www.lixinger.com/analytics/company/sz/002867/2867/detail</t>
  </si>
  <si>
    <t>上机数控</t>
  </si>
  <si>
    <t>光伏加工设备</t>
  </si>
  <si>
    <t>www.lixinger.com/analytics/company/sh/603185/603185/detail</t>
  </si>
  <si>
    <t>华银电力</t>
  </si>
  <si>
    <t>www.lixinger.com/analytics/company/sh/600744/600744/detail</t>
  </si>
  <si>
    <t>锡业股份</t>
  </si>
  <si>
    <t>其他小金属</t>
  </si>
  <si>
    <t>www.lixinger.com/analytics/company/sz/000960/960/detail</t>
  </si>
  <si>
    <t>益丰药房</t>
  </si>
  <si>
    <t>www.lixinger.com/analytics/company/sh/603939/603939/detail</t>
  </si>
  <si>
    <t>中国西电</t>
  </si>
  <si>
    <t>www.lixinger.com/analytics/company/sh/601179/601179/detail</t>
  </si>
  <si>
    <t>冀中能源</t>
  </si>
  <si>
    <t>www.lixinger.com/analytics/company/sz/000937/937/detail</t>
  </si>
  <si>
    <t>新安股份</t>
  </si>
  <si>
    <t>有机硅</t>
  </si>
  <si>
    <t>www.lixinger.com/analytics/company/sh/600596/600596/detail</t>
  </si>
  <si>
    <t>齐翔腾达</t>
  </si>
  <si>
    <t>其他石化</t>
  </si>
  <si>
    <t>www.lixinger.com/analytics/company/sz/002408/2408/detail</t>
  </si>
  <si>
    <t>闰土股份</t>
  </si>
  <si>
    <t>纺织化学制品</t>
  </si>
  <si>
    <t>www.lixinger.com/analytics/company/sz/002440/2440/detail</t>
  </si>
  <si>
    <t>唐山港</t>
  </si>
  <si>
    <t>www.lixinger.com/analytics/company/sh/601000/601000/detail</t>
  </si>
  <si>
    <t>龙大美食</t>
  </si>
  <si>
    <t>肉制品</t>
  </si>
  <si>
    <t>www.lixinger.com/analytics/company/sz/002726/2726/detail</t>
  </si>
  <si>
    <t>今世缘</t>
  </si>
  <si>
    <t>www.lixinger.com/analytics/company/sh/603369/603369/detail</t>
  </si>
  <si>
    <t>深高速</t>
  </si>
  <si>
    <t>www.lixinger.com/analytics/company/sh/600548/600548/detail</t>
  </si>
  <si>
    <t>深南电路</t>
  </si>
  <si>
    <t>www.lixinger.com/analytics/company/sz/002916/2916/detail</t>
  </si>
  <si>
    <t>和邦生物</t>
  </si>
  <si>
    <t>www.lixinger.com/analytics/company/sh/603077/603077/detail</t>
  </si>
  <si>
    <t>三七互娱</t>
  </si>
  <si>
    <t>游戏</t>
  </si>
  <si>
    <t>www.lixinger.com/analytics/company/sz/002555/2555/detail</t>
  </si>
  <si>
    <t>秦港股份</t>
  </si>
  <si>
    <t>www.lixinger.com/analytics/company/sh/601326/601326/detail</t>
  </si>
  <si>
    <t>长春高新</t>
  </si>
  <si>
    <t>其他生物制品</t>
  </si>
  <si>
    <t>www.lixinger.com/analytics/company/sz/000661/661/detail</t>
  </si>
  <si>
    <t>中国国贸</t>
  </si>
  <si>
    <t>www.lixinger.com/analytics/company/sh/600007/600007/detail</t>
  </si>
  <si>
    <t>中公教育</t>
  </si>
  <si>
    <t>培训教育</t>
  </si>
  <si>
    <t>www.lixinger.com/analytics/company/sz/002607/2607/detail</t>
  </si>
  <si>
    <t>一汽富维</t>
  </si>
  <si>
    <t>www.lixinger.com/analytics/company/sh/600742/600742/detail</t>
  </si>
  <si>
    <t>节能风电</t>
  </si>
  <si>
    <t>www.lixinger.com/analytics/company/sh/601016/601016/detail</t>
  </si>
  <si>
    <t>冠农股份</t>
  </si>
  <si>
    <t>果蔬加工</t>
  </si>
  <si>
    <t>www.lixinger.com/analytics/company/sh/600251/600251/detail</t>
  </si>
  <si>
    <t>日照港</t>
  </si>
  <si>
    <t>www.lixinger.com/analytics/company/sh/600017/600017/detail</t>
  </si>
  <si>
    <t>中联重科</t>
  </si>
  <si>
    <t>www.lixinger.com/analytics/company/sz/000157/157/detail</t>
  </si>
  <si>
    <t>东阳光</t>
  </si>
  <si>
    <t>www.lixinger.com/analytics/company/sh/600673/600673/detail</t>
  </si>
  <si>
    <t>银泰黄金</t>
  </si>
  <si>
    <t>黄金</t>
  </si>
  <si>
    <t>www.lixinger.com/analytics/company/sz/000975/975/detail</t>
  </si>
  <si>
    <t>老白干酒</t>
  </si>
  <si>
    <t>www.lixinger.com/analytics/company/sh/600559/600559/detail</t>
  </si>
  <si>
    <t>苏盐井神</t>
  </si>
  <si>
    <t>www.lixinger.com/analytics/company/sh/603299/603299/detail</t>
  </si>
  <si>
    <t>云图控股</t>
  </si>
  <si>
    <t>www.lixinger.com/analytics/company/sz/002539/2539/detail</t>
  </si>
  <si>
    <t>西藏城投</t>
  </si>
  <si>
    <t>www.lixinger.com/analytics/company/sh/600773/600773/detail</t>
  </si>
  <si>
    <t>光弘科技</t>
  </si>
  <si>
    <t>www.lixinger.com/analytics/company/sz/300735/300735/detail</t>
  </si>
  <si>
    <t>合盛硅业</t>
  </si>
  <si>
    <t>非金属材料</t>
  </si>
  <si>
    <t>www.lixinger.com/analytics/company/sh/603260/603260/detail</t>
  </si>
  <si>
    <t>君实生物</t>
  </si>
  <si>
    <t>www.lixinger.com/analytics/company/sh/688180/688180/detail</t>
  </si>
  <si>
    <t>天赐材料</t>
  </si>
  <si>
    <t>电池化学品</t>
  </si>
  <si>
    <t>www.lixinger.com/analytics/company/sz/002709/2709/detail</t>
  </si>
  <si>
    <t>徐工机械</t>
  </si>
  <si>
    <t>www.lixinger.com/analytics/company/sz/000425/425/detail</t>
  </si>
  <si>
    <t>福莱特</t>
  </si>
  <si>
    <t>光伏辅材</t>
  </si>
  <si>
    <t>www.lixinger.com/analytics/company/sh/601865/601865/detail</t>
  </si>
  <si>
    <t>亚辉龙</t>
  </si>
  <si>
    <t>www.lixinger.com/analytics/company/sh/688575/688575/detail</t>
  </si>
  <si>
    <t>圣湘生物</t>
  </si>
  <si>
    <t>www.lixinger.com/analytics/company/sh/688289/688289/detail</t>
  </si>
  <si>
    <t>指南针</t>
  </si>
  <si>
    <t>垂直应用软件</t>
  </si>
  <si>
    <t>www.lixinger.com/analytics/company/sz/300803/300803/detail</t>
  </si>
  <si>
    <t>上海家化</t>
  </si>
  <si>
    <t>品牌化妆品</t>
  </si>
  <si>
    <t>www.lixinger.com/analytics/company/sh/600315/600315/detail</t>
  </si>
  <si>
    <t>以岭药业</t>
  </si>
  <si>
    <t>www.lixinger.com/analytics/company/sz/002603/2603/detail</t>
  </si>
  <si>
    <t>申通快递</t>
  </si>
  <si>
    <t>www.lixinger.com/analytics/company/sz/002468/2468/detail</t>
  </si>
  <si>
    <t>龙佰集团</t>
  </si>
  <si>
    <t>钛白粉</t>
  </si>
  <si>
    <t>www.lixinger.com/analytics/company/sz/002601/2601/detail</t>
  </si>
  <si>
    <t>皖通高速</t>
  </si>
  <si>
    <t>www.lixinger.com/analytics/company/sh/600012/600012/detail</t>
  </si>
  <si>
    <t>皖维高新</t>
  </si>
  <si>
    <t>其他化学纤维</t>
  </si>
  <si>
    <t>www.lixinger.com/analytics/company/sh/600063/600063/detail</t>
  </si>
  <si>
    <t>迎驾贡酒</t>
  </si>
  <si>
    <t>www.lixinger.com/analytics/company/sh/603198/603198/detail</t>
  </si>
  <si>
    <t>陕西建工</t>
  </si>
  <si>
    <t>房屋建设</t>
  </si>
  <si>
    <t>www.lixinger.com/analytics/company/sh/600248/600248/detail</t>
  </si>
  <si>
    <t>石大胜华</t>
  </si>
  <si>
    <t>www.lixinger.com/analytics/company/sh/603026/603026/detail</t>
  </si>
  <si>
    <t>大众公用</t>
  </si>
  <si>
    <t>www.lixinger.com/analytics/company/sh/600635/600635/detail</t>
  </si>
  <si>
    <t>新宙邦</t>
  </si>
  <si>
    <t>www.lixinger.com/analytics/company/sz/300037/300037/detail</t>
  </si>
  <si>
    <t>祁连山</t>
  </si>
  <si>
    <t>www.lixinger.com/analytics/company/sh/600720/600720/detail</t>
  </si>
  <si>
    <t>新洋丰</t>
  </si>
  <si>
    <t>www.lixinger.com/analytics/company/sz/000902/902/detail</t>
  </si>
  <si>
    <t>片仔癀</t>
  </si>
  <si>
    <t>www.lixinger.com/analytics/company/sh/600436/600436/detail</t>
  </si>
  <si>
    <t>ST金正</t>
  </si>
  <si>
    <t>www.lixinger.com/analytics/company/sz/002470/2470/detail</t>
  </si>
  <si>
    <t>连云港</t>
  </si>
  <si>
    <t>www.lixinger.com/analytics/company/sh/601008/601008/detail</t>
  </si>
  <si>
    <t>药明康德</t>
  </si>
  <si>
    <t>医疗研发外包</t>
  </si>
  <si>
    <t>www.lixinger.com/analytics/company/sh/603259/603259/detail</t>
  </si>
  <si>
    <t>九阳股份</t>
  </si>
  <si>
    <t>厨房小家电</t>
  </si>
  <si>
    <t>www.lixinger.com/analytics/company/sz/002242/2242/detail</t>
  </si>
  <si>
    <t>东方盛虹</t>
  </si>
  <si>
    <t>www.lixinger.com/analytics/company/sz/000301/301/detail</t>
  </si>
  <si>
    <t>硕世生物</t>
  </si>
  <si>
    <t>www.lixinger.com/analytics/company/sh/688399/688399/detail</t>
  </si>
  <si>
    <t>长信科技</t>
  </si>
  <si>
    <t>www.lixinger.com/analytics/company/sz/300088/300088/detail</t>
  </si>
  <si>
    <t>亚普股份</t>
  </si>
  <si>
    <t>底盘与发动机系统</t>
  </si>
  <si>
    <t>www.lixinger.com/analytics/company/sh/603013/603013/detail</t>
  </si>
  <si>
    <t>神马股份</t>
  </si>
  <si>
    <t>锦纶</t>
  </si>
  <si>
    <t>www.lixinger.com/analytics/company/sh/600810/600810/detail</t>
  </si>
  <si>
    <t>申能股份</t>
  </si>
  <si>
    <t>www.lixinger.com/analytics/company/sh/600642/600642/detail</t>
  </si>
  <si>
    <t>大中矿业</t>
  </si>
  <si>
    <t>铁矿石</t>
  </si>
  <si>
    <t>www.lixinger.com/analytics/company/sz/001203/1203/detail</t>
  </si>
  <si>
    <t>三环集团</t>
  </si>
  <si>
    <t>被动元件</t>
  </si>
  <si>
    <t>www.lixinger.com/analytics/company/sz/300408/300408/detail</t>
  </si>
  <si>
    <t>韶钢松山</t>
  </si>
  <si>
    <t>长材</t>
  </si>
  <si>
    <t>www.lixinger.com/analytics/company/sz/000717/717/detail</t>
  </si>
  <si>
    <t>怡球资源</t>
  </si>
  <si>
    <t>www.lixinger.com/analytics/company/sh/601388/601388/detail</t>
  </si>
  <si>
    <t>比音勒芬</t>
  </si>
  <si>
    <t>www.lixinger.com/analytics/company/sz/002832/2832/detail</t>
  </si>
  <si>
    <t>联化科技</t>
  </si>
  <si>
    <t>www.lixinger.com/analytics/company/sz/002250/2250/detail</t>
  </si>
  <si>
    <t>多氟多</t>
  </si>
  <si>
    <t>氟化工</t>
  </si>
  <si>
    <t>www.lixinger.com/analytics/company/sz/002407/2407/detail</t>
  </si>
  <si>
    <t>道氏技术</t>
  </si>
  <si>
    <t>www.lixinger.com/analytics/company/sz/300409/300409/detail</t>
  </si>
  <si>
    <t>安井食品</t>
  </si>
  <si>
    <t>预加工食品</t>
  </si>
  <si>
    <t>www.lixinger.com/analytics/company/sh/603345/603345/detail</t>
  </si>
  <si>
    <t>华润三九</t>
  </si>
  <si>
    <t>www.lixinger.com/analytics/company/sz/000999/999/detail</t>
  </si>
  <si>
    <t>深圳华强</t>
  </si>
  <si>
    <t>www.lixinger.com/analytics/company/sz/000062/62/detail</t>
  </si>
  <si>
    <t>生益科技</t>
  </si>
  <si>
    <t>www.lixinger.com/analytics/company/sh/600183/600183/detail</t>
  </si>
  <si>
    <t>攀钢钒钛</t>
  </si>
  <si>
    <t>www.lixinger.com/analytics/company/sz/000629/629/detail</t>
  </si>
  <si>
    <t>伟明环保</t>
  </si>
  <si>
    <t>固废治理</t>
  </si>
  <si>
    <t>www.lixinger.com/analytics/company/sh/603568/603568/detail</t>
  </si>
  <si>
    <t>阳煤化工</t>
  </si>
  <si>
    <t>氮肥</t>
  </si>
  <si>
    <t>www.lixinger.com/analytics/company/sh/600691/600691/detail</t>
  </si>
  <si>
    <t>乐普医疗</t>
  </si>
  <si>
    <t>医疗耗材</t>
  </si>
  <si>
    <t>www.lixinger.com/analytics/company/sz/300003/300003/detail</t>
  </si>
  <si>
    <t>万泰生物</t>
  </si>
  <si>
    <t>www.lixinger.com/analytics/company/sh/603392/603392/detail</t>
  </si>
  <si>
    <t>东阿阿胶</t>
  </si>
  <si>
    <t>www.lixinger.com/analytics/company/sz/000423/423/detail</t>
  </si>
  <si>
    <t>盘江股份</t>
  </si>
  <si>
    <t>www.lixinger.com/analytics/company/sh/600395/600395/detail</t>
  </si>
  <si>
    <t>南钢股份</t>
  </si>
  <si>
    <t>www.lixinger.com/analytics/company/sh/600282/600282/detail</t>
  </si>
  <si>
    <t>新钢股份</t>
  </si>
  <si>
    <t>www.lixinger.com/analytics/company/sh/600782/600782/detail</t>
  </si>
  <si>
    <t>宝新能源</t>
  </si>
  <si>
    <t>www.lixinger.com/analytics/company/sz/000690/690/detail</t>
  </si>
  <si>
    <t>伊利股份</t>
  </si>
  <si>
    <t>乳品</t>
  </si>
  <si>
    <t>www.lixinger.com/analytics/company/sh/600887/600887/detail</t>
  </si>
  <si>
    <t>中远海特</t>
  </si>
  <si>
    <t>www.lixinger.com/analytics/company/sh/600428/600428/detail</t>
  </si>
  <si>
    <t>海通证券</t>
  </si>
  <si>
    <t>www.lixinger.com/analytics/company/sh/600837/600837/detail</t>
  </si>
  <si>
    <t>西南证券</t>
  </si>
  <si>
    <t>www.lixinger.com/analytics/company/sh/600369/600369/detail</t>
  </si>
  <si>
    <t>公牛集团</t>
  </si>
  <si>
    <t>其他家居用品</t>
  </si>
  <si>
    <t>www.lixinger.com/analytics/company/sh/603195/603195/detail</t>
  </si>
  <si>
    <t>宁波华翔</t>
  </si>
  <si>
    <t>www.lixinger.com/analytics/company/sz/002048/2048/detail</t>
  </si>
  <si>
    <t>重庆水务</t>
  </si>
  <si>
    <t>水务及水治理</t>
  </si>
  <si>
    <t>www.lixinger.com/analytics/company/sh/601158/601158/detail</t>
  </si>
  <si>
    <t>葵花药业</t>
  </si>
  <si>
    <t>www.lixinger.com/analytics/company/sz/002737/2737/detail</t>
  </si>
  <si>
    <t>福建高速</t>
  </si>
  <si>
    <t>www.lixinger.com/analytics/company/sh/600033/600033/detail</t>
  </si>
  <si>
    <t>迪阿股份</t>
  </si>
  <si>
    <t>www.lixinger.com/analytics/company/sz/301177/301177/detail</t>
  </si>
  <si>
    <t>新和成</t>
  </si>
  <si>
    <t>原料药</t>
  </si>
  <si>
    <t>www.lixinger.com/analytics/company/sz/002001/2001/detail</t>
  </si>
  <si>
    <t>舍得酒业</t>
  </si>
  <si>
    <t>www.lixinger.com/analytics/company/sh/600702/600702/detail</t>
  </si>
  <si>
    <t>新疆天业</t>
  </si>
  <si>
    <t>www.lixinger.com/analytics/company/sh/600075/600075/detail</t>
  </si>
  <si>
    <t>康龙化成</t>
  </si>
  <si>
    <t>www.lixinger.com/analytics/company/sz/300759/300759/detail</t>
  </si>
  <si>
    <t>国药现代</t>
  </si>
  <si>
    <t>www.lixinger.com/analytics/company/sh/600420/600420/detail</t>
  </si>
  <si>
    <t>英科医疗</t>
  </si>
  <si>
    <t>www.lixinger.com/analytics/company/sz/300677/300677/detail</t>
  </si>
  <si>
    <t>上海莱士</t>
  </si>
  <si>
    <t>血液制品</t>
  </si>
  <si>
    <t>www.lixinger.com/analytics/company/sz/002252/2252/detail</t>
  </si>
  <si>
    <t>赣粤高速</t>
  </si>
  <si>
    <t>www.lixinger.com/analytics/company/sh/600269/600269/detail</t>
  </si>
  <si>
    <t>二三四五</t>
  </si>
  <si>
    <t>www.lixinger.com/analytics/company/sz/002195/2195/detail</t>
  </si>
  <si>
    <t>鱼跃医疗</t>
  </si>
  <si>
    <t>www.lixinger.com/analytics/company/sz/002223/2223/detail</t>
  </si>
  <si>
    <t>海南矿业</t>
  </si>
  <si>
    <t>www.lixinger.com/analytics/company/sh/601969/601969/detail</t>
  </si>
  <si>
    <t>巨化股份</t>
  </si>
  <si>
    <t>www.lixinger.com/analytics/company/sh/600160/600160/detail</t>
  </si>
  <si>
    <t>北方导航</t>
  </si>
  <si>
    <t>地面兵装</t>
  </si>
  <si>
    <t>www.lixinger.com/analytics/company/sh/600435/600435/detail</t>
  </si>
  <si>
    <t>伊泰Ｂ股</t>
  </si>
  <si>
    <t>www.lixinger.com/analytics/company/sh/900948/900948/detail</t>
  </si>
  <si>
    <t>黔源电力</t>
  </si>
  <si>
    <t>www.lixinger.com/analytics/company/sz/002039/2039/detail</t>
  </si>
  <si>
    <t>稳健医疗</t>
  </si>
  <si>
    <t>生活用纸</t>
  </si>
  <si>
    <t>www.lixinger.com/analytics/company/sz/300888/300888/detail</t>
  </si>
  <si>
    <t>上峰水泥</t>
  </si>
  <si>
    <t>www.lixinger.com/analytics/company/sz/000672/672/detail</t>
  </si>
  <si>
    <t>水井坊</t>
  </si>
  <si>
    <t>www.lixinger.com/analytics/company/sh/600779/600779/detail</t>
  </si>
  <si>
    <t>天源迪科</t>
  </si>
  <si>
    <t>www.lixinger.com/analytics/company/sz/300047/300047/detail</t>
  </si>
  <si>
    <t>华阳股份</t>
  </si>
  <si>
    <t>www.lixinger.com/analytics/company/sh/600348/600348/detail</t>
  </si>
  <si>
    <t>拓普集团</t>
  </si>
  <si>
    <t>www.lixinger.com/analytics/company/sh/601689/601689/detail</t>
  </si>
  <si>
    <t>华天科技</t>
  </si>
  <si>
    <t>www.lixinger.com/analytics/company/sz/002185/2185/detail</t>
  </si>
  <si>
    <t>友阿股份</t>
  </si>
  <si>
    <t>百货</t>
  </si>
  <si>
    <t>www.lixinger.com/analytics/company/sz/002277/2277/detail</t>
  </si>
  <si>
    <t>九洲药业</t>
  </si>
  <si>
    <t>www.lixinger.com/analytics/company/sh/603456/603456/detail</t>
  </si>
  <si>
    <t>天原股份</t>
  </si>
  <si>
    <t>www.lixinger.com/analytics/company/sz/002386/2386/detail</t>
  </si>
  <si>
    <t>天际股份</t>
  </si>
  <si>
    <t>www.lixinger.com/analytics/company/sz/002759/2759/detail</t>
  </si>
  <si>
    <t>华利集团</t>
  </si>
  <si>
    <t>纺织鞋类制造</t>
  </si>
  <si>
    <t>www.lixinger.com/analytics/company/sz/300979/300979/detail</t>
  </si>
  <si>
    <t>长源电力</t>
  </si>
  <si>
    <t>www.lixinger.com/analytics/company/sz/000966/966/detail</t>
  </si>
  <si>
    <t>步长制药</t>
  </si>
  <si>
    <t>www.lixinger.com/analytics/company/sh/603858/603858/detail</t>
  </si>
  <si>
    <t>恒源煤电</t>
  </si>
  <si>
    <t>www.lixinger.com/analytics/company/sh/600971/600971/detail</t>
  </si>
  <si>
    <t>浙江新能</t>
  </si>
  <si>
    <t>光伏发电</t>
  </si>
  <si>
    <t>www.lixinger.com/analytics/company/sh/600032/600032/detail</t>
  </si>
  <si>
    <t>普路通</t>
  </si>
  <si>
    <t>中间产品及消费品供应链服务</t>
  </si>
  <si>
    <t>www.lixinger.com/analytics/company/sz/002769/2769/detail</t>
  </si>
  <si>
    <t>张裕Ｂ</t>
  </si>
  <si>
    <t>www.lixinger.com/analytics/company/sz/200869/200869/detail</t>
  </si>
  <si>
    <t>裕同科技</t>
  </si>
  <si>
    <t>纸包装</t>
  </si>
  <si>
    <t>www.lixinger.com/analytics/company/sz/002831/2831/detail</t>
  </si>
  <si>
    <t>永兴材料</t>
  </si>
  <si>
    <t>www.lixinger.com/analytics/company/sz/002756/2756/detail</t>
  </si>
  <si>
    <t>珈伟新能</t>
  </si>
  <si>
    <t>www.lixinger.com/analytics/company/sz/300317/300317/detail</t>
  </si>
  <si>
    <t>维远股份</t>
  </si>
  <si>
    <t>其他化学原料</t>
  </si>
  <si>
    <t>www.lixinger.com/analytics/company/sh/600955/600955/detail</t>
  </si>
  <si>
    <t>金晶科技</t>
  </si>
  <si>
    <t>玻璃制造</t>
  </si>
  <si>
    <t>www.lixinger.com/analytics/company/sh/600586/600586/detail</t>
  </si>
  <si>
    <t>安迪苏</t>
  </si>
  <si>
    <t>食品及饲料添加剂</t>
  </si>
  <si>
    <t>www.lixinger.com/analytics/company/sh/600299/600299/detail</t>
  </si>
  <si>
    <t>苏泊尔</t>
  </si>
  <si>
    <t>www.lixinger.com/analytics/company/sz/002032/2032/detail</t>
  </si>
  <si>
    <t>陕鼓动力</t>
  </si>
  <si>
    <t>其他通用设备</t>
  </si>
  <si>
    <t>www.lixinger.com/analytics/company/sh/601369/601369/detail</t>
  </si>
  <si>
    <t>绝味食品</t>
  </si>
  <si>
    <t>熟食</t>
  </si>
  <si>
    <t>www.lixinger.com/analytics/company/sh/603517/603517/detail</t>
  </si>
  <si>
    <t>珠海冠宇</t>
  </si>
  <si>
    <t>www.lixinger.com/analytics/company/sh/688772/688772/detail</t>
  </si>
  <si>
    <t>胜宏科技</t>
  </si>
  <si>
    <t>www.lixinger.com/analytics/company/sz/300476/300476/detail</t>
  </si>
  <si>
    <t>本钢板Ｂ</t>
  </si>
  <si>
    <t>www.lixinger.com/analytics/company/sz/200761/200761/detail</t>
  </si>
  <si>
    <t>恺英网络</t>
  </si>
  <si>
    <t>www.lixinger.com/analytics/company/sz/002517/2517/detail</t>
  </si>
  <si>
    <t>万达电影</t>
  </si>
  <si>
    <t>院线</t>
  </si>
  <si>
    <t>www.lixinger.com/analytics/company/sz/002739/2739/detail</t>
  </si>
  <si>
    <t>北部湾港</t>
  </si>
  <si>
    <t>www.lixinger.com/analytics/company/sz/000582/582/detail</t>
  </si>
  <si>
    <t>华昌化工</t>
  </si>
  <si>
    <t>www.lixinger.com/analytics/company/sz/002274/2274/detail</t>
  </si>
  <si>
    <t>凤凰传媒</t>
  </si>
  <si>
    <t>教育出版</t>
  </si>
  <si>
    <t>www.lixinger.com/analytics/company/sh/601928/601928/detail</t>
  </si>
  <si>
    <t>永太科技</t>
  </si>
  <si>
    <t>www.lixinger.com/analytics/company/sz/002326/2326/detail</t>
  </si>
  <si>
    <t>江苏索普</t>
  </si>
  <si>
    <t>www.lixinger.com/analytics/company/sh/600746/600746/detail</t>
  </si>
  <si>
    <t>通化东宝</t>
  </si>
  <si>
    <t>www.lixinger.com/analytics/company/sh/600867/600867/detail</t>
  </si>
  <si>
    <t>顺发恒业</t>
  </si>
  <si>
    <t>www.lixinger.com/analytics/company/sz/000631/631/detail</t>
  </si>
  <si>
    <t>彩虹股份</t>
  </si>
  <si>
    <t>www.lixinger.com/analytics/company/sh/600707/600707/detail</t>
  </si>
  <si>
    <t>川能动力</t>
  </si>
  <si>
    <t>www.lixinger.com/analytics/company/sz/000155/155/detail</t>
  </si>
  <si>
    <t>新日股份</t>
  </si>
  <si>
    <t>摩托车</t>
  </si>
  <si>
    <t>www.lixinger.com/analytics/company/sh/603787/603787/detail</t>
  </si>
  <si>
    <t>江山股份</t>
  </si>
  <si>
    <t>www.lixinger.com/analytics/company/sh/600389/600389/detail</t>
  </si>
  <si>
    <t>新媒股份</t>
  </si>
  <si>
    <t>电视广播</t>
  </si>
  <si>
    <t>www.lixinger.com/analytics/company/sz/300770/300770/detail</t>
  </si>
  <si>
    <t>神州泰岳</t>
  </si>
  <si>
    <t>www.lixinger.com/analytics/company/sz/300002/300002/detail</t>
  </si>
  <si>
    <t>河钢资源</t>
  </si>
  <si>
    <t>www.lixinger.com/analytics/company/sz/000923/923/detail</t>
  </si>
  <si>
    <t>珀莱雅</t>
  </si>
  <si>
    <t>www.lixinger.com/analytics/company/sh/603605/603605/detail</t>
  </si>
  <si>
    <t>农产品</t>
  </si>
  <si>
    <t>www.lixinger.com/analytics/company/sz/000061/61/detail</t>
  </si>
  <si>
    <t>捷佳伟创</t>
  </si>
  <si>
    <t>www.lixinger.com/analytics/company/sz/300724/300724/detail</t>
  </si>
  <si>
    <t>茂化实华</t>
  </si>
  <si>
    <t>www.lixinger.com/analytics/company/sz/000637/637/detail</t>
  </si>
  <si>
    <t>豫光金铅</t>
  </si>
  <si>
    <t>www.lixinger.com/analytics/company/sh/600531/600531/detail</t>
  </si>
  <si>
    <t>江特电机</t>
  </si>
  <si>
    <t>电机</t>
  </si>
  <si>
    <t>www.lixinger.com/analytics/company/sz/002176/2176/detail</t>
  </si>
  <si>
    <t>宁波能源</t>
  </si>
  <si>
    <t>热力服务</t>
  </si>
  <si>
    <t>www.lixinger.com/analytics/company/sh/600982/600982/detail</t>
  </si>
  <si>
    <t>博腾股份</t>
  </si>
  <si>
    <t>www.lixinger.com/analytics/company/sz/300363/300363/detail</t>
  </si>
  <si>
    <t>焦作万方</t>
  </si>
  <si>
    <t>www.lixinger.com/analytics/company/sz/000612/612/detail</t>
  </si>
  <si>
    <t>楚天高速</t>
  </si>
  <si>
    <t>www.lixinger.com/analytics/company/sh/600035/600035/detail</t>
  </si>
  <si>
    <t>奥美医疗</t>
  </si>
  <si>
    <t>www.lixinger.com/analytics/company/sz/002950/2950/detail</t>
  </si>
  <si>
    <t>新疆众和</t>
  </si>
  <si>
    <t>www.lixinger.com/analytics/company/sh/600888/600888/detail</t>
  </si>
  <si>
    <t>郑州煤电</t>
  </si>
  <si>
    <t>www.lixinger.com/analytics/company/sh/600121/600121/detail</t>
  </si>
  <si>
    <t>吉比特</t>
  </si>
  <si>
    <t>www.lixinger.com/analytics/company/sh/603444/603444/detail</t>
  </si>
  <si>
    <t>爱旭股份</t>
  </si>
  <si>
    <t>www.lixinger.com/analytics/company/sh/600732/600732/detail</t>
  </si>
  <si>
    <t>中百集团</t>
  </si>
  <si>
    <t>www.lixinger.com/analytics/company/sz/000759/759/detail</t>
  </si>
  <si>
    <t>银座股份</t>
  </si>
  <si>
    <t>www.lixinger.com/analytics/company/sh/600858/600858/detail</t>
  </si>
  <si>
    <t>帝科股份</t>
  </si>
  <si>
    <t>www.lixinger.com/analytics/company/sz/300842/300842/detail</t>
  </si>
  <si>
    <t>冠豪高新</t>
  </si>
  <si>
    <t>特种纸</t>
  </si>
  <si>
    <t>www.lixinger.com/analytics/company/sh/600433/600433/detail</t>
  </si>
  <si>
    <t>安凯客车</t>
  </si>
  <si>
    <t>商用载客车</t>
  </si>
  <si>
    <t>www.lixinger.com/analytics/company/sz/000868/868/detail</t>
  </si>
  <si>
    <t>佳云科技</t>
  </si>
  <si>
    <t>营销代理</t>
  </si>
  <si>
    <t>www.lixinger.com/analytics/company/sz/300242/300242/detail</t>
  </si>
  <si>
    <t>百隆东方</t>
  </si>
  <si>
    <t>www.lixinger.com/analytics/company/sh/601339/601339/detail</t>
  </si>
  <si>
    <t>昆仑万维</t>
  </si>
  <si>
    <t>www.lixinger.com/analytics/company/sz/300418/300418/detail</t>
  </si>
  <si>
    <t>郑煤机</t>
  </si>
  <si>
    <t>能源及重型设备</t>
  </si>
  <si>
    <t>www.lixinger.com/analytics/company/sh/601717/601717/detail</t>
  </si>
  <si>
    <t>华夏幸福</t>
  </si>
  <si>
    <t>产业地产</t>
  </si>
  <si>
    <t>www.lixinger.com/analytics/company/sh/600340/600340/detail</t>
  </si>
  <si>
    <t>浙版传媒</t>
  </si>
  <si>
    <t>www.lixinger.com/analytics/company/sh/601921/601921/detail</t>
  </si>
  <si>
    <t>通宝能源</t>
  </si>
  <si>
    <t>www.lixinger.com/analytics/company/sh/600780/600780/detail</t>
  </si>
  <si>
    <t>亿嘉和</t>
  </si>
  <si>
    <t>机器人</t>
  </si>
  <si>
    <t>www.lixinger.com/analytics/company/sh/603666/603666/detail</t>
  </si>
  <si>
    <t>靖远煤电</t>
  </si>
  <si>
    <t>www.lixinger.com/analytics/company/sz/000552/552/detail</t>
  </si>
  <si>
    <t>豫能控股</t>
  </si>
  <si>
    <t>www.lixinger.com/analytics/company/sz/001896/1896/detail</t>
  </si>
  <si>
    <t>西藏矿业</t>
  </si>
  <si>
    <t>www.lixinger.com/analytics/company/sz/000762/762/detail</t>
  </si>
  <si>
    <t>四川美丰</t>
  </si>
  <si>
    <t>www.lixinger.com/analytics/company/sz/000731/731/detail</t>
  </si>
  <si>
    <t>招商公路</t>
  </si>
  <si>
    <t>www.lixinger.com/analytics/company/sz/001965/1965/detail</t>
  </si>
  <si>
    <t>泰格医药</t>
  </si>
  <si>
    <t>www.lixinger.com/analytics/company/sz/300347/300347/detail</t>
  </si>
  <si>
    <t>三只松鼠</t>
  </si>
  <si>
    <t>零食</t>
  </si>
  <si>
    <t>www.lixinger.com/analytics/company/sz/300783/300783/detail</t>
  </si>
  <si>
    <t>高能环境</t>
  </si>
  <si>
    <t>www.lixinger.com/analytics/company/sh/603588/603588/detail</t>
  </si>
  <si>
    <t>安宁股份</t>
  </si>
  <si>
    <t>www.lixinger.com/analytics/company/sz/002978/2978/detail</t>
  </si>
  <si>
    <t>山西路桥</t>
  </si>
  <si>
    <t>www.lixinger.com/analytics/company/sz/000755/755/detail</t>
  </si>
  <si>
    <t>华夏航空</t>
  </si>
  <si>
    <t>航空运输</t>
  </si>
  <si>
    <t>www.lixinger.com/analytics/company/sz/002928/2928/detail</t>
  </si>
  <si>
    <t>公元股份</t>
  </si>
  <si>
    <t>管材</t>
  </si>
  <si>
    <t>www.lixinger.com/analytics/company/sz/002641/2641/detail</t>
  </si>
  <si>
    <t>张裕Ａ</t>
  </si>
  <si>
    <t>其他酒类</t>
  </si>
  <si>
    <t>www.lixinger.com/analytics/company/sz/000869/869/detail</t>
  </si>
  <si>
    <t>南京新百</t>
  </si>
  <si>
    <t>www.lixinger.com/analytics/company/sh/600682/600682/detail</t>
  </si>
  <si>
    <t>晶科能源</t>
  </si>
  <si>
    <t>半导体材料</t>
  </si>
  <si>
    <t>www.lixinger.com/analytics/company/sh/688223/688223/detail</t>
  </si>
  <si>
    <t>泸天化</t>
  </si>
  <si>
    <t>www.lixinger.com/analytics/company/sz/000912/912/detail</t>
  </si>
  <si>
    <t>宏发股份</t>
  </si>
  <si>
    <t>电网自动化设备</t>
  </si>
  <si>
    <t>www.lixinger.com/analytics/company/sh/600885/600885/detail</t>
  </si>
  <si>
    <t>辽宁能源</t>
  </si>
  <si>
    <t>www.lixinger.com/analytics/company/sh/600758/600758/detail</t>
  </si>
  <si>
    <t>东鹏饮料</t>
  </si>
  <si>
    <t>软饮料</t>
  </si>
  <si>
    <t>www.lixinger.com/analytics/company/sh/605499/605499/detail</t>
  </si>
  <si>
    <t>北元集团</t>
  </si>
  <si>
    <t>www.lixinger.com/analytics/company/sh/601568/601568/detail</t>
  </si>
  <si>
    <t>圣邦股份</t>
  </si>
  <si>
    <t>模拟芯片设计</t>
  </si>
  <si>
    <t>www.lixinger.com/analytics/company/sz/300661/300661/detail</t>
  </si>
  <si>
    <t>明德生物</t>
  </si>
  <si>
    <t>www.lixinger.com/analytics/company/sz/002932/2932/detail</t>
  </si>
  <si>
    <t>西藏珠峰</t>
  </si>
  <si>
    <t>www.lixinger.com/analytics/company/sh/600338/600338/detail</t>
  </si>
  <si>
    <t>京基智农</t>
  </si>
  <si>
    <t>www.lixinger.com/analytics/company/sz/000048/48/detail</t>
  </si>
  <si>
    <t>本钢板材</t>
  </si>
  <si>
    <t>www.lixinger.com/analytics/company/sz/000761/761/detail</t>
  </si>
  <si>
    <t>康弘药业</t>
  </si>
  <si>
    <t>www.lixinger.com/analytics/company/sz/002773/2773/detail</t>
  </si>
  <si>
    <t>中曼石油</t>
  </si>
  <si>
    <t>www.lixinger.com/analytics/company/sh/603619/603619/detail</t>
  </si>
  <si>
    <t>海正药业</t>
  </si>
  <si>
    <t>www.lixinger.com/analytics/company/sh/600267/600267/detail</t>
  </si>
  <si>
    <t>星源材质</t>
  </si>
  <si>
    <t>www.lixinger.com/analytics/company/sz/300568/300568/detail</t>
  </si>
  <si>
    <t>恩华药业</t>
  </si>
  <si>
    <t>www.lixinger.com/analytics/company/sz/002262/2262/detail</t>
  </si>
  <si>
    <t>恒立液压</t>
  </si>
  <si>
    <t>工程机械器件</t>
  </si>
  <si>
    <t>www.lixinger.com/analytics/company/sh/601100/601100/detail</t>
  </si>
  <si>
    <t>三峡旅游</t>
  </si>
  <si>
    <t>公交</t>
  </si>
  <si>
    <t>www.lixinger.com/analytics/company/sz/002627/2627/detail</t>
  </si>
  <si>
    <t>美畅股份</t>
  </si>
  <si>
    <t>磨具磨料</t>
  </si>
  <si>
    <t>www.lixinger.com/analytics/company/sz/300861/300861/detail</t>
  </si>
  <si>
    <t>华联综超</t>
  </si>
  <si>
    <t>www.lixinger.com/analytics/company/sh/600361/600361/detail</t>
  </si>
  <si>
    <t>重庆钢铁</t>
  </si>
  <si>
    <t>www.lixinger.com/analytics/company/sh/601005/601005/detail</t>
  </si>
  <si>
    <t>洪城环境</t>
  </si>
  <si>
    <t>www.lixinger.com/analytics/company/sh/600461/600461/detail</t>
  </si>
  <si>
    <t>ST中孚</t>
  </si>
  <si>
    <t>www.lixinger.com/analytics/company/sh/600595/600595/detail</t>
  </si>
  <si>
    <t>华特达因</t>
  </si>
  <si>
    <t>www.lixinger.com/analytics/company/sz/000915/915/detail</t>
  </si>
  <si>
    <t>之江生物</t>
  </si>
  <si>
    <t>www.lixinger.com/analytics/company/sh/688317/688317/detail</t>
  </si>
  <si>
    <t>迪马股份</t>
  </si>
  <si>
    <t>www.lixinger.com/analytics/company/sh/600565/600565/detail</t>
  </si>
  <si>
    <t>兴化股份</t>
  </si>
  <si>
    <t>www.lixinger.com/analytics/company/sz/002109/2109/detail</t>
  </si>
  <si>
    <t>海峡股份</t>
  </si>
  <si>
    <t>www.lixinger.com/analytics/company/sz/002320/2320/detail</t>
  </si>
  <si>
    <t>安德利</t>
  </si>
  <si>
    <t>www.lixinger.com/analytics/company/sh/603031/603031/detail</t>
  </si>
  <si>
    <t>协鑫能科</t>
  </si>
  <si>
    <t>www.lixinger.com/analytics/company/sz/002015/2015/detail</t>
  </si>
  <si>
    <t>中闽能源</t>
  </si>
  <si>
    <t>www.lixinger.com/analytics/company/sh/600163/600163/detail</t>
  </si>
  <si>
    <t>龙洲股份</t>
  </si>
  <si>
    <t>www.lixinger.com/analytics/company/sz/002682/2682/detail</t>
  </si>
  <si>
    <t>天保基建</t>
  </si>
  <si>
    <t>www.lixinger.com/analytics/company/sz/000965/965/detail</t>
  </si>
  <si>
    <t>金徽酒</t>
  </si>
  <si>
    <t>www.lixinger.com/analytics/company/sh/603919/603919/detail</t>
  </si>
  <si>
    <t>沪电股份</t>
  </si>
  <si>
    <t>www.lixinger.com/analytics/company/sz/002463/2463/detail</t>
  </si>
  <si>
    <t>深粮B</t>
  </si>
  <si>
    <t>www.lixinger.com/analytics/company/sz/200019/200019/detail</t>
  </si>
  <si>
    <t>新华百货</t>
  </si>
  <si>
    <t>www.lixinger.com/analytics/company/sh/600785/600785/detail</t>
  </si>
  <si>
    <t>双环科技</t>
  </si>
  <si>
    <t>www.lixinger.com/analytics/company/sz/000707/707/detail</t>
  </si>
  <si>
    <t>南方传媒</t>
  </si>
  <si>
    <t>www.lixinger.com/analytics/company/sh/601900/601900/detail</t>
  </si>
  <si>
    <t>深天马Ａ</t>
  </si>
  <si>
    <t>www.lixinger.com/analytics/company/sz/000050/50/detail</t>
  </si>
  <si>
    <t>福能股份</t>
  </si>
  <si>
    <t>www.lixinger.com/analytics/company/sh/600483/600483/detail</t>
  </si>
  <si>
    <t>东北制药</t>
  </si>
  <si>
    <t>www.lixinger.com/analytics/company/sz/000597/597/detail</t>
  </si>
  <si>
    <t>川发龙蟒</t>
  </si>
  <si>
    <t>www.lixinger.com/analytics/company/sz/002312/2312/detail</t>
  </si>
  <si>
    <t>老百姓</t>
  </si>
  <si>
    <t>www.lixinger.com/analytics/company/sh/603883/603883/detail</t>
  </si>
  <si>
    <t>五洲交通</t>
  </si>
  <si>
    <t>www.lixinger.com/analytics/company/sh/600368/600368/detail</t>
  </si>
  <si>
    <t>斯达半导</t>
  </si>
  <si>
    <t>分立器件</t>
  </si>
  <si>
    <t>www.lixinger.com/analytics/company/sh/603290/603290/detail</t>
  </si>
  <si>
    <t>澜起科技</t>
  </si>
  <si>
    <t>数字芯片设计</t>
  </si>
  <si>
    <t>www.lixinger.com/analytics/company/sh/688008/688008/detail</t>
  </si>
  <si>
    <t>奥特佳</t>
  </si>
  <si>
    <t>www.lixinger.com/analytics/company/sz/002239/2239/detail</t>
  </si>
  <si>
    <t>远东股份</t>
  </si>
  <si>
    <t>线缆部件及其他</t>
  </si>
  <si>
    <t>www.lixinger.com/analytics/company/sh/600869/600869/detail</t>
  </si>
  <si>
    <t>立华股份</t>
  </si>
  <si>
    <t>肉鸡养殖</t>
  </si>
  <si>
    <t>www.lixinger.com/analytics/company/sz/300761/300761/detail</t>
  </si>
  <si>
    <t>广州港</t>
  </si>
  <si>
    <t>www.lixinger.com/analytics/company/sh/601228/601228/detail</t>
  </si>
  <si>
    <t>健友股份</t>
  </si>
  <si>
    <t>www.lixinger.com/analytics/company/sh/603707/603707/detail</t>
  </si>
  <si>
    <t>台华新材</t>
  </si>
  <si>
    <t>其他纺织</t>
  </si>
  <si>
    <t>www.lixinger.com/analytics/company/sh/603055/603055/detail</t>
  </si>
  <si>
    <t>华铁应急</t>
  </si>
  <si>
    <t>www.lixinger.com/analytics/company/sh/603300/603300/detail</t>
  </si>
  <si>
    <t>中顺洁柔</t>
  </si>
  <si>
    <t>www.lixinger.com/analytics/company/sz/002511/2511/detail</t>
  </si>
  <si>
    <t>三安光电</t>
  </si>
  <si>
    <t>LED</t>
  </si>
  <si>
    <t>www.lixinger.com/analytics/company/sh/600703/600703/detail</t>
  </si>
  <si>
    <t>通鼎互联</t>
  </si>
  <si>
    <t>通信线缆及配套</t>
  </si>
  <si>
    <t>www.lixinger.com/analytics/company/sz/002491/2491/detail</t>
  </si>
  <si>
    <t>花园生物</t>
  </si>
  <si>
    <t>www.lixinger.com/analytics/company/sz/300401/300401/detail</t>
  </si>
  <si>
    <t>亚钾国际</t>
  </si>
  <si>
    <t>www.lixinger.com/analytics/company/sz/000893/893/detail</t>
  </si>
  <si>
    <t>火炬电子</t>
  </si>
  <si>
    <t>www.lixinger.com/analytics/company/sh/603678/603678/detail</t>
  </si>
  <si>
    <t>海油工程</t>
  </si>
  <si>
    <t>油气及炼化工程</t>
  </si>
  <si>
    <t>www.lixinger.com/analytics/company/sh/600583/600583/detail</t>
  </si>
  <si>
    <t>西藏药业</t>
  </si>
  <si>
    <t>www.lixinger.com/analytics/company/sh/600211/600211/detail</t>
  </si>
  <si>
    <t>爱美客</t>
  </si>
  <si>
    <t>医美耗材</t>
  </si>
  <si>
    <t>www.lixinger.com/analytics/company/sz/300896/300896/detail</t>
  </si>
  <si>
    <t>航天工程</t>
  </si>
  <si>
    <t>www.lixinger.com/analytics/company/sh/603698/603698/detail</t>
  </si>
  <si>
    <t>辽宁成大</t>
  </si>
  <si>
    <t>疫苗</t>
  </si>
  <si>
    <t>www.lixinger.com/analytics/company/sh/600739/600739/detail</t>
  </si>
  <si>
    <t>陕天然气</t>
  </si>
  <si>
    <t>www.lixinger.com/analytics/company/sz/002267/2267/detail</t>
  </si>
  <si>
    <t>泰禾集团</t>
  </si>
  <si>
    <t>www.lixinger.com/analytics/company/sz/000732/732/detail</t>
  </si>
  <si>
    <t>三美股份</t>
  </si>
  <si>
    <t>www.lixinger.com/analytics/company/sh/603379/603379/detail</t>
  </si>
  <si>
    <t>万润股份</t>
  </si>
  <si>
    <t>电子化学品</t>
  </si>
  <si>
    <t>www.lixinger.com/analytics/company/sz/002643/2643/detail</t>
  </si>
  <si>
    <t>国投中鲁</t>
  </si>
  <si>
    <t>www.lixinger.com/analytics/company/sh/600962/600962/detail</t>
  </si>
  <si>
    <t>九洲集团</t>
  </si>
  <si>
    <t>www.lixinger.com/analytics/company/sz/300040/300040/detail</t>
  </si>
  <si>
    <t>晋控电力</t>
  </si>
  <si>
    <t>www.lixinger.com/analytics/company/sz/000767/767/detail</t>
  </si>
  <si>
    <t>甘李药业</t>
  </si>
  <si>
    <t>www.lixinger.com/analytics/company/sh/603087/603087/detail</t>
  </si>
  <si>
    <t>金力泰</t>
  </si>
  <si>
    <t>涂料油墨</t>
  </si>
  <si>
    <t>www.lixinger.com/analytics/company/sz/300225/300225/detail</t>
  </si>
  <si>
    <t>深圳机场</t>
  </si>
  <si>
    <t>机场</t>
  </si>
  <si>
    <t>www.lixinger.com/analytics/company/sz/000089/89/detail</t>
  </si>
  <si>
    <t>亿联网络</t>
  </si>
  <si>
    <t>通信终端及配件</t>
  </si>
  <si>
    <t>www.lixinger.com/analytics/company/sz/300628/300628/detail</t>
  </si>
  <si>
    <t>浙能电力</t>
  </si>
  <si>
    <t>www.lixinger.com/analytics/company/sh/600023/600023/detail</t>
  </si>
  <si>
    <t>华贸物流</t>
  </si>
  <si>
    <t>www.lixinger.com/analytics/company/sh/603128/603128/detail</t>
  </si>
  <si>
    <t>润邦股份</t>
  </si>
  <si>
    <t>www.lixinger.com/analytics/company/sz/002483/2483/detail</t>
  </si>
  <si>
    <t>桃李面包</t>
  </si>
  <si>
    <t>烘焙食品</t>
  </si>
  <si>
    <t>www.lixinger.com/analytics/company/sh/603866/603866/detail</t>
  </si>
  <si>
    <t>利欧股份</t>
  </si>
  <si>
    <t>www.lixinger.com/analytics/company/sz/002131/2131/detail</t>
  </si>
  <si>
    <t>久盛电气</t>
  </si>
  <si>
    <t>www.lixinger.com/analytics/company/sz/301082/301082/detail</t>
  </si>
  <si>
    <t>杭叉集团</t>
  </si>
  <si>
    <t>www.lixinger.com/analytics/company/sh/603298/603298/detail</t>
  </si>
  <si>
    <t>杭州解百</t>
  </si>
  <si>
    <t>www.lixinger.com/analytics/company/sh/600814/600814/detail</t>
  </si>
  <si>
    <t>卓胜微</t>
  </si>
  <si>
    <t>www.lixinger.com/analytics/company/sz/300782/300782/detail</t>
  </si>
  <si>
    <t>晨鸣纸业</t>
  </si>
  <si>
    <t>www.lixinger.com/analytics/company/sz/000488/488/detail</t>
  </si>
  <si>
    <t>锦泓集团</t>
  </si>
  <si>
    <t>www.lixinger.com/analytics/company/sh/603518/603518/detail</t>
  </si>
  <si>
    <t>茂业商业</t>
  </si>
  <si>
    <t>www.lixinger.com/analytics/company/sh/600828/600828/detail</t>
  </si>
  <si>
    <t>世纪华通</t>
  </si>
  <si>
    <t>www.lixinger.com/analytics/company/sz/002602/2602/detail</t>
  </si>
  <si>
    <t>蓝焰控股</t>
  </si>
  <si>
    <t>www.lixinger.com/analytics/company/sz/000968/968/detail</t>
  </si>
  <si>
    <t>三江购物</t>
  </si>
  <si>
    <t>www.lixinger.com/analytics/company/sh/601116/601116/detail</t>
  </si>
  <si>
    <t>ST洲际</t>
  </si>
  <si>
    <t>www.lixinger.com/analytics/company/sh/600759/600759/detail</t>
  </si>
  <si>
    <t>三峰环境</t>
  </si>
  <si>
    <t>www.lixinger.com/analytics/company/sh/601827/601827/detail</t>
  </si>
  <si>
    <t>明牌珠宝</t>
  </si>
  <si>
    <t>www.lixinger.com/analytics/company/sz/002574/2574/detail</t>
  </si>
  <si>
    <t>拉卡拉</t>
  </si>
  <si>
    <t>金融信息服务</t>
  </si>
  <si>
    <t>www.lixinger.com/analytics/company/sz/300773/300773/detail</t>
  </si>
  <si>
    <t>小熊电器</t>
  </si>
  <si>
    <t>www.lixinger.com/analytics/company/sz/002959/2959/detail</t>
  </si>
  <si>
    <t>深粮控股</t>
  </si>
  <si>
    <t>www.lixinger.com/analytics/company/sz/000019/19/detail</t>
  </si>
  <si>
    <t>绿城水务</t>
  </si>
  <si>
    <t>www.lixinger.com/analytics/company/sh/601368/601368/detail</t>
  </si>
  <si>
    <t>中核钛白</t>
  </si>
  <si>
    <t>www.lixinger.com/analytics/company/sz/002145/2145/detail</t>
  </si>
  <si>
    <t>潮宏基</t>
  </si>
  <si>
    <t>www.lixinger.com/analytics/company/sz/002345/2345/detail</t>
  </si>
  <si>
    <t>大商股份</t>
  </si>
  <si>
    <t>www.lixinger.com/analytics/company/sh/600694/600694/detail</t>
  </si>
  <si>
    <t>科沃斯</t>
  </si>
  <si>
    <t>清洁小家电</t>
  </si>
  <si>
    <t>www.lixinger.com/analytics/company/sh/603486/603486/detail</t>
  </si>
  <si>
    <t>金开新能</t>
  </si>
  <si>
    <t>www.lixinger.com/analytics/company/sh/600821/600821/detail</t>
  </si>
  <si>
    <t>创业环保</t>
  </si>
  <si>
    <t>www.lixinger.com/analytics/company/sh/600874/600874/detail</t>
  </si>
  <si>
    <t>恒邦股份</t>
  </si>
  <si>
    <t>www.lixinger.com/analytics/company/sz/002237/2237/detail</t>
  </si>
  <si>
    <t>金禾实业</t>
  </si>
  <si>
    <t>www.lixinger.com/analytics/company/sz/002597/2597/detail</t>
  </si>
  <si>
    <t>浙江龙盛</t>
  </si>
  <si>
    <t>www.lixinger.com/analytics/company/sh/600352/600352/detail</t>
  </si>
  <si>
    <t>卧龙电驱</t>
  </si>
  <si>
    <t>www.lixinger.com/analytics/company/sh/600580/600580/detail</t>
  </si>
  <si>
    <t>东方嘉盛</t>
  </si>
  <si>
    <t>www.lixinger.com/analytics/company/sz/002889/2889/detail</t>
  </si>
  <si>
    <t>中鼎股份</t>
  </si>
  <si>
    <t>其他汽车零部件</t>
  </si>
  <si>
    <t>www.lixinger.com/analytics/company/sz/000887/887/detail</t>
  </si>
  <si>
    <t>富森美</t>
  </si>
  <si>
    <t>www.lixinger.com/analytics/company/sz/002818/2818/detail</t>
  </si>
  <si>
    <t>万里扬</t>
  </si>
  <si>
    <t>www.lixinger.com/analytics/company/sz/002434/2434/detail</t>
  </si>
  <si>
    <t>拓日新能</t>
  </si>
  <si>
    <t>www.lixinger.com/analytics/company/sz/002218/2218/detail</t>
  </si>
  <si>
    <t>华峰化学</t>
  </si>
  <si>
    <t>氨纶</t>
  </si>
  <si>
    <t>www.lixinger.com/analytics/company/sz/002064/2064/detail</t>
  </si>
  <si>
    <t>现代投资</t>
  </si>
  <si>
    <t>www.lixinger.com/analytics/company/sz/000900/900/detail</t>
  </si>
  <si>
    <t>中超控股</t>
  </si>
  <si>
    <t>www.lixinger.com/analytics/company/sz/002471/2471/detail</t>
  </si>
  <si>
    <t>天坛生物</t>
  </si>
  <si>
    <t>www.lixinger.com/analytics/company/sh/600161/600161/detail</t>
  </si>
  <si>
    <t>禾望电气</t>
  </si>
  <si>
    <t>风电零部件</t>
  </si>
  <si>
    <t>www.lixinger.com/analytics/company/sh/603063/603063/detail</t>
  </si>
  <si>
    <t>利尔化学</t>
  </si>
  <si>
    <t>www.lixinger.com/analytics/company/sz/002258/2258/detail</t>
  </si>
  <si>
    <t>凯莱英</t>
  </si>
  <si>
    <t>www.lixinger.com/analytics/company/sz/002821/2821/detail</t>
  </si>
  <si>
    <t>爱建集团</t>
  </si>
  <si>
    <t>www.lixinger.com/analytics/company/sh/600643/600643/detail</t>
  </si>
  <si>
    <t>珠海港</t>
  </si>
  <si>
    <t>www.lixinger.com/analytics/company/sz/000507/507/detail</t>
  </si>
  <si>
    <t>金隅集团</t>
  </si>
  <si>
    <t>www.lixinger.com/analytics/company/sh/601992/601992/detail</t>
  </si>
  <si>
    <t>日月股份</t>
  </si>
  <si>
    <t>www.lixinger.com/analytics/company/sh/603218/603218/detail</t>
  </si>
  <si>
    <t>蓝色光标</t>
  </si>
  <si>
    <t>www.lixinger.com/analytics/company/sz/300058/300058/detail</t>
  </si>
  <si>
    <t>上海港湾</t>
  </si>
  <si>
    <t>其他专业工程</t>
  </si>
  <si>
    <t>www.lixinger.com/analytics/company/sh/605598/605598/detail</t>
  </si>
  <si>
    <t>明泰铝业</t>
  </si>
  <si>
    <t>www.lixinger.com/analytics/company/sh/601677/601677/detail</t>
  </si>
  <si>
    <t>五矿稀土</t>
  </si>
  <si>
    <t>www.lixinger.com/analytics/company/sz/000831/831/detail</t>
  </si>
  <si>
    <t>东华科技</t>
  </si>
  <si>
    <t>化学工程</t>
  </si>
  <si>
    <t>www.lixinger.com/analytics/company/sz/002140/2140/detail</t>
  </si>
  <si>
    <t>安徽合力</t>
  </si>
  <si>
    <t>www.lixinger.com/analytics/company/sh/600761/600761/detail</t>
  </si>
  <si>
    <t>德昌股份</t>
  </si>
  <si>
    <t>www.lixinger.com/analytics/company/sh/605555/605555/detail</t>
  </si>
  <si>
    <t>华微电子</t>
  </si>
  <si>
    <t>www.lixinger.com/analytics/company/sh/600360/600360/detail</t>
  </si>
  <si>
    <t>郴电国际</t>
  </si>
  <si>
    <t>www.lixinger.com/analytics/company/sh/600969/600969/detail</t>
  </si>
  <si>
    <t>联泓新科</t>
  </si>
  <si>
    <t>www.lixinger.com/analytics/company/sz/003022/3022/detail</t>
  </si>
  <si>
    <t>雅化集团</t>
  </si>
  <si>
    <t>民爆制品</t>
  </si>
  <si>
    <t>www.lixinger.com/analytics/company/sz/002497/2497/detail</t>
  </si>
  <si>
    <t>太阳能</t>
  </si>
  <si>
    <t>www.lixinger.com/analytics/company/sz/000591/591/detail</t>
  </si>
  <si>
    <t>首钢股份</t>
  </si>
  <si>
    <t>www.lixinger.com/analytics/company/sz/000959/959/detail</t>
  </si>
  <si>
    <t>涪陵电力</t>
  </si>
  <si>
    <t>www.lixinger.com/analytics/company/sh/600452/600452/detail</t>
  </si>
  <si>
    <t>万盛股份</t>
  </si>
  <si>
    <t>其他塑料制品</t>
  </si>
  <si>
    <t>www.lixinger.com/analytics/company/sh/603010/603010/detail</t>
  </si>
  <si>
    <t>华灿光电</t>
  </si>
  <si>
    <t>www.lixinger.com/analytics/company/sz/300323/300323/detail</t>
  </si>
  <si>
    <t>滨化股份</t>
  </si>
  <si>
    <t>www.lixinger.com/analytics/company/sh/601678/601678/detail</t>
  </si>
  <si>
    <t>国联水产</t>
  </si>
  <si>
    <t>水产养殖</t>
  </si>
  <si>
    <t>www.lixinger.com/analytics/company/sz/300094/300094/detail</t>
  </si>
  <si>
    <t>格力地产</t>
  </si>
  <si>
    <t>www.lixinger.com/analytics/company/sh/600185/600185/detail</t>
  </si>
  <si>
    <t>生益电子</t>
  </si>
  <si>
    <t>www.lixinger.com/analytics/company/sh/688183/688183/detail</t>
  </si>
  <si>
    <t>模塑科技</t>
  </si>
  <si>
    <t>www.lixinger.com/analytics/company/sz/000700/700/detail</t>
  </si>
  <si>
    <t>三峡水利</t>
  </si>
  <si>
    <t>www.lixinger.com/analytics/company/sh/600116/600116/detail</t>
  </si>
  <si>
    <t>皖新传媒</t>
  </si>
  <si>
    <t>大众出版</t>
  </si>
  <si>
    <t>www.lixinger.com/analytics/company/sh/601801/601801/detail</t>
  </si>
  <si>
    <t>晨光新材</t>
  </si>
  <si>
    <t>www.lixinger.com/analytics/company/sh/605399/605399/detail</t>
  </si>
  <si>
    <t>当升科技</t>
  </si>
  <si>
    <t>www.lixinger.com/analytics/company/sz/300073/300073/detail</t>
  </si>
  <si>
    <t>龙版传媒</t>
  </si>
  <si>
    <t>www.lixinger.com/analytics/company/sh/605577/605577/detail</t>
  </si>
  <si>
    <t>光迅科技</t>
  </si>
  <si>
    <t>www.lixinger.com/analytics/company/sz/002281/2281/detail</t>
  </si>
  <si>
    <t>ST大洲</t>
  </si>
  <si>
    <t>www.lixinger.com/analytics/company/sz/000571/571/detail</t>
  </si>
  <si>
    <t>国光电器</t>
  </si>
  <si>
    <t>品牌消费电子</t>
  </si>
  <si>
    <t>www.lixinger.com/analytics/company/sz/002045/2045/detail</t>
  </si>
  <si>
    <t>富瑞特装</t>
  </si>
  <si>
    <t>www.lixinger.com/analytics/company/sz/300228/300228/detail</t>
  </si>
  <si>
    <t>汤姆猫</t>
  </si>
  <si>
    <t>www.lixinger.com/analytics/company/sz/300459/300459/detail</t>
  </si>
  <si>
    <t>安图生物</t>
  </si>
  <si>
    <t>www.lixinger.com/analytics/company/sh/603658/603658/detail</t>
  </si>
  <si>
    <t>新泉股份</t>
  </si>
  <si>
    <t>www.lixinger.com/analytics/company/sh/603179/603179/detail</t>
  </si>
  <si>
    <t>金岭矿业</t>
  </si>
  <si>
    <t>www.lixinger.com/analytics/company/sz/000655/655/detail</t>
  </si>
  <si>
    <t>宏润建设</t>
  </si>
  <si>
    <t>基建市政工程</t>
  </si>
  <si>
    <t>www.lixinger.com/analytics/company/sz/002062/2062/detail</t>
  </si>
  <si>
    <t>长江健康</t>
  </si>
  <si>
    <t>www.lixinger.com/analytics/company/sz/002435/2435/detail</t>
  </si>
  <si>
    <t>文山电力</t>
  </si>
  <si>
    <t>www.lixinger.com/analytics/company/sh/600995/600995/detail</t>
  </si>
  <si>
    <t>新产业</t>
  </si>
  <si>
    <t>www.lixinger.com/analytics/company/sz/300832/300832/detail</t>
  </si>
  <si>
    <t>南都电源</t>
  </si>
  <si>
    <t>蓄电池及其他电池</t>
  </si>
  <si>
    <t>www.lixinger.com/analytics/company/sz/300068/300068/detail</t>
  </si>
  <si>
    <t>铁龙物流</t>
  </si>
  <si>
    <t>www.lixinger.com/analytics/company/sh/600125/600125/detail</t>
  </si>
  <si>
    <t>恩捷股份</t>
  </si>
  <si>
    <t>www.lixinger.com/analytics/company/sz/002812/2812/detail</t>
  </si>
  <si>
    <t>兴业矿业</t>
  </si>
  <si>
    <t>www.lixinger.com/analytics/company/sz/000426/426/detail</t>
  </si>
  <si>
    <t>华润双鹤</t>
  </si>
  <si>
    <t>www.lixinger.com/analytics/company/sh/600062/600062/detail</t>
  </si>
  <si>
    <t>淮河能源</t>
  </si>
  <si>
    <t>www.lixinger.com/analytics/company/sh/600575/600575/detail</t>
  </si>
  <si>
    <t>杭可科技</t>
  </si>
  <si>
    <t>锂电专用设备</t>
  </si>
  <si>
    <t>www.lixinger.com/analytics/company/sh/688006/688006/detail</t>
  </si>
  <si>
    <t>复旦微电</t>
  </si>
  <si>
    <t>www.lixinger.com/analytics/company/sh/688385/688385/detail</t>
  </si>
  <si>
    <t>白云机场</t>
  </si>
  <si>
    <t>www.lixinger.com/analytics/company/sh/600004/600004/detail</t>
  </si>
  <si>
    <t>美联新材</t>
  </si>
  <si>
    <t>改性塑料</t>
  </si>
  <si>
    <t>www.lixinger.com/analytics/company/sz/300586/300586/detail</t>
  </si>
  <si>
    <t>横店东磁</t>
  </si>
  <si>
    <t>磁性材料</t>
  </si>
  <si>
    <t>www.lixinger.com/analytics/company/sz/002056/2056/detail</t>
  </si>
  <si>
    <t>成都燃气</t>
  </si>
  <si>
    <t>www.lixinger.com/analytics/company/sh/603053/603053/detail</t>
  </si>
  <si>
    <t>红日药业</t>
  </si>
  <si>
    <t>www.lixinger.com/analytics/company/sz/300026/300026/detail</t>
  </si>
  <si>
    <t>梦网科技</t>
  </si>
  <si>
    <t>通信应用增值服务</t>
  </si>
  <si>
    <t>www.lixinger.com/analytics/company/sz/002123/2123/detail</t>
  </si>
  <si>
    <t>继峰股份</t>
  </si>
  <si>
    <t>www.lixinger.com/analytics/company/sh/603997/603997/detail</t>
  </si>
  <si>
    <t>新大陆</t>
  </si>
  <si>
    <t>其他计算机设备</t>
  </si>
  <si>
    <t>www.lixinger.com/analytics/company/sz/000997/997/detail</t>
  </si>
  <si>
    <t>山鹰国际</t>
  </si>
  <si>
    <t>www.lixinger.com/analytics/company/sh/600567/600567/detail</t>
  </si>
  <si>
    <t>数据港</t>
  </si>
  <si>
    <t>www.lixinger.com/analytics/company/sh/603881/603881/detail</t>
  </si>
  <si>
    <t>司尔特</t>
  </si>
  <si>
    <t>www.lixinger.com/analytics/company/sz/002538/2538/detail</t>
  </si>
  <si>
    <t>莱宝高科</t>
  </si>
  <si>
    <t>www.lixinger.com/analytics/company/sz/002106/2106/detail</t>
  </si>
  <si>
    <t>银禧科技</t>
  </si>
  <si>
    <t>www.lixinger.com/analytics/company/sz/300221/300221/detail</t>
  </si>
  <si>
    <t>锌业股份</t>
  </si>
  <si>
    <t>www.lixinger.com/analytics/company/sz/000751/751/detail</t>
  </si>
  <si>
    <t>普洛药业</t>
  </si>
  <si>
    <t>www.lixinger.com/analytics/company/sz/000739/739/detail</t>
  </si>
  <si>
    <t>常熟汽饰</t>
  </si>
  <si>
    <t>www.lixinger.com/analytics/company/sh/603035/603035/detail</t>
  </si>
  <si>
    <t>鼎胜新材</t>
  </si>
  <si>
    <t>www.lixinger.com/analytics/company/sh/603876/603876/detail</t>
  </si>
  <si>
    <t>中成股份</t>
  </si>
  <si>
    <t>贸易</t>
  </si>
  <si>
    <t>www.lixinger.com/analytics/company/sz/000151/151/detail</t>
  </si>
  <si>
    <t>中信海直</t>
  </si>
  <si>
    <t>www.lixinger.com/analytics/company/sz/000099/99/detail</t>
  </si>
  <si>
    <t>京新药业</t>
  </si>
  <si>
    <t>www.lixinger.com/analytics/company/sz/002020/2020/detail</t>
  </si>
  <si>
    <t>依顿电子</t>
  </si>
  <si>
    <t>www.lixinger.com/analytics/company/sh/603328/603328/detail</t>
  </si>
  <si>
    <t>纽威股份</t>
  </si>
  <si>
    <t>www.lixinger.com/analytics/company/sh/603699/603699/detail</t>
  </si>
  <si>
    <t>海王生物</t>
  </si>
  <si>
    <t>www.lixinger.com/analytics/company/sz/000078/78/detail</t>
  </si>
  <si>
    <t>桂林三金</t>
  </si>
  <si>
    <t>www.lixinger.com/analytics/company/sz/002275/2275/detail</t>
  </si>
  <si>
    <t>氯碱化工</t>
  </si>
  <si>
    <t>www.lixinger.com/analytics/company/sh/600618/600618/detail</t>
  </si>
  <si>
    <t>永新股份</t>
  </si>
  <si>
    <t>塑料包装</t>
  </si>
  <si>
    <t>www.lixinger.com/analytics/company/sz/002014/2014/detail</t>
  </si>
  <si>
    <t>石头科技</t>
  </si>
  <si>
    <t>www.lixinger.com/analytics/company/sh/688169/688169/detail</t>
  </si>
  <si>
    <t>麦捷科技</t>
  </si>
  <si>
    <t>www.lixinger.com/analytics/company/sz/300319/300319/detail</t>
  </si>
  <si>
    <t>电连技术</t>
  </si>
  <si>
    <t>www.lixinger.com/analytics/company/sz/300679/300679/detail</t>
  </si>
  <si>
    <t>玲珑轮胎</t>
  </si>
  <si>
    <t>轮胎轮毂</t>
  </si>
  <si>
    <t>www.lixinger.com/analytics/company/sh/601966/601966/detail</t>
  </si>
  <si>
    <t>信立泰</t>
  </si>
  <si>
    <t>www.lixinger.com/analytics/company/sz/002294/2294/detail</t>
  </si>
  <si>
    <t>光环新网</t>
  </si>
  <si>
    <t>www.lixinger.com/analytics/company/sz/300383/300383/detail</t>
  </si>
  <si>
    <t>法拉电子</t>
  </si>
  <si>
    <t>www.lixinger.com/analytics/company/sh/600563/600563/detail</t>
  </si>
  <si>
    <t>安科生物</t>
  </si>
  <si>
    <t>www.lixinger.com/analytics/company/sz/300009/300009/detail</t>
  </si>
  <si>
    <t>华鑫股份</t>
  </si>
  <si>
    <t>www.lixinger.com/analytics/company/sh/600621/600621/detail</t>
  </si>
  <si>
    <t>中矿资源</t>
  </si>
  <si>
    <t>www.lixinger.com/analytics/company/sz/002738/2738/detail</t>
  </si>
  <si>
    <t>广汇物流</t>
  </si>
  <si>
    <t>www.lixinger.com/analytics/company/sh/600603/600603/detail</t>
  </si>
  <si>
    <t>沪硅产业</t>
  </si>
  <si>
    <t>www.lixinger.com/analytics/company/sh/688126/688126/detail</t>
  </si>
  <si>
    <t>罗牛山</t>
  </si>
  <si>
    <t>生猪养殖</t>
  </si>
  <si>
    <t>www.lixinger.com/analytics/company/sz/000735/735/detail</t>
  </si>
  <si>
    <t>株冶集团</t>
  </si>
  <si>
    <t>www.lixinger.com/analytics/company/sh/600961/600961/detail</t>
  </si>
  <si>
    <t>赤峰黄金</t>
  </si>
  <si>
    <t>www.lixinger.com/analytics/company/sh/600988/600988/detail</t>
  </si>
  <si>
    <t>金博股份</t>
  </si>
  <si>
    <t>www.lixinger.com/analytics/company/sh/688598/688598/detail</t>
  </si>
  <si>
    <t>崇达技术</t>
  </si>
  <si>
    <t>www.lixinger.com/analytics/company/sz/002815/2815/detail</t>
  </si>
  <si>
    <t>合兴包装</t>
  </si>
  <si>
    <t>www.lixinger.com/analytics/company/sz/002228/2228/detail</t>
  </si>
  <si>
    <t>华邦健康</t>
  </si>
  <si>
    <t>www.lixinger.com/analytics/company/sz/002004/2004/detail</t>
  </si>
  <si>
    <t>宗申动力</t>
  </si>
  <si>
    <t>www.lixinger.com/analytics/company/sz/001696/1696/detail</t>
  </si>
  <si>
    <t>万向钱潮</t>
  </si>
  <si>
    <t>www.lixinger.com/analytics/company/sz/000559/559/detail</t>
  </si>
  <si>
    <t>山东黄金</t>
  </si>
  <si>
    <t>www.lixinger.com/analytics/company/sh/600547/600547/detail</t>
  </si>
  <si>
    <t>上海能源</t>
  </si>
  <si>
    <t>www.lixinger.com/analytics/company/sh/600508/600508/detail</t>
  </si>
  <si>
    <t>精研科技</t>
  </si>
  <si>
    <t>www.lixinger.com/analytics/company/sz/300709/300709/detail</t>
  </si>
  <si>
    <t>锦和商业</t>
  </si>
  <si>
    <t>www.lixinger.com/analytics/company/sh/603682/603682/detail</t>
  </si>
  <si>
    <t>密尔克卫</t>
  </si>
  <si>
    <t>仓储物流</t>
  </si>
  <si>
    <t>www.lixinger.com/analytics/company/sh/603713/603713/detail</t>
  </si>
  <si>
    <t>中体产业</t>
  </si>
  <si>
    <t>体育</t>
  </si>
  <si>
    <t>www.lixinger.com/analytics/company/sh/600158/600158/detail</t>
  </si>
  <si>
    <t>苏宁环球</t>
  </si>
  <si>
    <t>www.lixinger.com/analytics/company/sz/000718/718/detail</t>
  </si>
  <si>
    <t>欧普康视</t>
  </si>
  <si>
    <t>www.lixinger.com/analytics/company/sz/300595/300595/detail</t>
  </si>
  <si>
    <t>航天机电</t>
  </si>
  <si>
    <t>www.lixinger.com/analytics/company/sh/600151/600151/detail</t>
  </si>
  <si>
    <t>蓝黛科技</t>
  </si>
  <si>
    <t>www.lixinger.com/analytics/company/sz/002765/2765/detail</t>
  </si>
  <si>
    <t>来伊份</t>
  </si>
  <si>
    <t>www.lixinger.com/analytics/company/sh/603777/603777/detail</t>
  </si>
  <si>
    <t>爱慕股份</t>
  </si>
  <si>
    <t>鞋帽及其他</t>
  </si>
  <si>
    <t>www.lixinger.com/analytics/company/sh/603511/603511/detail</t>
  </si>
  <si>
    <t>中复神鹰</t>
  </si>
  <si>
    <t>www.lixinger.com/analytics/company/sh/688295/688295/detail</t>
  </si>
  <si>
    <t>江苏新能</t>
  </si>
  <si>
    <t>www.lixinger.com/analytics/company/sh/603693/603693/detail</t>
  </si>
  <si>
    <t>天味食品</t>
  </si>
  <si>
    <t>www.lixinger.com/analytics/company/sh/603317/603317/detail</t>
  </si>
  <si>
    <t>思瑞浦</t>
  </si>
  <si>
    <t>www.lixinger.com/analytics/company/sh/688536/688536/detail</t>
  </si>
  <si>
    <t>三联虹普</t>
  </si>
  <si>
    <t>www.lixinger.com/analytics/company/sz/300384/300384/detail</t>
  </si>
  <si>
    <t>口子窖</t>
  </si>
  <si>
    <t>www.lixinger.com/analytics/company/sh/603589/603589/detail</t>
  </si>
  <si>
    <t>海印股份</t>
  </si>
  <si>
    <t>www.lixinger.com/analytics/company/sz/000861/861/detail</t>
  </si>
  <si>
    <t>华丰股份</t>
  </si>
  <si>
    <t>www.lixinger.com/analytics/company/sh/605100/605100/detail</t>
  </si>
  <si>
    <t>哈药股份</t>
  </si>
  <si>
    <t>www.lixinger.com/analytics/company/sh/600664/600664/detail</t>
  </si>
  <si>
    <t>辽港股份</t>
  </si>
  <si>
    <t>www.lixinger.com/analytics/company/sh/601880/601880/detail</t>
  </si>
  <si>
    <t>金鹰重工</t>
  </si>
  <si>
    <t>轨交设备</t>
  </si>
  <si>
    <t>www.lixinger.com/analytics/company/sz/301048/301048/detail</t>
  </si>
  <si>
    <t>盈趣科技</t>
  </si>
  <si>
    <t>www.lixinger.com/analytics/company/sz/002925/2925/detail</t>
  </si>
  <si>
    <t>华友钴业</t>
  </si>
  <si>
    <t>www.lixinger.com/analytics/company/sh/603799/603799/detail</t>
  </si>
  <si>
    <t>松霖科技</t>
  </si>
  <si>
    <t>卫浴制品</t>
  </si>
  <si>
    <t>www.lixinger.com/analytics/company/sh/603992/603992/detail</t>
  </si>
  <si>
    <t>金山办公</t>
  </si>
  <si>
    <t>横向通用软件</t>
  </si>
  <si>
    <t>www.lixinger.com/analytics/company/sh/688111/688111/detail</t>
  </si>
  <si>
    <t>华塑股份</t>
  </si>
  <si>
    <t>www.lixinger.com/analytics/company/sh/600935/600935/detail</t>
  </si>
  <si>
    <t>旭升股份</t>
  </si>
  <si>
    <t>www.lixinger.com/analytics/company/sh/603305/603305/detail</t>
  </si>
  <si>
    <t>均胜电子</t>
  </si>
  <si>
    <t>www.lixinger.com/analytics/company/sh/600699/600699/detail</t>
  </si>
  <si>
    <t>卓然股份</t>
  </si>
  <si>
    <t>www.lixinger.com/analytics/company/sh/688121/688121/detail</t>
  </si>
  <si>
    <t>飞荣达</t>
  </si>
  <si>
    <t>www.lixinger.com/analytics/company/sz/300602/300602/detail</t>
  </si>
  <si>
    <t>安正时尚</t>
  </si>
  <si>
    <t>www.lixinger.com/analytics/company/sh/603839/603839/detail</t>
  </si>
  <si>
    <t>甘肃电投</t>
  </si>
  <si>
    <t>www.lixinger.com/analytics/company/sz/000791/791/detail</t>
  </si>
  <si>
    <t>海翔药业</t>
  </si>
  <si>
    <t>www.lixinger.com/analytics/company/sz/002099/2099/detail</t>
  </si>
  <si>
    <t>博汇纸业</t>
  </si>
  <si>
    <t>www.lixinger.com/analytics/company/sh/600966/600966/detail</t>
  </si>
  <si>
    <t>双星新材</t>
  </si>
  <si>
    <t>膜材料</t>
  </si>
  <si>
    <t>www.lixinger.com/analytics/company/sz/002585/2585/detail</t>
  </si>
  <si>
    <t>精艺股份</t>
  </si>
  <si>
    <t>www.lixinger.com/analytics/company/sz/002295/2295/detail</t>
  </si>
  <si>
    <t>恒瑞医药</t>
  </si>
  <si>
    <t>www.lixinger.com/analytics/company/sh/600276/600276/detail</t>
  </si>
  <si>
    <t>科力远</t>
  </si>
  <si>
    <t>www.lixinger.com/analytics/company/sh/600478/600478/detail</t>
  </si>
  <si>
    <t>秦安股份</t>
  </si>
  <si>
    <t>www.lixinger.com/analytics/company/sh/603758/603758/detail</t>
  </si>
  <si>
    <t>银龙股份</t>
  </si>
  <si>
    <t>www.lixinger.com/analytics/company/sh/603969/603969/detail</t>
  </si>
  <si>
    <t>心脉医疗</t>
  </si>
  <si>
    <t>www.lixinger.com/analytics/company/sh/688016/688016/detail</t>
  </si>
  <si>
    <t>凯赛生物</t>
  </si>
  <si>
    <t>www.lixinger.com/analytics/company/sh/688065/688065/detail</t>
  </si>
  <si>
    <t>英力特</t>
  </si>
  <si>
    <t>www.lixinger.com/analytics/company/sz/000635/635/detail</t>
  </si>
  <si>
    <t>煌上煌</t>
  </si>
  <si>
    <t>www.lixinger.com/analytics/company/sz/002695/2695/detail</t>
  </si>
  <si>
    <t>宏川智慧</t>
  </si>
  <si>
    <t>www.lixinger.com/analytics/company/sz/002930/2930/detail</t>
  </si>
  <si>
    <t>ST红太阳</t>
  </si>
  <si>
    <t>www.lixinger.com/analytics/company/sz/000525/525/detail</t>
  </si>
  <si>
    <t>游族网络</t>
  </si>
  <si>
    <t>www.lixinger.com/analytics/company/sz/002174/2174/detail</t>
  </si>
  <si>
    <t>隆鑫通用</t>
  </si>
  <si>
    <t>www.lixinger.com/analytics/company/sh/603766/603766/detail</t>
  </si>
  <si>
    <t>景津装备</t>
  </si>
  <si>
    <t>环保设备</t>
  </si>
  <si>
    <t>www.lixinger.com/analytics/company/sh/603279/603279/detail</t>
  </si>
  <si>
    <t>中金岭南</t>
  </si>
  <si>
    <t>www.lixinger.com/analytics/company/sz/000060/60/detail</t>
  </si>
  <si>
    <t>力帆科技</t>
  </si>
  <si>
    <t>www.lixinger.com/analytics/company/sh/601777/601777/detail</t>
  </si>
  <si>
    <t>九芝堂</t>
  </si>
  <si>
    <t>www.lixinger.com/analytics/company/sz/000989/989/detail</t>
  </si>
  <si>
    <t>仙乐健康</t>
  </si>
  <si>
    <t>保健品</t>
  </si>
  <si>
    <t>www.lixinger.com/analytics/company/sz/300791/300791/detail</t>
  </si>
  <si>
    <t>学大教育</t>
  </si>
  <si>
    <t>www.lixinger.com/analytics/company/sz/000526/526/detail</t>
  </si>
  <si>
    <t>中京电子</t>
  </si>
  <si>
    <t>www.lixinger.com/analytics/company/sz/002579/2579/detail</t>
  </si>
  <si>
    <t>德才股份</t>
  </si>
  <si>
    <t>装修装饰</t>
  </si>
  <si>
    <t>www.lixinger.com/analytics/company/sh/605287/605287/detail</t>
  </si>
  <si>
    <t>闽东电力</t>
  </si>
  <si>
    <t>www.lixinger.com/analytics/company/sz/000993/993/detail</t>
  </si>
  <si>
    <t>岱美股份</t>
  </si>
  <si>
    <t>www.lixinger.com/analytics/company/sh/603730/603730/detail</t>
  </si>
  <si>
    <t>金徽股份</t>
  </si>
  <si>
    <t>www.lixinger.com/analytics/company/sh/603132/603132/detail</t>
  </si>
  <si>
    <t>嘉凯城</t>
  </si>
  <si>
    <t>www.lixinger.com/analytics/company/sz/000918/918/detail</t>
  </si>
  <si>
    <t>钱江水利</t>
  </si>
  <si>
    <t>www.lixinger.com/analytics/company/sh/600283/600283/detail</t>
  </si>
  <si>
    <t>红旗连锁</t>
  </si>
  <si>
    <t>www.lixinger.com/analytics/company/sz/002697/2697/detail</t>
  </si>
  <si>
    <t>*ST浪奇</t>
  </si>
  <si>
    <t>洗护用品</t>
  </si>
  <si>
    <t>www.lixinger.com/analytics/company/sz/000523/523/detail</t>
  </si>
  <si>
    <t>南京高科</t>
  </si>
  <si>
    <t>www.lixinger.com/analytics/company/sh/600064/600064/detail</t>
  </si>
  <si>
    <t>彩虹集团</t>
  </si>
  <si>
    <t>www.lixinger.com/analytics/company/sz/003023/3023/detail</t>
  </si>
  <si>
    <t>伊力特</t>
  </si>
  <si>
    <t>www.lixinger.com/analytics/company/sh/600197/600197/detail</t>
  </si>
  <si>
    <t>尔康制药</t>
  </si>
  <si>
    <t>www.lixinger.com/analytics/company/sz/300267/300267/detail</t>
  </si>
  <si>
    <t>信邦制药</t>
  </si>
  <si>
    <t>www.lixinger.com/analytics/company/sz/002390/2390/detail</t>
  </si>
  <si>
    <t>黄河旋风</t>
  </si>
  <si>
    <t>www.lixinger.com/analytics/company/sh/600172/600172/detail</t>
  </si>
  <si>
    <t>华联股份</t>
  </si>
  <si>
    <t>www.lixinger.com/analytics/company/sz/000882/882/detail</t>
  </si>
  <si>
    <t>汇洁股份</t>
  </si>
  <si>
    <t>www.lixinger.com/analytics/company/sz/002763/2763/detail</t>
  </si>
  <si>
    <t>佛燃能源</t>
  </si>
  <si>
    <t>www.lixinger.com/analytics/company/sz/002911/2911/detail</t>
  </si>
  <si>
    <t>联发股份</t>
  </si>
  <si>
    <t>www.lixinger.com/analytics/company/sz/002394/2394/detail</t>
  </si>
  <si>
    <t>星辉环材</t>
  </si>
  <si>
    <t>合成树脂</t>
  </si>
  <si>
    <t>www.lixinger.com/analytics/company/sz/300834/300834/detail</t>
  </si>
  <si>
    <t>佳沃食品</t>
  </si>
  <si>
    <t>其他农产品加工</t>
  </si>
  <si>
    <t>www.lixinger.com/analytics/company/sz/300268/300268/detail</t>
  </si>
  <si>
    <t>洁雅股份</t>
  </si>
  <si>
    <t>www.lixinger.com/analytics/company/sz/301108/301108/detail</t>
  </si>
  <si>
    <t>傲农生物</t>
  </si>
  <si>
    <t>畜禽饲料</t>
  </si>
  <si>
    <t>www.lixinger.com/analytics/company/sh/603363/603363/detail</t>
  </si>
  <si>
    <t>横店影视</t>
  </si>
  <si>
    <t>www.lixinger.com/analytics/company/sh/603103/603103/detail</t>
  </si>
  <si>
    <t>一心堂</t>
  </si>
  <si>
    <t>www.lixinger.com/analytics/company/sz/002727/2727/detail</t>
  </si>
  <si>
    <t>瑞康医药</t>
  </si>
  <si>
    <t>www.lixinger.com/analytics/company/sz/002589/2589/detail</t>
  </si>
  <si>
    <t>德展健康</t>
  </si>
  <si>
    <t>www.lixinger.com/analytics/company/sz/000813/813/detail</t>
  </si>
  <si>
    <t>东旭光电</t>
  </si>
  <si>
    <t>www.lixinger.com/analytics/company/sz/000413/413/detail</t>
  </si>
  <si>
    <t>派能科技</t>
  </si>
  <si>
    <t>www.lixinger.com/analytics/company/sh/688063/688063/detail</t>
  </si>
  <si>
    <t>众兴菌业</t>
  </si>
  <si>
    <t>食用菌</t>
  </si>
  <si>
    <t>www.lixinger.com/analytics/company/sz/002772/2772/detail</t>
  </si>
  <si>
    <t>万润科技</t>
  </si>
  <si>
    <t>www.lixinger.com/analytics/company/sz/002654/2654/detail</t>
  </si>
  <si>
    <t>新乡化纤</t>
  </si>
  <si>
    <t>www.lixinger.com/analytics/company/sz/000949/949/detail</t>
  </si>
  <si>
    <t>健帆生物</t>
  </si>
  <si>
    <t>www.lixinger.com/analytics/company/sz/300529/300529/detail</t>
  </si>
  <si>
    <t>航民股份</t>
  </si>
  <si>
    <t>印染</t>
  </si>
  <si>
    <t>www.lixinger.com/analytics/company/sh/600987/600987/detail</t>
  </si>
  <si>
    <t>老板电器</t>
  </si>
  <si>
    <t>厨房电器</t>
  </si>
  <si>
    <t>www.lixinger.com/analytics/company/sz/002508/2508/detail</t>
  </si>
  <si>
    <t>中旗股份</t>
  </si>
  <si>
    <t>www.lixinger.com/analytics/company/sz/300575/300575/detail</t>
  </si>
  <si>
    <t>吉鑫科技</t>
  </si>
  <si>
    <t>www.lixinger.com/analytics/company/sh/601218/601218/detail</t>
  </si>
  <si>
    <t>华达新材</t>
  </si>
  <si>
    <t>www.lixinger.com/analytics/company/sh/605158/605158/detail</t>
  </si>
  <si>
    <t>万邦达</t>
  </si>
  <si>
    <t>www.lixinger.com/analytics/company/sz/300055/300055/detail</t>
  </si>
  <si>
    <t>德联集团</t>
  </si>
  <si>
    <t>www.lixinger.com/analytics/company/sz/002666/2666/detail</t>
  </si>
  <si>
    <t>广东鸿图</t>
  </si>
  <si>
    <t>www.lixinger.com/analytics/company/sz/002101/2101/detail</t>
  </si>
  <si>
    <t>南玻Ｂ</t>
  </si>
  <si>
    <t>www.lixinger.com/analytics/company/sz/200012/200012/detail</t>
  </si>
  <si>
    <t>三花智控</t>
  </si>
  <si>
    <t>家电零部件</t>
  </si>
  <si>
    <t>www.lixinger.com/analytics/company/sz/002050/2050/detail</t>
  </si>
  <si>
    <t>爱婴室</t>
  </si>
  <si>
    <t>www.lixinger.com/analytics/company/sh/603214/603214/detail</t>
  </si>
  <si>
    <t>德利股份</t>
  </si>
  <si>
    <t>www.lixinger.com/analytics/company/sh/605198/605198/detail</t>
  </si>
  <si>
    <t>长海股份</t>
  </si>
  <si>
    <t>www.lixinger.com/analytics/company/sz/300196/300196/detail</t>
  </si>
  <si>
    <t>北汽蓝谷</t>
  </si>
  <si>
    <t>www.lixinger.com/analytics/company/sh/600733/600733/detail</t>
  </si>
  <si>
    <t>怡亚通</t>
  </si>
  <si>
    <t>www.lixinger.com/analytics/company/sz/002183/2183/detail</t>
  </si>
  <si>
    <t>东风科技</t>
  </si>
  <si>
    <t>www.lixinger.com/analytics/company/sh/600081/600081/detail</t>
  </si>
  <si>
    <t>明星电力</t>
  </si>
  <si>
    <t>www.lixinger.com/analytics/company/sh/600101/600101/detail</t>
  </si>
  <si>
    <t>新农开发</t>
  </si>
  <si>
    <t>其他种植业</t>
  </si>
  <si>
    <t>www.lixinger.com/analytics/company/sh/600359/600359/detail</t>
  </si>
  <si>
    <t>洁美科技</t>
  </si>
  <si>
    <t>www.lixinger.com/analytics/company/sz/002859/2859/detail</t>
  </si>
  <si>
    <t>新华都</t>
  </si>
  <si>
    <t>www.lixinger.com/analytics/company/sz/002264/2264/detail</t>
  </si>
  <si>
    <t>中毅达</t>
  </si>
  <si>
    <t>www.lixinger.com/analytics/company/sh/600610/600610/detail</t>
  </si>
  <si>
    <t>威海广泰</t>
  </si>
  <si>
    <t>其他专用设备</t>
  </si>
  <si>
    <t>www.lixinger.com/analytics/company/sz/002111/2111/detail</t>
  </si>
  <si>
    <t>传音控股</t>
  </si>
  <si>
    <t>www.lixinger.com/analytics/company/sh/688036/688036/detail</t>
  </si>
  <si>
    <t>建霖家居</t>
  </si>
  <si>
    <t>www.lixinger.com/analytics/company/sh/603408/603408/detail</t>
  </si>
  <si>
    <t>重庆路桥</t>
  </si>
  <si>
    <t>www.lixinger.com/analytics/company/sh/600106/600106/detail</t>
  </si>
  <si>
    <t>南网能源</t>
  </si>
  <si>
    <t>www.lixinger.com/analytics/company/sz/003035/3035/detail</t>
  </si>
  <si>
    <t>宝色股份</t>
  </si>
  <si>
    <t>www.lixinger.com/analytics/company/sz/300402/300402/detail</t>
  </si>
  <si>
    <t>太龙股份</t>
  </si>
  <si>
    <t>www.lixinger.com/analytics/company/sz/300650/300650/detail</t>
  </si>
  <si>
    <t>宇环数控</t>
  </si>
  <si>
    <t>机床工具</t>
  </si>
  <si>
    <t>www.lixinger.com/analytics/company/sz/002903/2903/detail</t>
  </si>
  <si>
    <t>三全食品</t>
  </si>
  <si>
    <t>www.lixinger.com/analytics/company/sz/002216/2216/detail</t>
  </si>
  <si>
    <t>迈克生物</t>
  </si>
  <si>
    <t>www.lixinger.com/analytics/company/sz/300463/300463/detail</t>
  </si>
  <si>
    <t>孩子王</t>
  </si>
  <si>
    <t>www.lixinger.com/analytics/company/sz/301078/301078/detail</t>
  </si>
  <si>
    <t>ST起步</t>
  </si>
  <si>
    <t>www.lixinger.com/analytics/company/sh/603557/603557/detail</t>
  </si>
  <si>
    <t>隆基机械</t>
  </si>
  <si>
    <t>www.lixinger.com/analytics/company/sz/002363/2363/detail</t>
  </si>
  <si>
    <t>旺能环境</t>
  </si>
  <si>
    <t>www.lixinger.com/analytics/company/sz/002034/2034/detail</t>
  </si>
  <si>
    <t>凯普生物</t>
  </si>
  <si>
    <t>www.lixinger.com/analytics/company/sz/300639/300639/detail</t>
  </si>
  <si>
    <t>天孚通信</t>
  </si>
  <si>
    <t>www.lixinger.com/analytics/company/sz/300394/300394/detail</t>
  </si>
  <si>
    <t>兴森科技</t>
  </si>
  <si>
    <t>www.lixinger.com/analytics/company/sz/002436/2436/detail</t>
  </si>
  <si>
    <t>振德医疗</t>
  </si>
  <si>
    <t>www.lixinger.com/analytics/company/sh/603301/603301/detail</t>
  </si>
  <si>
    <t>经纬辉开</t>
  </si>
  <si>
    <t>www.lixinger.com/analytics/company/sz/300120/300120/detail</t>
  </si>
  <si>
    <t>东方锆业</t>
  </si>
  <si>
    <t>www.lixinger.com/analytics/company/sz/002167/2167/detail</t>
  </si>
  <si>
    <t>长源东谷</t>
  </si>
  <si>
    <t>www.lixinger.com/analytics/company/sh/603950/603950/detail</t>
  </si>
  <si>
    <t>新亚强</t>
  </si>
  <si>
    <t>www.lixinger.com/analytics/company/sh/603155/603155/detail</t>
  </si>
  <si>
    <t>威高骨科</t>
  </si>
  <si>
    <t>www.lixinger.com/analytics/company/sh/688161/688161/detail</t>
  </si>
  <si>
    <t>顺灏股份</t>
  </si>
  <si>
    <t>www.lixinger.com/analytics/company/sz/002565/2565/detail</t>
  </si>
  <si>
    <t>SST佳通</t>
  </si>
  <si>
    <t>www.lixinger.com/analytics/company/sh/600182/600182/detail</t>
  </si>
  <si>
    <t>协鑫集成</t>
  </si>
  <si>
    <t>www.lixinger.com/analytics/company/sz/002506/2506/detail</t>
  </si>
  <si>
    <t>建业股份</t>
  </si>
  <si>
    <t>www.lixinger.com/analytics/company/sh/603948/603948/detail</t>
  </si>
  <si>
    <t>百傲化学</t>
  </si>
  <si>
    <t>www.lixinger.com/analytics/company/sh/603360/603360/detail</t>
  </si>
  <si>
    <t>安洁科技</t>
  </si>
  <si>
    <t>www.lixinger.com/analytics/company/sz/002635/2635/detail</t>
  </si>
  <si>
    <t>得邦照明</t>
  </si>
  <si>
    <t>照明设备</t>
  </si>
  <si>
    <t>www.lixinger.com/analytics/company/sh/603303/603303/detail</t>
  </si>
  <si>
    <t>京威股份</t>
  </si>
  <si>
    <t>www.lixinger.com/analytics/company/sz/002662/2662/detail</t>
  </si>
  <si>
    <t>金安国纪</t>
  </si>
  <si>
    <t>www.lixinger.com/analytics/company/sz/002636/2636/detail</t>
  </si>
  <si>
    <t>春秋电子</t>
  </si>
  <si>
    <t>www.lixinger.com/analytics/company/sh/603890/603890/detail</t>
  </si>
  <si>
    <t>先达股份</t>
  </si>
  <si>
    <t>www.lixinger.com/analytics/company/sh/603086/603086/detail</t>
  </si>
  <si>
    <t>智莱科技</t>
  </si>
  <si>
    <t>www.lixinger.com/analytics/company/sz/300771/300771/detail</t>
  </si>
  <si>
    <t>亿利洁能</t>
  </si>
  <si>
    <t>www.lixinger.com/analytics/company/sh/600277/600277/detail</t>
  </si>
  <si>
    <t>姚记科技</t>
  </si>
  <si>
    <t>www.lixinger.com/analytics/company/sz/002605/2605/detail</t>
  </si>
  <si>
    <t>信维通信</t>
  </si>
  <si>
    <t>www.lixinger.com/analytics/company/sz/300136/300136/detail</t>
  </si>
  <si>
    <t>慈文传媒</t>
  </si>
  <si>
    <t>www.lixinger.com/analytics/company/sz/002343/2343/detail</t>
  </si>
  <si>
    <t>蓝晓科技</t>
  </si>
  <si>
    <t>www.lixinger.com/analytics/company/sz/300487/300487/detail</t>
  </si>
  <si>
    <t>涪陵榨菜</t>
  </si>
  <si>
    <t>www.lixinger.com/analytics/company/sz/002507/2507/detail</t>
  </si>
  <si>
    <t>亚太股份</t>
  </si>
  <si>
    <t>www.lixinger.com/analytics/company/sz/002284/2284/detail</t>
  </si>
  <si>
    <t>光明乳业</t>
  </si>
  <si>
    <t>www.lixinger.com/analytics/company/sh/600597/600597/detail</t>
  </si>
  <si>
    <t>泰晶科技</t>
  </si>
  <si>
    <t>www.lixinger.com/analytics/company/sh/603738/603738/detail</t>
  </si>
  <si>
    <t>青山纸业</t>
  </si>
  <si>
    <t>www.lixinger.com/analytics/company/sh/600103/600103/detail</t>
  </si>
  <si>
    <t>ST金鸿</t>
  </si>
  <si>
    <t>www.lixinger.com/analytics/company/sz/000669/669/detail</t>
  </si>
  <si>
    <t>农发种业</t>
  </si>
  <si>
    <t>种子</t>
  </si>
  <si>
    <t>www.lixinger.com/analytics/company/sh/600313/600313/detail</t>
  </si>
  <si>
    <t>国联股份</t>
  </si>
  <si>
    <t>www.lixinger.com/analytics/company/sh/603613/603613/detail</t>
  </si>
  <si>
    <t>水发燃气</t>
  </si>
  <si>
    <t>www.lixinger.com/analytics/company/sh/603318/603318/detail</t>
  </si>
  <si>
    <t>溢多利</t>
  </si>
  <si>
    <t>www.lixinger.com/analytics/company/sz/300381/300381/detail</t>
  </si>
  <si>
    <t>济民医疗</t>
  </si>
  <si>
    <t>www.lixinger.com/analytics/company/sh/603222/603222/detail</t>
  </si>
  <si>
    <t>大连电瓷</t>
  </si>
  <si>
    <t>www.lixinger.com/analytics/company/sz/002606/2606/detail</t>
  </si>
  <si>
    <t>海晨股份</t>
  </si>
  <si>
    <t>www.lixinger.com/analytics/company/sz/300873/300873/detail</t>
  </si>
  <si>
    <t>新乳业</t>
  </si>
  <si>
    <t>www.lixinger.com/analytics/company/sz/002946/2946/detail</t>
  </si>
  <si>
    <t>川投能源</t>
  </si>
  <si>
    <t>www.lixinger.com/analytics/company/sh/600674/600674/detail</t>
  </si>
  <si>
    <t>传艺科技</t>
  </si>
  <si>
    <t>www.lixinger.com/analytics/company/sz/002866/2866/detail</t>
  </si>
  <si>
    <t>克明食品</t>
  </si>
  <si>
    <t>www.lixinger.com/analytics/company/sz/002661/2661/detail</t>
  </si>
  <si>
    <t>四维图新</t>
  </si>
  <si>
    <t>www.lixinger.com/analytics/company/sz/002405/2405/detail</t>
  </si>
  <si>
    <t>金达威</t>
  </si>
  <si>
    <t>www.lixinger.com/analytics/company/sz/002626/2626/detail</t>
  </si>
  <si>
    <t>水晶光电</t>
  </si>
  <si>
    <t>光学元件</t>
  </si>
  <si>
    <t>www.lixinger.com/analytics/company/sz/002273/2273/detail</t>
  </si>
  <si>
    <t>巨人网络</t>
  </si>
  <si>
    <t>www.lixinger.com/analytics/company/sz/002558/2558/detail</t>
  </si>
  <si>
    <t>弘信电子</t>
  </si>
  <si>
    <t>www.lixinger.com/analytics/company/sz/300657/300657/detail</t>
  </si>
  <si>
    <t>友好集团</t>
  </si>
  <si>
    <t>www.lixinger.com/analytics/company/sh/600778/600778/detail</t>
  </si>
  <si>
    <t>金贵银业</t>
  </si>
  <si>
    <t>白银</t>
  </si>
  <si>
    <t>www.lixinger.com/analytics/company/sz/002716/2716/detail</t>
  </si>
  <si>
    <t>杉杉股份</t>
  </si>
  <si>
    <t>www.lixinger.com/analytics/company/sh/600884/600884/detail</t>
  </si>
  <si>
    <t>科华控股</t>
  </si>
  <si>
    <t>www.lixinger.com/analytics/company/sh/603161/603161/detail</t>
  </si>
  <si>
    <t>仙鹤股份</t>
  </si>
  <si>
    <t>www.lixinger.com/analytics/company/sh/603733/603733/detail</t>
  </si>
  <si>
    <t>科前生物</t>
  </si>
  <si>
    <t>动物保健</t>
  </si>
  <si>
    <t>www.lixinger.com/analytics/company/sh/688526/688526/detail</t>
  </si>
  <si>
    <t>振华股份</t>
  </si>
  <si>
    <t>www.lixinger.com/analytics/company/sh/603067/603067/detail</t>
  </si>
  <si>
    <t>三六五网</t>
  </si>
  <si>
    <t>门户网站</t>
  </si>
  <si>
    <t>www.lixinger.com/analytics/company/sz/300295/300295/detail</t>
  </si>
  <si>
    <t>首旅酒店</t>
  </si>
  <si>
    <t>酒店</t>
  </si>
  <si>
    <t>www.lixinger.com/analytics/company/sh/600258/600258/detail</t>
  </si>
  <si>
    <t>海欣食品</t>
  </si>
  <si>
    <t>www.lixinger.com/analytics/company/sz/002702/2702/detail</t>
  </si>
  <si>
    <t>招商南油</t>
  </si>
  <si>
    <t>www.lixinger.com/analytics/company/sh/601975/601975/detail</t>
  </si>
  <si>
    <t>三角轮胎</t>
  </si>
  <si>
    <t>www.lixinger.com/analytics/company/sh/601163/601163/detail</t>
  </si>
  <si>
    <t>ST粤泰</t>
  </si>
  <si>
    <t>www.lixinger.com/analytics/company/sh/600393/600393/detail</t>
  </si>
  <si>
    <t>晋控煤业</t>
  </si>
  <si>
    <t>www.lixinger.com/analytics/company/sh/601001/601001/detail</t>
  </si>
  <si>
    <t>数码视讯</t>
  </si>
  <si>
    <t>www.lixinger.com/analytics/company/sz/300079/300079/detail</t>
  </si>
  <si>
    <t>莱绅通灵</t>
  </si>
  <si>
    <t>www.lixinger.com/analytics/company/sh/603900/603900/detail</t>
  </si>
  <si>
    <t>春光科技</t>
  </si>
  <si>
    <t>www.lixinger.com/analytics/company/sh/603657/603657/detail</t>
  </si>
  <si>
    <t>凯盛科技</t>
  </si>
  <si>
    <t>www.lixinger.com/analytics/company/sh/600552/600552/detail</t>
  </si>
  <si>
    <t>应流股份</t>
  </si>
  <si>
    <t>www.lixinger.com/analytics/company/sh/603308/603308/detail</t>
  </si>
  <si>
    <t>山西焦化</t>
  </si>
  <si>
    <t>www.lixinger.com/analytics/company/sh/600740/600740/detail</t>
  </si>
  <si>
    <t>国城矿业</t>
  </si>
  <si>
    <t>www.lixinger.com/analytics/company/sz/000688/688/detail</t>
  </si>
  <si>
    <t>兴齐眼药</t>
  </si>
  <si>
    <t>www.lixinger.com/analytics/company/sz/300573/300573/detail</t>
  </si>
  <si>
    <t>景兴纸业</t>
  </si>
  <si>
    <t>www.lixinger.com/analytics/company/sz/002067/2067/detail</t>
  </si>
  <si>
    <t>富佳股份</t>
  </si>
  <si>
    <t>www.lixinger.com/analytics/company/sh/603219/603219/detail</t>
  </si>
  <si>
    <t>创力集团</t>
  </si>
  <si>
    <t>www.lixinger.com/analytics/company/sh/603012/603012/detail</t>
  </si>
  <si>
    <t>龙宇燃油</t>
  </si>
  <si>
    <t>www.lixinger.com/analytics/company/sh/603003/603003/detail</t>
  </si>
  <si>
    <t>南玻Ａ</t>
  </si>
  <si>
    <t>www.lixinger.com/analytics/company/sz/000012/12/detail</t>
  </si>
  <si>
    <t>确成股份</t>
  </si>
  <si>
    <t>炭黑</t>
  </si>
  <si>
    <t>www.lixinger.com/analytics/company/sh/605183/605183/detail</t>
  </si>
  <si>
    <t>山东玻纤</t>
  </si>
  <si>
    <t>www.lixinger.com/analytics/company/sh/605006/605006/detail</t>
  </si>
  <si>
    <t>圣元环保</t>
  </si>
  <si>
    <t>www.lixinger.com/analytics/company/sz/300867/300867/detail</t>
  </si>
  <si>
    <t>华海药业</t>
  </si>
  <si>
    <t>www.lixinger.com/analytics/company/sh/600521/600521/detail</t>
  </si>
  <si>
    <t>豪迈科技</t>
  </si>
  <si>
    <t>www.lixinger.com/analytics/company/sz/002595/2595/detail</t>
  </si>
  <si>
    <t>东方集团</t>
  </si>
  <si>
    <t>www.lixinger.com/analytics/company/sh/600811/600811/detail</t>
  </si>
  <si>
    <t>金新农</t>
  </si>
  <si>
    <t>www.lixinger.com/analytics/company/sz/002548/2548/detail</t>
  </si>
  <si>
    <t>合肥百货</t>
  </si>
  <si>
    <t>www.lixinger.com/analytics/company/sz/000417/417/detail</t>
  </si>
  <si>
    <t>富瀚微</t>
  </si>
  <si>
    <t>www.lixinger.com/analytics/company/sz/300613/300613/detail</t>
  </si>
  <si>
    <t>*ST金刚</t>
  </si>
  <si>
    <t>www.lixinger.com/analytics/company/sz/300064/300064/detail</t>
  </si>
  <si>
    <t>哈空调</t>
  </si>
  <si>
    <t>火电设备</t>
  </si>
  <si>
    <t>www.lixinger.com/analytics/company/sh/600202/600202/detail</t>
  </si>
  <si>
    <t>汇宇制药</t>
  </si>
  <si>
    <t>www.lixinger.com/analytics/company/sh/688553/688553/detail</t>
  </si>
  <si>
    <t>海尔生物</t>
  </si>
  <si>
    <t>www.lixinger.com/analytics/company/sh/688139/688139/detail</t>
  </si>
  <si>
    <t>青松股份</t>
  </si>
  <si>
    <t>化妆品制造及其他</t>
  </si>
  <si>
    <t>www.lixinger.com/analytics/company/sz/300132/300132/detail</t>
  </si>
  <si>
    <t>李子园</t>
  </si>
  <si>
    <t>www.lixinger.com/analytics/company/sh/605337/605337/detail</t>
  </si>
  <si>
    <t>昇兴股份</t>
  </si>
  <si>
    <t>金属包装</t>
  </si>
  <si>
    <t>www.lixinger.com/analytics/company/sz/002752/2752/detail</t>
  </si>
  <si>
    <t>传智教育</t>
  </si>
  <si>
    <t>www.lixinger.com/analytics/company/sz/003032/3032/detail</t>
  </si>
  <si>
    <t>同和药业</t>
  </si>
  <si>
    <t>www.lixinger.com/analytics/company/sz/300636/300636/detail</t>
  </si>
  <si>
    <t>柳钢股份</t>
  </si>
  <si>
    <t>www.lixinger.com/analytics/company/sh/601003/601003/detail</t>
  </si>
  <si>
    <t>天龙集团</t>
  </si>
  <si>
    <t>www.lixinger.com/analytics/company/sz/300063/300063/detail</t>
  </si>
  <si>
    <t>歌华有线</t>
  </si>
  <si>
    <t>www.lixinger.com/analytics/company/sh/600037/600037/detail</t>
  </si>
  <si>
    <t>迦南智能</t>
  </si>
  <si>
    <t>电工仪器仪表</t>
  </si>
  <si>
    <t>www.lixinger.com/analytics/company/sz/300880/300880/detail</t>
  </si>
  <si>
    <t>宁波海运</t>
  </si>
  <si>
    <t>www.lixinger.com/analytics/company/sh/600798/600798/detail</t>
  </si>
  <si>
    <t>飞龙股份</t>
  </si>
  <si>
    <t>www.lixinger.com/analytics/company/sz/002536/2536/detail</t>
  </si>
  <si>
    <t>中色股份</t>
  </si>
  <si>
    <t>www.lixinger.com/analytics/company/sz/000758/758/detail</t>
  </si>
  <si>
    <t>盛泰集团</t>
  </si>
  <si>
    <t>www.lixinger.com/analytics/company/sh/605138/605138/detail</t>
  </si>
  <si>
    <t>博硕科技</t>
  </si>
  <si>
    <t>www.lixinger.com/analytics/company/sz/300951/300951/detail</t>
  </si>
  <si>
    <t>金字火腿</t>
  </si>
  <si>
    <t>www.lixinger.com/analytics/company/sz/002515/2515/detail</t>
  </si>
  <si>
    <t>元利科技</t>
  </si>
  <si>
    <t>www.lixinger.com/analytics/company/sh/603217/603217/detail</t>
  </si>
  <si>
    <t>海利得</t>
  </si>
  <si>
    <t>涤纶</t>
  </si>
  <si>
    <t>www.lixinger.com/analytics/company/sz/002206/2206/detail</t>
  </si>
  <si>
    <t>快克股份</t>
  </si>
  <si>
    <t>工控设备</t>
  </si>
  <si>
    <t>www.lixinger.com/analytics/company/sh/603203/603203/detail</t>
  </si>
  <si>
    <t>凯龙股份</t>
  </si>
  <si>
    <t>www.lixinger.com/analytics/company/sz/002783/2783/detail</t>
  </si>
  <si>
    <t>泉阳泉</t>
  </si>
  <si>
    <t>www.lixinger.com/analytics/company/sh/600189/600189/detail</t>
  </si>
  <si>
    <t>禾盛新材</t>
  </si>
  <si>
    <t>www.lixinger.com/analytics/company/sz/002290/2290/detail</t>
  </si>
  <si>
    <t>柏楚电子</t>
  </si>
  <si>
    <t>www.lixinger.com/analytics/company/sh/688188/688188/detail</t>
  </si>
  <si>
    <t>莱特光电</t>
  </si>
  <si>
    <t>www.lixinger.com/analytics/company/sh/688150/688150/detail</t>
  </si>
  <si>
    <t>龙星化工</t>
  </si>
  <si>
    <t>www.lixinger.com/analytics/company/sz/002442/2442/detail</t>
  </si>
  <si>
    <t>翱捷科技</t>
  </si>
  <si>
    <t>www.lixinger.com/analytics/company/sh/688220/688220/detail</t>
  </si>
  <si>
    <t>赞宇科技</t>
  </si>
  <si>
    <t>www.lixinger.com/analytics/company/sz/002637/2637/detail</t>
  </si>
  <si>
    <t>明阳电路</t>
  </si>
  <si>
    <t>www.lixinger.com/analytics/company/sz/300739/300739/detail</t>
  </si>
  <si>
    <t>三湘印象</t>
  </si>
  <si>
    <t>www.lixinger.com/analytics/company/sz/000863/863/detail</t>
  </si>
  <si>
    <t>国统股份</t>
  </si>
  <si>
    <t>综合环境治理</t>
  </si>
  <si>
    <t>www.lixinger.com/analytics/company/sz/002205/2205/detail</t>
  </si>
  <si>
    <t>上海环境</t>
  </si>
  <si>
    <t>www.lixinger.com/analytics/company/sh/601200/601200/detail</t>
  </si>
  <si>
    <t>德必集团</t>
  </si>
  <si>
    <t>www.lixinger.com/analytics/company/sz/300947/300947/detail</t>
  </si>
  <si>
    <t>金逸影视</t>
  </si>
  <si>
    <t>www.lixinger.com/analytics/company/sz/002905/2905/detail</t>
  </si>
  <si>
    <t>万凯新材</t>
  </si>
  <si>
    <t>www.lixinger.com/analytics/company/sz/301216/301216/detail</t>
  </si>
  <si>
    <t>新筑股份</t>
  </si>
  <si>
    <t>www.lixinger.com/analytics/company/sz/002480/2480/detail</t>
  </si>
  <si>
    <t>千红制药</t>
  </si>
  <si>
    <t>www.lixinger.com/analytics/company/sz/002550/2550/detail</t>
  </si>
  <si>
    <t>英利汽车</t>
  </si>
  <si>
    <t>www.lixinger.com/analytics/company/sh/601279/601279/detail</t>
  </si>
  <si>
    <t>尖峰集团</t>
  </si>
  <si>
    <t>www.lixinger.com/analytics/company/sh/600668/600668/detail</t>
  </si>
  <si>
    <t>宇新股份</t>
  </si>
  <si>
    <t>www.lixinger.com/analytics/company/sz/002986/2986/detail</t>
  </si>
  <si>
    <t>津滨发展</t>
  </si>
  <si>
    <t>www.lixinger.com/analytics/company/sz/000897/897/detail</t>
  </si>
  <si>
    <t>聚飞光电</t>
  </si>
  <si>
    <t>www.lixinger.com/analytics/company/sz/300303/300303/detail</t>
  </si>
  <si>
    <t>锦江酒店</t>
  </si>
  <si>
    <t>www.lixinger.com/analytics/company/sh/600754/600754/detail</t>
  </si>
  <si>
    <t>金域医学</t>
  </si>
  <si>
    <t>诊断服务</t>
  </si>
  <si>
    <t>www.lixinger.com/analytics/company/sh/603882/603882/detail</t>
  </si>
  <si>
    <t>华峰测控</t>
  </si>
  <si>
    <t>半导体设备</t>
  </si>
  <si>
    <t>www.lixinger.com/analytics/company/sh/688200/688200/detail</t>
  </si>
  <si>
    <t>弘亚数控</t>
  </si>
  <si>
    <t>www.lixinger.com/analytics/company/sz/002833/2833/detail</t>
  </si>
  <si>
    <t>昂利康</t>
  </si>
  <si>
    <t>www.lixinger.com/analytics/company/sz/002940/2940/detail</t>
  </si>
  <si>
    <t>东岳硅材</t>
  </si>
  <si>
    <t>www.lixinger.com/analytics/company/sz/300821/300821/detail</t>
  </si>
  <si>
    <t>云海金属</t>
  </si>
  <si>
    <t>www.lixinger.com/analytics/company/sz/002182/2182/detail</t>
  </si>
  <si>
    <t>同花顺</t>
  </si>
  <si>
    <t>www.lixinger.com/analytics/company/sz/300033/300033/detail</t>
  </si>
  <si>
    <t>科森科技</t>
  </si>
  <si>
    <t>www.lixinger.com/analytics/company/sh/603626/603626/detail</t>
  </si>
  <si>
    <t>凯恩股份</t>
  </si>
  <si>
    <t>www.lixinger.com/analytics/company/sz/002012/2012/detail</t>
  </si>
  <si>
    <t>良品铺子</t>
  </si>
  <si>
    <t>www.lixinger.com/analytics/company/sh/603719/603719/detail</t>
  </si>
  <si>
    <t>永利股份</t>
  </si>
  <si>
    <t>www.lixinger.com/analytics/company/sz/300230/300230/detail</t>
  </si>
  <si>
    <t>朗科智能</t>
  </si>
  <si>
    <t>www.lixinger.com/analytics/company/sz/300543/300543/detail</t>
  </si>
  <si>
    <t>东芯股份</t>
  </si>
  <si>
    <t>www.lixinger.com/analytics/company/sh/688110/688110/detail</t>
  </si>
  <si>
    <t>江海股份</t>
  </si>
  <si>
    <t>www.lixinger.com/analytics/company/sz/002484/2484/detail</t>
  </si>
  <si>
    <t>欣贺股份</t>
  </si>
  <si>
    <t>www.lixinger.com/analytics/company/sz/003016/3016/detail</t>
  </si>
  <si>
    <t>科瑞技术</t>
  </si>
  <si>
    <t>www.lixinger.com/analytics/company/sz/002957/2957/detail</t>
  </si>
  <si>
    <t>嘉美包装</t>
  </si>
  <si>
    <t>www.lixinger.com/analytics/company/sz/002969/2969/detail</t>
  </si>
  <si>
    <t>完美世界</t>
  </si>
  <si>
    <t>www.lixinger.com/analytics/company/sz/002624/2624/detail</t>
  </si>
  <si>
    <t>正丹股份</t>
  </si>
  <si>
    <t>www.lixinger.com/analytics/company/sz/300641/300641/detail</t>
  </si>
  <si>
    <t>上海凯宝</t>
  </si>
  <si>
    <t>www.lixinger.com/analytics/company/sz/300039/300039/detail</t>
  </si>
  <si>
    <t>天通股份</t>
  </si>
  <si>
    <t>www.lixinger.com/analytics/company/sh/600330/600330/detail</t>
  </si>
  <si>
    <t>盐津铺子</t>
  </si>
  <si>
    <t>www.lixinger.com/analytics/company/sz/002847/2847/detail</t>
  </si>
  <si>
    <t>中富电路</t>
  </si>
  <si>
    <t>www.lixinger.com/analytics/company/sz/300814/300814/detail</t>
  </si>
  <si>
    <t>宏昌电子</t>
  </si>
  <si>
    <t>www.lixinger.com/analytics/company/sh/603002/603002/detail</t>
  </si>
  <si>
    <t>宏柏新材</t>
  </si>
  <si>
    <t>www.lixinger.com/analytics/company/sh/605366/605366/detail</t>
  </si>
  <si>
    <t>羚锐制药</t>
  </si>
  <si>
    <t>www.lixinger.com/analytics/company/sh/600285/600285/detail</t>
  </si>
  <si>
    <t>精功科技</t>
  </si>
  <si>
    <t>www.lixinger.com/analytics/company/sz/002006/2006/detail</t>
  </si>
  <si>
    <t>冰川网络</t>
  </si>
  <si>
    <t>www.lixinger.com/analytics/company/sz/300533/300533/detail</t>
  </si>
  <si>
    <t>七匹狼</t>
  </si>
  <si>
    <t>www.lixinger.com/analytics/company/sz/002029/2029/detail</t>
  </si>
  <si>
    <t>诚志股份</t>
  </si>
  <si>
    <t>www.lixinger.com/analytics/company/sz/000990/990/detail</t>
  </si>
  <si>
    <t>佐力药业</t>
  </si>
  <si>
    <t>www.lixinger.com/analytics/company/sz/300181/300181/detail</t>
  </si>
  <si>
    <t>海特高新</t>
  </si>
  <si>
    <t>航空装备</t>
  </si>
  <si>
    <t>www.lixinger.com/analytics/company/sz/002023/2023/detail</t>
  </si>
  <si>
    <t>华胜天成</t>
  </si>
  <si>
    <t>www.lixinger.com/analytics/company/sh/600410/600410/detail</t>
  </si>
  <si>
    <t>ST方科</t>
  </si>
  <si>
    <t>www.lixinger.com/analytics/company/sh/600601/600601/detail</t>
  </si>
  <si>
    <t>东方精工</t>
  </si>
  <si>
    <t>印刷包装机械</t>
  </si>
  <si>
    <t>www.lixinger.com/analytics/company/sz/002611/2611/detail</t>
  </si>
  <si>
    <t>奋达科技</t>
  </si>
  <si>
    <t>www.lixinger.com/analytics/company/sz/002681/2681/detail</t>
  </si>
  <si>
    <t>电科院</t>
  </si>
  <si>
    <t>检测服务</t>
  </si>
  <si>
    <t>www.lixinger.com/analytics/company/sz/300215/300215/detail</t>
  </si>
  <si>
    <t>英飞特</t>
  </si>
  <si>
    <t>www.lixinger.com/analytics/company/sz/300582/300582/detail</t>
  </si>
  <si>
    <t>科思科技</t>
  </si>
  <si>
    <t>www.lixinger.com/analytics/company/sh/688788/688788/detail</t>
  </si>
  <si>
    <t>力量钻石</t>
  </si>
  <si>
    <t>www.lixinger.com/analytics/company/sz/301071/301071/detail</t>
  </si>
  <si>
    <t>新力金融</t>
  </si>
  <si>
    <t>www.lixinger.com/analytics/company/sh/600318/600318/detail</t>
  </si>
  <si>
    <t>智度股份</t>
  </si>
  <si>
    <t>www.lixinger.com/analytics/company/sz/000676/676/detail</t>
  </si>
  <si>
    <t>开山股份</t>
  </si>
  <si>
    <t>www.lixinger.com/analytics/company/sz/300257/300257/detail</t>
  </si>
  <si>
    <t>华明装备</t>
  </si>
  <si>
    <t>www.lixinger.com/analytics/company/sz/002270/2270/detail</t>
  </si>
  <si>
    <t>芯瑞达</t>
  </si>
  <si>
    <t>www.lixinger.com/analytics/company/sz/002983/2983/detail</t>
  </si>
  <si>
    <t>地素时尚</t>
  </si>
  <si>
    <t>www.lixinger.com/analytics/company/sh/603587/603587/detail</t>
  </si>
  <si>
    <t>国光连锁</t>
  </si>
  <si>
    <t>www.lixinger.com/analytics/company/sh/605188/605188/detail</t>
  </si>
  <si>
    <t>晨丰科技</t>
  </si>
  <si>
    <t>www.lixinger.com/analytics/company/sh/603685/603685/detail</t>
  </si>
  <si>
    <t>绿色动力</t>
  </si>
  <si>
    <t>www.lixinger.com/analytics/company/sh/601330/601330/detail</t>
  </si>
  <si>
    <t>顺控发展</t>
  </si>
  <si>
    <t>www.lixinger.com/analytics/company/sz/003039/3039/detail</t>
  </si>
  <si>
    <t>赛象科技</t>
  </si>
  <si>
    <t>www.lixinger.com/analytics/company/sz/002337/2337/detail</t>
  </si>
  <si>
    <t>特宝生物</t>
  </si>
  <si>
    <t>www.lixinger.com/analytics/company/sh/688278/688278/detail</t>
  </si>
  <si>
    <t>富煌钢构</t>
  </si>
  <si>
    <t>钢结构</t>
  </si>
  <si>
    <t>www.lixinger.com/analytics/company/sz/002743/2743/detail</t>
  </si>
  <si>
    <t>欢瑞世纪</t>
  </si>
  <si>
    <t>www.lixinger.com/analytics/company/sz/000892/892/detail</t>
  </si>
  <si>
    <t>千禾味业</t>
  </si>
  <si>
    <t>www.lixinger.com/analytics/company/sh/603027/603027/detail</t>
  </si>
  <si>
    <t>天士力</t>
  </si>
  <si>
    <t>www.lixinger.com/analytics/company/sh/600535/600535/detail</t>
  </si>
  <si>
    <t>双鹭药业</t>
  </si>
  <si>
    <t>www.lixinger.com/analytics/company/sz/002038/2038/detail</t>
  </si>
  <si>
    <t>瑞尔特</t>
  </si>
  <si>
    <t>www.lixinger.com/analytics/company/sz/002790/2790/detail</t>
  </si>
  <si>
    <t>寿仙谷</t>
  </si>
  <si>
    <t>www.lixinger.com/analytics/company/sh/603896/603896/detail</t>
  </si>
  <si>
    <t>日发精机</t>
  </si>
  <si>
    <t>www.lixinger.com/analytics/company/sz/002520/2520/detail</t>
  </si>
  <si>
    <t>金健米业</t>
  </si>
  <si>
    <t>www.lixinger.com/analytics/company/sh/600127/600127/detail</t>
  </si>
  <si>
    <t>三维化学</t>
  </si>
  <si>
    <t>www.lixinger.com/analytics/company/sz/002469/2469/detail</t>
  </si>
  <si>
    <t>浩通科技</t>
  </si>
  <si>
    <t>www.lixinger.com/analytics/company/sz/301026/301026/detail</t>
  </si>
  <si>
    <t>普邦股份</t>
  </si>
  <si>
    <t>园林工程</t>
  </si>
  <si>
    <t>www.lixinger.com/analytics/company/sz/002663/2663/detail</t>
  </si>
  <si>
    <t>泉峰汽车</t>
  </si>
  <si>
    <t>www.lixinger.com/analytics/company/sh/603982/603982/detail</t>
  </si>
  <si>
    <t>银星能源</t>
  </si>
  <si>
    <t>www.lixinger.com/analytics/company/sz/000862/862/detail</t>
  </si>
  <si>
    <t>承德露露</t>
  </si>
  <si>
    <t>www.lixinger.com/analytics/company/sz/000848/848/detail</t>
  </si>
  <si>
    <t>三生国健</t>
  </si>
  <si>
    <t>www.lixinger.com/analytics/company/sh/688336/688336/detail</t>
  </si>
  <si>
    <t>蓝帆医疗</t>
  </si>
  <si>
    <t>www.lixinger.com/analytics/company/sz/002382/2382/detail</t>
  </si>
  <si>
    <t>易成新能</t>
  </si>
  <si>
    <t>www.lixinger.com/analytics/company/sz/300080/300080/detail</t>
  </si>
  <si>
    <t>永福股份</t>
  </si>
  <si>
    <t>www.lixinger.com/analytics/company/sz/300712/300712/detail</t>
  </si>
  <si>
    <t>东方铁塔</t>
  </si>
  <si>
    <t>www.lixinger.com/analytics/company/sz/002545/2545/detail</t>
  </si>
  <si>
    <t>南侨食品</t>
  </si>
  <si>
    <t>www.lixinger.com/analytics/company/sh/605339/605339/detail</t>
  </si>
  <si>
    <t>康缘药业</t>
  </si>
  <si>
    <t>www.lixinger.com/analytics/company/sh/600557/600557/detail</t>
  </si>
  <si>
    <t>雪松发展</t>
  </si>
  <si>
    <t>www.lixinger.com/analytics/company/sz/002485/2485/detail</t>
  </si>
  <si>
    <t>中新药业</t>
  </si>
  <si>
    <t>www.lixinger.com/analytics/company/sh/600329/600329/detail</t>
  </si>
  <si>
    <t>康普顿</t>
  </si>
  <si>
    <t>www.lixinger.com/analytics/company/sh/603798/603798/detail</t>
  </si>
  <si>
    <t>胜利精密</t>
  </si>
  <si>
    <t>www.lixinger.com/analytics/company/sz/002426/2426/detail</t>
  </si>
  <si>
    <t>华达科技</t>
  </si>
  <si>
    <t>www.lixinger.com/analytics/company/sh/603358/603358/detail</t>
  </si>
  <si>
    <t>派林生物</t>
  </si>
  <si>
    <t>www.lixinger.com/analytics/company/sz/000403/403/detail</t>
  </si>
  <si>
    <t>文峰股份</t>
  </si>
  <si>
    <t>www.lixinger.com/analytics/company/sh/601010/601010/detail</t>
  </si>
  <si>
    <t>珍宝岛</t>
  </si>
  <si>
    <t>www.lixinger.com/analytics/company/sh/603567/603567/detail</t>
  </si>
  <si>
    <t>双箭股份</t>
  </si>
  <si>
    <t>其他橡胶制品</t>
  </si>
  <si>
    <t>www.lixinger.com/analytics/company/sz/002381/2381/detail</t>
  </si>
  <si>
    <t>大叶股份</t>
  </si>
  <si>
    <t>www.lixinger.com/analytics/company/sz/300879/300879/detail</t>
  </si>
  <si>
    <t>赛腾股份</t>
  </si>
  <si>
    <t>www.lixinger.com/analytics/company/sh/603283/603283/detail</t>
  </si>
  <si>
    <t>博天环境</t>
  </si>
  <si>
    <t>www.lixinger.com/analytics/company/sh/603603/603603/detail</t>
  </si>
  <si>
    <t>亚联发展</t>
  </si>
  <si>
    <t>www.lixinger.com/analytics/company/sz/002316/2316/detail</t>
  </si>
  <si>
    <t>金宏气体</t>
  </si>
  <si>
    <t>www.lixinger.com/analytics/company/sh/688106/688106/detail</t>
  </si>
  <si>
    <t>朗姿股份</t>
  </si>
  <si>
    <t>www.lixinger.com/analytics/company/sz/002612/2612/detail</t>
  </si>
  <si>
    <t>比依股份</t>
  </si>
  <si>
    <t>www.lixinger.com/analytics/company/sh/603215/603215/detail</t>
  </si>
  <si>
    <t>万祥科技</t>
  </si>
  <si>
    <t>www.lixinger.com/analytics/company/sz/301180/301180/detail</t>
  </si>
  <si>
    <t>昭衍新药</t>
  </si>
  <si>
    <t>www.lixinger.com/analytics/company/sh/603127/603127/detail</t>
  </si>
  <si>
    <t>再升科技</t>
  </si>
  <si>
    <t>www.lixinger.com/analytics/company/sh/603601/603601/detail</t>
  </si>
  <si>
    <t>凌霄泵业</t>
  </si>
  <si>
    <t>www.lixinger.com/analytics/company/sz/002884/2884/detail</t>
  </si>
  <si>
    <t>健盛集团</t>
  </si>
  <si>
    <t>www.lixinger.com/analytics/company/sh/603558/603558/detail</t>
  </si>
  <si>
    <t>方正电机</t>
  </si>
  <si>
    <t>www.lixinger.com/analytics/company/sz/002196/2196/detail</t>
  </si>
  <si>
    <t>特发服务</t>
  </si>
  <si>
    <t>物业管理</t>
  </si>
  <si>
    <t>www.lixinger.com/analytics/company/sz/300917/300917/detail</t>
  </si>
  <si>
    <t>元力股份</t>
  </si>
  <si>
    <t>www.lixinger.com/analytics/company/sz/300174/300174/detail</t>
  </si>
  <si>
    <t>紫天科技</t>
  </si>
  <si>
    <t>www.lixinger.com/analytics/company/sz/300280/300280/detail</t>
  </si>
  <si>
    <t>祥鑫科技</t>
  </si>
  <si>
    <t>www.lixinger.com/analytics/company/sz/002965/2965/detail</t>
  </si>
  <si>
    <t>金陵饭店</t>
  </si>
  <si>
    <t>www.lixinger.com/analytics/company/sh/601007/601007/detail</t>
  </si>
  <si>
    <t>华亚智能</t>
  </si>
  <si>
    <t>www.lixinger.com/analytics/company/sz/003043/3043/detail</t>
  </si>
  <si>
    <t>科恒股份</t>
  </si>
  <si>
    <t>www.lixinger.com/analytics/company/sz/300340/300340/detail</t>
  </si>
  <si>
    <t>莱克电气</t>
  </si>
  <si>
    <t>www.lixinger.com/analytics/company/sh/603355/603355/detail</t>
  </si>
  <si>
    <t>浙江美大</t>
  </si>
  <si>
    <t>www.lixinger.com/analytics/company/sz/002677/2677/detail</t>
  </si>
  <si>
    <t>香山股份</t>
  </si>
  <si>
    <t>仪器仪表</t>
  </si>
  <si>
    <t>www.lixinger.com/analytics/company/sz/002870/2870/detail</t>
  </si>
  <si>
    <t>森麒麟</t>
  </si>
  <si>
    <t>www.lixinger.com/analytics/company/sz/002984/2984/detail</t>
  </si>
  <si>
    <t>诺唯赞</t>
  </si>
  <si>
    <t>www.lixinger.com/analytics/company/sh/688105/688105/detail</t>
  </si>
  <si>
    <t>长华股份</t>
  </si>
  <si>
    <t>www.lixinger.com/analytics/company/sh/605018/605018/detail</t>
  </si>
  <si>
    <t>一鸣食品</t>
  </si>
  <si>
    <t>www.lixinger.com/analytics/company/sh/605179/605179/detail</t>
  </si>
  <si>
    <t>华宏科技</t>
  </si>
  <si>
    <t>www.lixinger.com/analytics/company/sz/002645/2645/detail</t>
  </si>
  <si>
    <t>鼎龙股份</t>
  </si>
  <si>
    <t>www.lixinger.com/analytics/company/sz/300054/300054/detail</t>
  </si>
  <si>
    <t>隆利科技</t>
  </si>
  <si>
    <t>www.lixinger.com/analytics/company/sz/300752/300752/detail</t>
  </si>
  <si>
    <t>中科创达</t>
  </si>
  <si>
    <t>www.lixinger.com/analytics/company/sz/300496/300496/detail</t>
  </si>
  <si>
    <t>隆华新材</t>
  </si>
  <si>
    <t>www.lixinger.com/analytics/company/sz/301149/301149/detail</t>
  </si>
  <si>
    <t>晶晨股份</t>
  </si>
  <si>
    <t>www.lixinger.com/analytics/company/sh/688099/688099/detail</t>
  </si>
  <si>
    <t>亚星锚链</t>
  </si>
  <si>
    <t>www.lixinger.com/analytics/company/sh/601890/601890/detail</t>
  </si>
  <si>
    <t>抚顺特钢</t>
  </si>
  <si>
    <t>www.lixinger.com/analytics/company/sh/600399/600399/detail</t>
  </si>
  <si>
    <t>太原重工</t>
  </si>
  <si>
    <t>www.lixinger.com/analytics/company/sh/600169/600169/detail</t>
  </si>
  <si>
    <t>沃尔核材</t>
  </si>
  <si>
    <t>www.lixinger.com/analytics/company/sz/002130/2130/detail</t>
  </si>
  <si>
    <t>振东制药</t>
  </si>
  <si>
    <t>www.lixinger.com/analytics/company/sz/300158/300158/detail</t>
  </si>
  <si>
    <t>新野纺织</t>
  </si>
  <si>
    <t>www.lixinger.com/analytics/company/sz/002087/2087/detail</t>
  </si>
  <si>
    <t>天药股份</t>
  </si>
  <si>
    <t>www.lixinger.com/analytics/company/sh/600488/600488/detail</t>
  </si>
  <si>
    <t>西宁特钢</t>
  </si>
  <si>
    <t>www.lixinger.com/analytics/company/sh/600117/600117/detail</t>
  </si>
  <si>
    <t>美丽生态</t>
  </si>
  <si>
    <t>www.lixinger.com/analytics/company/sz/000010/10/detail</t>
  </si>
  <si>
    <t>元隆雅图</t>
  </si>
  <si>
    <t>会展服务</t>
  </si>
  <si>
    <t>www.lixinger.com/analytics/company/sz/002878/2878/detail</t>
  </si>
  <si>
    <t>汇嘉时代</t>
  </si>
  <si>
    <t>www.lixinger.com/analytics/company/sh/603101/603101/detail</t>
  </si>
  <si>
    <t>深华发Ｂ</t>
  </si>
  <si>
    <t>www.lixinger.com/analytics/company/sz/200020/200020/detail</t>
  </si>
  <si>
    <t>国创高新</t>
  </si>
  <si>
    <t>www.lixinger.com/analytics/company/sz/002377/2377/detail</t>
  </si>
  <si>
    <t>新诺威</t>
  </si>
  <si>
    <t>www.lixinger.com/analytics/company/sz/300765/300765/detail</t>
  </si>
  <si>
    <t>银宝山新</t>
  </si>
  <si>
    <t>www.lixinger.com/analytics/company/sz/002786/2786/detail</t>
  </si>
  <si>
    <t>雅克科技</t>
  </si>
  <si>
    <t>www.lixinger.com/analytics/company/sz/002409/2409/detail</t>
  </si>
  <si>
    <t>恒光股份</t>
  </si>
  <si>
    <t>www.lixinger.com/analytics/company/sz/301118/301118/detail</t>
  </si>
  <si>
    <t>ST凯乐</t>
  </si>
  <si>
    <t>其他通信设备</t>
  </si>
  <si>
    <t>www.lixinger.com/analytics/company/sh/600260/600260/detail</t>
  </si>
  <si>
    <t>*ST猛狮</t>
  </si>
  <si>
    <t>汽车综合服务</t>
  </si>
  <si>
    <t>www.lixinger.com/analytics/company/sz/002684/2684/detail</t>
  </si>
  <si>
    <t>透景生命</t>
  </si>
  <si>
    <t>www.lixinger.com/analytics/company/sz/300642/300642/detail</t>
  </si>
  <si>
    <t>歌力思</t>
  </si>
  <si>
    <t>www.lixinger.com/analytics/company/sh/603808/603808/detail</t>
  </si>
  <si>
    <t>ST奇信</t>
  </si>
  <si>
    <t>www.lixinger.com/analytics/company/sz/002781/2781/detail</t>
  </si>
  <si>
    <t>拓荆科技</t>
  </si>
  <si>
    <t>www.lixinger.com/analytics/company/sh/688072/688072/detail</t>
  </si>
  <si>
    <t>厦钨新能</t>
  </si>
  <si>
    <t>www.lixinger.com/analytics/company/sh/688778/688778/detail</t>
  </si>
  <si>
    <t>义翘神州</t>
  </si>
  <si>
    <t>www.lixinger.com/analytics/company/sz/301047/301047/detail</t>
  </si>
  <si>
    <t>潜能恒信</t>
  </si>
  <si>
    <t>www.lixinger.com/analytics/company/sz/300191/300191/detail</t>
  </si>
  <si>
    <t>博创科技</t>
  </si>
  <si>
    <t>www.lixinger.com/analytics/company/sz/300548/300548/detail</t>
  </si>
  <si>
    <t>奥飞数据</t>
  </si>
  <si>
    <t>www.lixinger.com/analytics/company/sz/300738/300738/detail</t>
  </si>
  <si>
    <t>国邦医药</t>
  </si>
  <si>
    <t>www.lixinger.com/analytics/company/sh/605507/605507/detail</t>
  </si>
  <si>
    <t>飞科电器</t>
  </si>
  <si>
    <t>个护小家电</t>
  </si>
  <si>
    <t>www.lixinger.com/analytics/company/sh/603868/603868/detail</t>
  </si>
  <si>
    <t>鲁抗医药</t>
  </si>
  <si>
    <t>www.lixinger.com/analytics/company/sh/600789/600789/detail</t>
  </si>
  <si>
    <t>兆讯传媒</t>
  </si>
  <si>
    <t>www.lixinger.com/analytics/company/sz/301102/301102/detail</t>
  </si>
  <si>
    <t>华恒生物</t>
  </si>
  <si>
    <t>www.lixinger.com/analytics/company/sh/688639/688639/detail</t>
  </si>
  <si>
    <t>中环装备</t>
  </si>
  <si>
    <t>www.lixinger.com/analytics/company/sz/300140/300140/detail</t>
  </si>
  <si>
    <t>超声电子</t>
  </si>
  <si>
    <t>www.lixinger.com/analytics/company/sz/000823/823/detail</t>
  </si>
  <si>
    <t>永和智控</t>
  </si>
  <si>
    <t>www.lixinger.com/analytics/company/sz/002795/2795/detail</t>
  </si>
  <si>
    <t>上海电影</t>
  </si>
  <si>
    <t>www.lixinger.com/analytics/company/sh/601595/601595/detail</t>
  </si>
  <si>
    <t>爱普股份</t>
  </si>
  <si>
    <t>www.lixinger.com/analytics/company/sh/603020/603020/detail</t>
  </si>
  <si>
    <t>硕贝德</t>
  </si>
  <si>
    <t>www.lixinger.com/analytics/company/sz/300322/300322/detail</t>
  </si>
  <si>
    <t>基蛋生物</t>
  </si>
  <si>
    <t>www.lixinger.com/analytics/company/sh/603387/603387/detail</t>
  </si>
  <si>
    <t>惠泰医疗</t>
  </si>
  <si>
    <t>www.lixinger.com/analytics/company/sh/688617/688617/detail</t>
  </si>
  <si>
    <t>江苏雷利</t>
  </si>
  <si>
    <t>www.lixinger.com/analytics/company/sz/300660/300660/detail</t>
  </si>
  <si>
    <t>同力日升</t>
  </si>
  <si>
    <t>楼宇设备</t>
  </si>
  <si>
    <t>www.lixinger.com/analytics/company/sh/605286/605286/detail</t>
  </si>
  <si>
    <t>精锻科技</t>
  </si>
  <si>
    <t>www.lixinger.com/analytics/company/sz/300258/300258/detail</t>
  </si>
  <si>
    <t>天佑德酒</t>
  </si>
  <si>
    <t>www.lixinger.com/analytics/company/sz/002646/2646/detail</t>
  </si>
  <si>
    <t>同庆楼</t>
  </si>
  <si>
    <t>餐饮</t>
  </si>
  <si>
    <t>www.lixinger.com/analytics/company/sh/605108/605108/detail</t>
  </si>
  <si>
    <t>雪天盐业</t>
  </si>
  <si>
    <t>www.lixinger.com/analytics/company/sh/600929/600929/detail</t>
  </si>
  <si>
    <t>泰和科技</t>
  </si>
  <si>
    <t>www.lixinger.com/analytics/company/sz/300801/300801/detail</t>
  </si>
  <si>
    <t>贝仕达克</t>
  </si>
  <si>
    <t>www.lixinger.com/analytics/company/sz/300822/300822/detail</t>
  </si>
  <si>
    <t>皇庭国际</t>
  </si>
  <si>
    <t>www.lixinger.com/analytics/company/sz/000056/56/detail</t>
  </si>
  <si>
    <t>吉峰科技</t>
  </si>
  <si>
    <t>www.lixinger.com/analytics/company/sz/300022/300022/detail</t>
  </si>
  <si>
    <t>翔港科技</t>
  </si>
  <si>
    <t>www.lixinger.com/analytics/company/sh/603499/603499/detail</t>
  </si>
  <si>
    <t>江南水务</t>
  </si>
  <si>
    <t>www.lixinger.com/analytics/company/sh/601199/601199/detail</t>
  </si>
  <si>
    <t>浙数文化</t>
  </si>
  <si>
    <t>www.lixinger.com/analytics/company/sh/600633/600633/detail</t>
  </si>
  <si>
    <t>首华燃气</t>
  </si>
  <si>
    <t>www.lixinger.com/analytics/company/sz/300483/300483/detail</t>
  </si>
  <si>
    <t>明新旭腾</t>
  </si>
  <si>
    <t>www.lixinger.com/analytics/company/sh/605068/605068/detail</t>
  </si>
  <si>
    <t>奥海科技</t>
  </si>
  <si>
    <t>www.lixinger.com/analytics/company/sz/002993/2993/detail</t>
  </si>
  <si>
    <t>通策医疗</t>
  </si>
  <si>
    <t>www.lixinger.com/analytics/company/sh/600763/600763/detail</t>
  </si>
  <si>
    <t>云南能投</t>
  </si>
  <si>
    <t>www.lixinger.com/analytics/company/sz/002053/2053/detail</t>
  </si>
  <si>
    <t>顺博合金</t>
  </si>
  <si>
    <t>www.lixinger.com/analytics/company/sz/002996/2996/detail</t>
  </si>
  <si>
    <t>正海生物</t>
  </si>
  <si>
    <t>www.lixinger.com/analytics/company/sz/300653/300653/detail</t>
  </si>
  <si>
    <t>利群股份</t>
  </si>
  <si>
    <t>www.lixinger.com/analytics/company/sh/601366/601366/detail</t>
  </si>
  <si>
    <t>振邦智能</t>
  </si>
  <si>
    <t>www.lixinger.com/analytics/company/sz/003028/3028/detail</t>
  </si>
  <si>
    <t>蓝天燃气</t>
  </si>
  <si>
    <t>www.lixinger.com/analytics/company/sh/605368/605368/detail</t>
  </si>
  <si>
    <t>嘉必优</t>
  </si>
  <si>
    <t>www.lixinger.com/analytics/company/sh/688089/688089/detail</t>
  </si>
  <si>
    <t>福达合金</t>
  </si>
  <si>
    <t>其他金属新材料</t>
  </si>
  <si>
    <t>www.lixinger.com/analytics/company/sh/603045/603045/detail</t>
  </si>
  <si>
    <t>陕西黑猫</t>
  </si>
  <si>
    <t>www.lixinger.com/analytics/company/sh/601015/601015/detail</t>
  </si>
  <si>
    <t>皇马科技</t>
  </si>
  <si>
    <t>www.lixinger.com/analytics/company/sh/603181/603181/detail</t>
  </si>
  <si>
    <t>乾照光电</t>
  </si>
  <si>
    <t>www.lixinger.com/analytics/company/sz/300102/300102/detail</t>
  </si>
  <si>
    <t>何氏眼科</t>
  </si>
  <si>
    <t>www.lixinger.com/analytics/company/sz/301103/301103/detail</t>
  </si>
  <si>
    <t>智动力</t>
  </si>
  <si>
    <t>www.lixinger.com/analytics/company/sz/300686/300686/detail</t>
  </si>
  <si>
    <t>郑中设计</t>
  </si>
  <si>
    <t>www.lixinger.com/analytics/company/sz/002811/2811/detail</t>
  </si>
  <si>
    <t>天龙股份</t>
  </si>
  <si>
    <t>www.lixinger.com/analytics/company/sh/603266/603266/detail</t>
  </si>
  <si>
    <t>新中港</t>
  </si>
  <si>
    <t>www.lixinger.com/analytics/company/sh/605162/605162/detail</t>
  </si>
  <si>
    <t>拓邦股份</t>
  </si>
  <si>
    <t>www.lixinger.com/analytics/company/sz/002139/2139/detail</t>
  </si>
  <si>
    <t>英飞拓</t>
  </si>
  <si>
    <t>安防设备</t>
  </si>
  <si>
    <t>www.lixinger.com/analytics/company/sz/002528/2528/detail</t>
  </si>
  <si>
    <t>神奇制药</t>
  </si>
  <si>
    <t>www.lixinger.com/analytics/company/sh/600613/600613/detail</t>
  </si>
  <si>
    <t>漱玉平民</t>
  </si>
  <si>
    <t>www.lixinger.com/analytics/company/sz/301017/301017/detail</t>
  </si>
  <si>
    <t>华金资本</t>
  </si>
  <si>
    <t>资产管理</t>
  </si>
  <si>
    <t>www.lixinger.com/analytics/company/sz/000532/532/detail</t>
  </si>
  <si>
    <t>欧菲光</t>
  </si>
  <si>
    <t>www.lixinger.com/analytics/company/sz/002456/2456/detail</t>
  </si>
  <si>
    <t>神州高铁</t>
  </si>
  <si>
    <t>www.lixinger.com/analytics/company/sz/000008/8/detail</t>
  </si>
  <si>
    <t>劲仔食品</t>
  </si>
  <si>
    <t>www.lixinger.com/analytics/company/sz/003000/3000/detail</t>
  </si>
  <si>
    <t>劲嘉股份</t>
  </si>
  <si>
    <t>www.lixinger.com/analytics/company/sz/002191/2191/detail</t>
  </si>
  <si>
    <t>尚纬股份</t>
  </si>
  <si>
    <t>www.lixinger.com/analytics/company/sh/603333/603333/detail</t>
  </si>
  <si>
    <t>同益中</t>
  </si>
  <si>
    <t>www.lixinger.com/analytics/company/sh/688722/688722/detail</t>
  </si>
  <si>
    <t>铁科轨道</t>
  </si>
  <si>
    <t>www.lixinger.com/analytics/company/sh/688569/688569/detail</t>
  </si>
  <si>
    <t>凯利泰</t>
  </si>
  <si>
    <t>www.lixinger.com/analytics/company/sz/300326/300326/detail</t>
  </si>
  <si>
    <t>ST时万</t>
  </si>
  <si>
    <t>www.lixinger.com/analytics/company/sh/600241/600241/detail</t>
  </si>
  <si>
    <t>聚辰股份</t>
  </si>
  <si>
    <t>www.lixinger.com/analytics/company/sh/688123/688123/detail</t>
  </si>
  <si>
    <t>新华锦</t>
  </si>
  <si>
    <t>其他饰品</t>
  </si>
  <si>
    <t>www.lixinger.com/analytics/company/sh/600735/600735/detail</t>
  </si>
  <si>
    <t>五方光电</t>
  </si>
  <si>
    <t>www.lixinger.com/analytics/company/sz/002962/2962/detail</t>
  </si>
  <si>
    <t>友邦吊顶</t>
  </si>
  <si>
    <t>其他建材</t>
  </si>
  <si>
    <t>www.lixinger.com/analytics/company/sz/002718/2718/detail</t>
  </si>
  <si>
    <t>兰石重装</t>
  </si>
  <si>
    <t>www.lixinger.com/analytics/company/sh/603169/603169/detail</t>
  </si>
  <si>
    <t>泽宇智能</t>
  </si>
  <si>
    <t>www.lixinger.com/analytics/company/sz/301179/301179/detail</t>
  </si>
  <si>
    <t>宏达新材</t>
  </si>
  <si>
    <t>www.lixinger.com/analytics/company/sz/002211/2211/detail</t>
  </si>
  <si>
    <t>广誉远</t>
  </si>
  <si>
    <t>www.lixinger.com/analytics/company/sh/600771/600771/detail</t>
  </si>
  <si>
    <t>申华控股</t>
  </si>
  <si>
    <t>汽车经销商</t>
  </si>
  <si>
    <t>www.lixinger.com/analytics/company/sh/600653/600653/detail</t>
  </si>
  <si>
    <t>大洋电机</t>
  </si>
  <si>
    <t>www.lixinger.com/analytics/company/sz/002249/2249/detail</t>
  </si>
  <si>
    <t>景旺电子</t>
  </si>
  <si>
    <t>www.lixinger.com/analytics/company/sh/603228/603228/detail</t>
  </si>
  <si>
    <t>六国化工</t>
  </si>
  <si>
    <t>www.lixinger.com/analytics/company/sh/600470/600470/detail</t>
  </si>
  <si>
    <t>九鼎投资</t>
  </si>
  <si>
    <t>www.lixinger.com/analytics/company/sh/600053/600053/detail</t>
  </si>
  <si>
    <t>美迪凯</t>
  </si>
  <si>
    <t>www.lixinger.com/analytics/company/sh/688079/688079/detail</t>
  </si>
  <si>
    <t>联创股份</t>
  </si>
  <si>
    <t>www.lixinger.com/analytics/company/sz/300343/300343/detail</t>
  </si>
  <si>
    <t>热景生物</t>
  </si>
  <si>
    <t>www.lixinger.com/analytics/company/sh/688068/688068/detail</t>
  </si>
  <si>
    <t>咸亨国际</t>
  </si>
  <si>
    <t>www.lixinger.com/analytics/company/sh/605056/605056/detail</t>
  </si>
  <si>
    <t>广安爱众</t>
  </si>
  <si>
    <t>www.lixinger.com/analytics/company/sh/600979/600979/detail</t>
  </si>
  <si>
    <t>彤程新材</t>
  </si>
  <si>
    <t>橡胶助剂</t>
  </si>
  <si>
    <t>www.lixinger.com/analytics/company/sh/603650/603650/detail</t>
  </si>
  <si>
    <t>鑫科材料</t>
  </si>
  <si>
    <t>www.lixinger.com/analytics/company/sh/600255/600255/detail</t>
  </si>
  <si>
    <t>新光药业</t>
  </si>
  <si>
    <t>www.lixinger.com/analytics/company/sz/300519/300519/detail</t>
  </si>
  <si>
    <t>中国卫通</t>
  </si>
  <si>
    <t>航天装备</t>
  </si>
  <si>
    <t>www.lixinger.com/analytics/company/sh/601698/601698/detail</t>
  </si>
  <si>
    <t>莲花健康</t>
  </si>
  <si>
    <t>www.lixinger.com/analytics/company/sh/600186/600186/detail</t>
  </si>
  <si>
    <t>振江股份</t>
  </si>
  <si>
    <t>www.lixinger.com/analytics/company/sh/603507/603507/detail</t>
  </si>
  <si>
    <t>科美诊断</t>
  </si>
  <si>
    <t>www.lixinger.com/analytics/company/sh/688468/688468/detail</t>
  </si>
  <si>
    <t>亨迪药业</t>
  </si>
  <si>
    <t>www.lixinger.com/analytics/company/sz/301211/301211/detail</t>
  </si>
  <si>
    <t>英维克</t>
  </si>
  <si>
    <t>www.lixinger.com/analytics/company/sz/002837/2837/detail</t>
  </si>
  <si>
    <t>渤海轮渡</t>
  </si>
  <si>
    <t>www.lixinger.com/analytics/company/sh/603167/603167/detail</t>
  </si>
  <si>
    <t>华兰生物</t>
  </si>
  <si>
    <t>www.lixinger.com/analytics/company/sz/002007/2007/detail</t>
  </si>
  <si>
    <t>多伦科技</t>
  </si>
  <si>
    <t>www.lixinger.com/analytics/company/sh/603528/603528/detail</t>
  </si>
  <si>
    <t>美盈森</t>
  </si>
  <si>
    <t>www.lixinger.com/analytics/company/sz/002303/2303/detail</t>
  </si>
  <si>
    <t>福安药业</t>
  </si>
  <si>
    <t>www.lixinger.com/analytics/company/sz/300194/300194/detail</t>
  </si>
  <si>
    <t>秋田微</t>
  </si>
  <si>
    <t>www.lixinger.com/analytics/company/sz/300939/300939/detail</t>
  </si>
  <si>
    <t>欧亚集团</t>
  </si>
  <si>
    <t>www.lixinger.com/analytics/company/sh/600697/600697/detail</t>
  </si>
  <si>
    <t>合力科技</t>
  </si>
  <si>
    <t>www.lixinger.com/analytics/company/sh/603917/603917/detail</t>
  </si>
  <si>
    <t>善水科技</t>
  </si>
  <si>
    <t>www.lixinger.com/analytics/company/sz/301190/301190/detail</t>
  </si>
  <si>
    <t>英科再生</t>
  </si>
  <si>
    <t>www.lixinger.com/analytics/company/sh/688087/688087/detail</t>
  </si>
  <si>
    <t>依依股份</t>
  </si>
  <si>
    <t>www.lixinger.com/analytics/company/sz/001206/1206/detail</t>
  </si>
  <si>
    <t>新莱应材</t>
  </si>
  <si>
    <t>www.lixinger.com/analytics/company/sz/300260/300260/detail</t>
  </si>
  <si>
    <t>锦浪科技</t>
  </si>
  <si>
    <t>逆变器</t>
  </si>
  <si>
    <t>www.lixinger.com/analytics/company/sz/300763/300763/detail</t>
  </si>
  <si>
    <t>盛新锂能</t>
  </si>
  <si>
    <t>www.lixinger.com/analytics/company/sz/002240/2240/detail</t>
  </si>
  <si>
    <t>仁东控股</t>
  </si>
  <si>
    <t>www.lixinger.com/analytics/company/sz/002647/2647/detail</t>
  </si>
  <si>
    <t>春兰股份</t>
  </si>
  <si>
    <t>www.lixinger.com/analytics/company/sh/600854/600854/detail</t>
  </si>
  <si>
    <t>深华发Ａ</t>
  </si>
  <si>
    <t>www.lixinger.com/analytics/company/sz/000020/20/detail</t>
  </si>
  <si>
    <t>康辰药业</t>
  </si>
  <si>
    <t>www.lixinger.com/analytics/company/sh/603590/603590/detail</t>
  </si>
  <si>
    <t>渤海股份</t>
  </si>
  <si>
    <t>www.lixinger.com/analytics/company/sz/000605/605/detail</t>
  </si>
  <si>
    <t>派瑞股份</t>
  </si>
  <si>
    <t>www.lixinger.com/analytics/company/sz/300831/300831/detail</t>
  </si>
  <si>
    <t>柘中股份</t>
  </si>
  <si>
    <t>www.lixinger.com/analytics/company/sz/002346/2346/detail</t>
  </si>
  <si>
    <t>晶瑞电材</t>
  </si>
  <si>
    <t>www.lixinger.com/analytics/company/sz/300655/300655/detail</t>
  </si>
  <si>
    <t>天地源</t>
  </si>
  <si>
    <t>www.lixinger.com/analytics/company/sh/600665/600665/detail</t>
  </si>
  <si>
    <t>豪悦护理</t>
  </si>
  <si>
    <t>www.lixinger.com/analytics/company/sh/605009/605009/detail</t>
  </si>
  <si>
    <t>誉衡药业</t>
  </si>
  <si>
    <t>www.lixinger.com/analytics/company/sz/002437/2437/detail</t>
  </si>
  <si>
    <t>江南高纤</t>
  </si>
  <si>
    <t>www.lixinger.com/analytics/company/sh/600527/600527/detail</t>
  </si>
  <si>
    <t>金山股份</t>
  </si>
  <si>
    <t>www.lixinger.com/analytics/company/sh/600396/600396/detail</t>
  </si>
  <si>
    <t>*ST中天</t>
  </si>
  <si>
    <t>www.lixinger.com/analytics/company/sh/600856/600856/detail</t>
  </si>
  <si>
    <t>福晶科技</t>
  </si>
  <si>
    <t>www.lixinger.com/analytics/company/sz/002222/2222/detail</t>
  </si>
  <si>
    <t>丰林集团</t>
  </si>
  <si>
    <t>瓷砖地板</t>
  </si>
  <si>
    <t>www.lixinger.com/analytics/company/sh/601996/601996/detail</t>
  </si>
  <si>
    <t>博实股份</t>
  </si>
  <si>
    <t>www.lixinger.com/analytics/company/sz/002698/2698/detail</t>
  </si>
  <si>
    <t>凯因科技</t>
  </si>
  <si>
    <t>www.lixinger.com/analytics/company/sh/688687/688687/detail</t>
  </si>
  <si>
    <t>凯中精密</t>
  </si>
  <si>
    <t>www.lixinger.com/analytics/company/sz/002823/2823/detail</t>
  </si>
  <si>
    <t>我武生物</t>
  </si>
  <si>
    <t>www.lixinger.com/analytics/company/sz/300357/300357/detail</t>
  </si>
  <si>
    <t>贵州三力</t>
  </si>
  <si>
    <t>www.lixinger.com/analytics/company/sh/603439/603439/detail</t>
  </si>
  <si>
    <t>八方股份</t>
  </si>
  <si>
    <t>www.lixinger.com/analytics/company/sh/603489/603489/detail</t>
  </si>
  <si>
    <t>梦洁股份</t>
  </si>
  <si>
    <t>家纺</t>
  </si>
  <si>
    <t>www.lixinger.com/analytics/company/sz/002397/2397/detail</t>
  </si>
  <si>
    <t>珠海中富</t>
  </si>
  <si>
    <t>www.lixinger.com/analytics/company/sz/000659/659/detail</t>
  </si>
  <si>
    <t>阳谷华泰</t>
  </si>
  <si>
    <t>www.lixinger.com/analytics/company/sz/300121/300121/detail</t>
  </si>
  <si>
    <t>国恩股份</t>
  </si>
  <si>
    <t>www.lixinger.com/analytics/company/sz/002768/2768/detail</t>
  </si>
  <si>
    <t>奥士康</t>
  </si>
  <si>
    <t>www.lixinger.com/analytics/company/sz/002913/2913/detail</t>
  </si>
  <si>
    <t>永艺股份</t>
  </si>
  <si>
    <t>www.lixinger.com/analytics/company/sh/603600/603600/detail</t>
  </si>
  <si>
    <t>九牧王</t>
  </si>
  <si>
    <t>www.lixinger.com/analytics/company/sh/601566/601566/detail</t>
  </si>
  <si>
    <t>联明股份</t>
  </si>
  <si>
    <t>www.lixinger.com/analytics/company/sh/603006/603006/detail</t>
  </si>
  <si>
    <t>雅艺科技</t>
  </si>
  <si>
    <t>www.lixinger.com/analytics/company/sz/301113/301113/detail</t>
  </si>
  <si>
    <t>闽发铝业</t>
  </si>
  <si>
    <t>www.lixinger.com/analytics/company/sz/002578/2578/detail</t>
  </si>
  <si>
    <t>唯科科技</t>
  </si>
  <si>
    <t>www.lixinger.com/analytics/company/sz/301196/301196/detail</t>
  </si>
  <si>
    <t>同德化工</t>
  </si>
  <si>
    <t>www.lixinger.com/analytics/company/sz/002360/2360/detail</t>
  </si>
  <si>
    <t>精达股份</t>
  </si>
  <si>
    <t>www.lixinger.com/analytics/company/sh/600577/600577/detail</t>
  </si>
  <si>
    <t>华绿生物</t>
  </si>
  <si>
    <t>www.lixinger.com/analytics/company/sz/300970/300970/detail</t>
  </si>
  <si>
    <t>沙钢股份</t>
  </si>
  <si>
    <t>www.lixinger.com/analytics/company/sz/002075/2075/detail</t>
  </si>
  <si>
    <t>普丽盛</t>
  </si>
  <si>
    <t>www.lixinger.com/analytics/company/sz/300442/300442/detail</t>
  </si>
  <si>
    <t>东尼电子</t>
  </si>
  <si>
    <t>www.lixinger.com/analytics/company/sh/603595/603595/detail</t>
  </si>
  <si>
    <t>成都路桥</t>
  </si>
  <si>
    <t>www.lixinger.com/analytics/company/sz/002628/2628/detail</t>
  </si>
  <si>
    <t>*ST华塑</t>
  </si>
  <si>
    <t>www.lixinger.com/analytics/company/sz/000509/509/detail</t>
  </si>
  <si>
    <t>赛轮轮胎</t>
  </si>
  <si>
    <t>www.lixinger.com/analytics/company/sh/601058/601058/detail</t>
  </si>
  <si>
    <t>爱柯迪</t>
  </si>
  <si>
    <t>www.lixinger.com/analytics/company/sh/600933/600933/detail</t>
  </si>
  <si>
    <t>启明信息</t>
  </si>
  <si>
    <t>www.lixinger.com/analytics/company/sz/002232/2232/detail</t>
  </si>
  <si>
    <t>贝因美</t>
  </si>
  <si>
    <t>www.lixinger.com/analytics/company/sz/002570/2570/detail</t>
  </si>
  <si>
    <t>中环环保</t>
  </si>
  <si>
    <t>www.lixinger.com/analytics/company/sz/300692/300692/detail</t>
  </si>
  <si>
    <t>美诺华</t>
  </si>
  <si>
    <t>www.lixinger.com/analytics/company/sh/603538/603538/detail</t>
  </si>
  <si>
    <t>益佰制药</t>
  </si>
  <si>
    <t>www.lixinger.com/analytics/company/sh/600594/600594/detail</t>
  </si>
  <si>
    <t>拱东医疗</t>
  </si>
  <si>
    <t>www.lixinger.com/analytics/company/sh/605369/605369/detail</t>
  </si>
  <si>
    <t>精准信息</t>
  </si>
  <si>
    <t>www.lixinger.com/analytics/company/sz/300099/300099/detail</t>
  </si>
  <si>
    <t>金鸿顺</t>
  </si>
  <si>
    <t>www.lixinger.com/analytics/company/sh/603922/603922/detail</t>
  </si>
  <si>
    <t>开立医疗</t>
  </si>
  <si>
    <t>www.lixinger.com/analytics/company/sz/300633/300633/detail</t>
  </si>
  <si>
    <t>晶方科技</t>
  </si>
  <si>
    <t>www.lixinger.com/analytics/company/sh/603005/603005/detail</t>
  </si>
  <si>
    <t>银轮股份</t>
  </si>
  <si>
    <t>www.lixinger.com/analytics/company/sz/002126/2126/detail</t>
  </si>
  <si>
    <t>新国都</t>
  </si>
  <si>
    <t>www.lixinger.com/analytics/company/sz/300130/300130/detail</t>
  </si>
  <si>
    <t>东诚药业</t>
  </si>
  <si>
    <t>www.lixinger.com/analytics/company/sz/002675/2675/detail</t>
  </si>
  <si>
    <t>立高食品</t>
  </si>
  <si>
    <t>www.lixinger.com/analytics/company/sz/300973/300973/detail</t>
  </si>
  <si>
    <t>中铁特货</t>
  </si>
  <si>
    <t>www.lixinger.com/analytics/company/sz/001213/1213/detail</t>
  </si>
  <si>
    <t>康恩贝</t>
  </si>
  <si>
    <t>www.lixinger.com/analytics/company/sh/600572/600572/detail</t>
  </si>
  <si>
    <t>天润工业</t>
  </si>
  <si>
    <t>www.lixinger.com/analytics/company/sz/002283/2283/detail</t>
  </si>
  <si>
    <t>华纺股份</t>
  </si>
  <si>
    <t>www.lixinger.com/analytics/company/sh/600448/600448/detail</t>
  </si>
  <si>
    <t>亚宝药业</t>
  </si>
  <si>
    <t>www.lixinger.com/analytics/company/sh/600351/600351/detail</t>
  </si>
  <si>
    <t>钱江摩托</t>
  </si>
  <si>
    <t>www.lixinger.com/analytics/company/sz/000913/913/detail</t>
  </si>
  <si>
    <t>哈尔斯</t>
  </si>
  <si>
    <t>www.lixinger.com/analytics/company/sz/002615/2615/detail</t>
  </si>
  <si>
    <t>汉宇集团</t>
  </si>
  <si>
    <t>www.lixinger.com/analytics/company/sz/300403/300403/detail</t>
  </si>
  <si>
    <t>集友股份</t>
  </si>
  <si>
    <t>www.lixinger.com/analytics/company/sh/603429/603429/detail</t>
  </si>
  <si>
    <t>越剑智能</t>
  </si>
  <si>
    <t>纺织服装设备</t>
  </si>
  <si>
    <t>www.lixinger.com/analytics/company/sh/603095/603095/detail</t>
  </si>
  <si>
    <t>钧达股份</t>
  </si>
  <si>
    <t>www.lixinger.com/analytics/company/sz/002865/2865/detail</t>
  </si>
  <si>
    <t>ST升达</t>
  </si>
  <si>
    <t>www.lixinger.com/analytics/company/sz/002259/2259/detail</t>
  </si>
  <si>
    <t>精华制药</t>
  </si>
  <si>
    <t>www.lixinger.com/analytics/company/sz/002349/2349/detail</t>
  </si>
  <si>
    <t>天成自控</t>
  </si>
  <si>
    <t>www.lixinger.com/analytics/company/sh/603085/603085/detail</t>
  </si>
  <si>
    <t>新洁能</t>
  </si>
  <si>
    <t>www.lixinger.com/analytics/company/sh/605111/605111/detail</t>
  </si>
  <si>
    <t>沃华医药</t>
  </si>
  <si>
    <t>www.lixinger.com/analytics/company/sz/002107/2107/detail</t>
  </si>
  <si>
    <t>襄阳轴承</t>
  </si>
  <si>
    <t>www.lixinger.com/analytics/company/sz/000678/678/detail</t>
  </si>
  <si>
    <t>格林精密</t>
  </si>
  <si>
    <t>www.lixinger.com/analytics/company/sz/300968/300968/detail</t>
  </si>
  <si>
    <t>南京熊猫</t>
  </si>
  <si>
    <t>www.lixinger.com/analytics/company/sh/600775/600775/detail</t>
  </si>
  <si>
    <t>晨化股份</t>
  </si>
  <si>
    <t>www.lixinger.com/analytics/company/sz/300610/300610/detail</t>
  </si>
  <si>
    <t>利柏特</t>
  </si>
  <si>
    <t>www.lixinger.com/analytics/company/sh/605167/605167/detail</t>
  </si>
  <si>
    <t>辰欣药业</t>
  </si>
  <si>
    <t>www.lixinger.com/analytics/company/sh/603367/603367/detail</t>
  </si>
  <si>
    <t>强瑞技术</t>
  </si>
  <si>
    <t>www.lixinger.com/analytics/company/sz/301128/301128/detail</t>
  </si>
  <si>
    <t>兆丰股份</t>
  </si>
  <si>
    <t>www.lixinger.com/analytics/company/sz/300695/300695/detail</t>
  </si>
  <si>
    <t>ST华鼎</t>
  </si>
  <si>
    <t>跨境电商</t>
  </si>
  <si>
    <t>www.lixinger.com/analytics/company/sh/601113/601113/detail</t>
  </si>
  <si>
    <t>共达电声</t>
  </si>
  <si>
    <t>www.lixinger.com/analytics/company/sz/002655/2655/detail</t>
  </si>
  <si>
    <t>申菱环境</t>
  </si>
  <si>
    <t>制冷空调设备</t>
  </si>
  <si>
    <t>www.lixinger.com/analytics/company/sz/301018/301018/detail</t>
  </si>
  <si>
    <t>拓斯达</t>
  </si>
  <si>
    <t>www.lixinger.com/analytics/company/sz/300607/300607/detail</t>
  </si>
  <si>
    <t>长阳科技</t>
  </si>
  <si>
    <t>www.lixinger.com/analytics/company/sh/688299/688299/detail</t>
  </si>
  <si>
    <t>泰豪科技</t>
  </si>
  <si>
    <t>www.lixinger.com/analytics/company/sh/600590/600590/detail</t>
  </si>
  <si>
    <t>味知香</t>
  </si>
  <si>
    <t>www.lixinger.com/analytics/company/sh/605089/605089/detail</t>
  </si>
  <si>
    <t>激智科技</t>
  </si>
  <si>
    <t>www.lixinger.com/analytics/company/sz/300566/300566/detail</t>
  </si>
  <si>
    <t>海南海药</t>
  </si>
  <si>
    <t>www.lixinger.com/analytics/company/sz/000566/566/detail</t>
  </si>
  <si>
    <t>长春一东</t>
  </si>
  <si>
    <t>www.lixinger.com/analytics/company/sh/600148/600148/detail</t>
  </si>
  <si>
    <t>城发环境</t>
  </si>
  <si>
    <t>www.lixinger.com/analytics/company/sz/000885/885/detail</t>
  </si>
  <si>
    <t>荣晟环保</t>
  </si>
  <si>
    <t>www.lixinger.com/analytics/company/sh/603165/603165/detail</t>
  </si>
  <si>
    <t>ST联建</t>
  </si>
  <si>
    <t>www.lixinger.com/analytics/company/sz/300269/300269/detail</t>
  </si>
  <si>
    <t>朗源股份</t>
  </si>
  <si>
    <t>www.lixinger.com/analytics/company/sz/300175/300175/detail</t>
  </si>
  <si>
    <t>文投控股</t>
  </si>
  <si>
    <t>www.lixinger.com/analytics/company/sh/600715/600715/detail</t>
  </si>
  <si>
    <t>中颖电子</t>
  </si>
  <si>
    <t>www.lixinger.com/analytics/company/sz/300327/300327/detail</t>
  </si>
  <si>
    <t>聆达股份</t>
  </si>
  <si>
    <t>www.lixinger.com/analytics/company/sz/300125/300125/detail</t>
  </si>
  <si>
    <t>捷昌驱动</t>
  </si>
  <si>
    <t>www.lixinger.com/analytics/company/sh/603583/603583/detail</t>
  </si>
  <si>
    <t>国芳集团</t>
  </si>
  <si>
    <t>www.lixinger.com/analytics/company/sh/601086/601086/detail</t>
  </si>
  <si>
    <t>龙江交通</t>
  </si>
  <si>
    <t>www.lixinger.com/analytics/company/sh/601188/601188/detail</t>
  </si>
  <si>
    <t>天津普林</t>
  </si>
  <si>
    <t>www.lixinger.com/analytics/company/sz/002134/2134/detail</t>
  </si>
  <si>
    <t>本川智能</t>
  </si>
  <si>
    <t>www.lixinger.com/analytics/company/sz/300964/300964/detail</t>
  </si>
  <si>
    <t>星辉娱乐</t>
  </si>
  <si>
    <t>www.lixinger.com/analytics/company/sz/300043/300043/detail</t>
  </si>
  <si>
    <t>*ST中迪</t>
  </si>
  <si>
    <t>www.lixinger.com/analytics/company/sz/000609/609/detail</t>
  </si>
  <si>
    <t>合康新能</t>
  </si>
  <si>
    <t>www.lixinger.com/analytics/company/sz/300048/300048/detail</t>
  </si>
  <si>
    <t>昌红科技</t>
  </si>
  <si>
    <t>www.lixinger.com/analytics/company/sz/300151/300151/detail</t>
  </si>
  <si>
    <t>掌阅科技</t>
  </si>
  <si>
    <t>文字媒体</t>
  </si>
  <si>
    <t>www.lixinger.com/analytics/company/sh/603533/603533/detail</t>
  </si>
  <si>
    <t>宜宾纸业</t>
  </si>
  <si>
    <t>www.lixinger.com/analytics/company/sh/600793/600793/detail</t>
  </si>
  <si>
    <t>奥特维</t>
  </si>
  <si>
    <t>www.lixinger.com/analytics/company/sh/688516/688516/detail</t>
  </si>
  <si>
    <t>德赛西威</t>
  </si>
  <si>
    <t>www.lixinger.com/analytics/company/sz/002920/2920/detail</t>
  </si>
  <si>
    <t>一拖股份</t>
  </si>
  <si>
    <t>农用机械</t>
  </si>
  <si>
    <t>www.lixinger.com/analytics/company/sh/601038/601038/detail</t>
  </si>
  <si>
    <t>国立科技</t>
  </si>
  <si>
    <t>www.lixinger.com/analytics/company/sz/300716/300716/detail</t>
  </si>
  <si>
    <t>波导股份</t>
  </si>
  <si>
    <t>www.lixinger.com/analytics/company/sh/600130/600130/detail</t>
  </si>
  <si>
    <t>众望布艺</t>
  </si>
  <si>
    <t>www.lixinger.com/analytics/company/sh/605003/605003/detail</t>
  </si>
  <si>
    <t>华泰股份</t>
  </si>
  <si>
    <t>www.lixinger.com/analytics/company/sh/600308/600308/detail</t>
  </si>
  <si>
    <t>键凯科技</t>
  </si>
  <si>
    <t>www.lixinger.com/analytics/company/sh/688356/688356/detail</t>
  </si>
  <si>
    <t>中原内配</t>
  </si>
  <si>
    <t>www.lixinger.com/analytics/company/sz/002448/2448/detail</t>
  </si>
  <si>
    <t>首航高科</t>
  </si>
  <si>
    <t>其他电源设备</t>
  </si>
  <si>
    <t>www.lixinger.com/analytics/company/sz/002665/2665/detail</t>
  </si>
  <si>
    <t>威奥股份</t>
  </si>
  <si>
    <t>www.lixinger.com/analytics/company/sh/605001/605001/detail</t>
  </si>
  <si>
    <t>巨轮智能</t>
  </si>
  <si>
    <t>www.lixinger.com/analytics/company/sz/002031/2031/detail</t>
  </si>
  <si>
    <t>远东传动</t>
  </si>
  <si>
    <t>www.lixinger.com/analytics/company/sz/002406/2406/detail</t>
  </si>
  <si>
    <t>超华科技</t>
  </si>
  <si>
    <t>www.lixinger.com/analytics/company/sz/002288/2288/detail</t>
  </si>
  <si>
    <t>大业股份</t>
  </si>
  <si>
    <t>www.lixinger.com/analytics/company/sh/603278/603278/detail</t>
  </si>
  <si>
    <t>泰恩康</t>
  </si>
  <si>
    <t>www.lixinger.com/analytics/company/sz/301263/301263/detail</t>
  </si>
  <si>
    <t>东睦股份</t>
  </si>
  <si>
    <t>www.lixinger.com/analytics/company/sh/600114/600114/detail</t>
  </si>
  <si>
    <t>首都在线</t>
  </si>
  <si>
    <t>www.lixinger.com/analytics/company/sz/300846/300846/detail</t>
  </si>
  <si>
    <t>洪通燃气</t>
  </si>
  <si>
    <t>www.lixinger.com/analytics/company/sh/605169/605169/detail</t>
  </si>
  <si>
    <t>海峡环保</t>
  </si>
  <si>
    <t>www.lixinger.com/analytics/company/sh/603817/603817/detail</t>
  </si>
  <si>
    <t>鲁北化工</t>
  </si>
  <si>
    <t>www.lixinger.com/analytics/company/sh/600727/600727/detail</t>
  </si>
  <si>
    <t>东望时代</t>
  </si>
  <si>
    <t>www.lixinger.com/analytics/company/sh/600052/600052/detail</t>
  </si>
  <si>
    <t>中利集团</t>
  </si>
  <si>
    <t>www.lixinger.com/analytics/company/sz/002309/2309/detail</t>
  </si>
  <si>
    <t>国轩高科</t>
  </si>
  <si>
    <t>www.lixinger.com/analytics/company/sz/002074/2074/detail</t>
  </si>
  <si>
    <t>福成股份</t>
  </si>
  <si>
    <t>其他养殖</t>
  </si>
  <si>
    <t>www.lixinger.com/analytics/company/sh/600965/600965/detail</t>
  </si>
  <si>
    <t>汉森制药</t>
  </si>
  <si>
    <t>www.lixinger.com/analytics/company/sz/002412/2412/detail</t>
  </si>
  <si>
    <t>乐心医疗</t>
  </si>
  <si>
    <t>www.lixinger.com/analytics/company/sz/300562/300562/detail</t>
  </si>
  <si>
    <t>宝泰隆</t>
  </si>
  <si>
    <t>www.lixinger.com/analytics/company/sh/601011/601011/detail</t>
  </si>
  <si>
    <t>风神股份</t>
  </si>
  <si>
    <t>www.lixinger.com/analytics/company/sh/600469/600469/detail</t>
  </si>
  <si>
    <t>江苏吴中</t>
  </si>
  <si>
    <t>www.lixinger.com/analytics/company/sh/600200/600200/detail</t>
  </si>
  <si>
    <t>百达精工</t>
  </si>
  <si>
    <t>www.lixinger.com/analytics/company/sh/603331/603331/detail</t>
  </si>
  <si>
    <t>莱茵生物</t>
  </si>
  <si>
    <t>www.lixinger.com/analytics/company/sz/002166/2166/detail</t>
  </si>
  <si>
    <t>复洁环保</t>
  </si>
  <si>
    <t>www.lixinger.com/analytics/company/sh/688335/688335/detail</t>
  </si>
  <si>
    <t>芳源股份</t>
  </si>
  <si>
    <t>www.lixinger.com/analytics/company/sh/688148/688148/detail</t>
  </si>
  <si>
    <t>科信技术</t>
  </si>
  <si>
    <t>www.lixinger.com/analytics/company/sz/300565/300565/detail</t>
  </si>
  <si>
    <t>盐田港</t>
  </si>
  <si>
    <t>www.lixinger.com/analytics/company/sz/000088/88/detail</t>
  </si>
  <si>
    <t>气派科技</t>
  </si>
  <si>
    <t>www.lixinger.com/analytics/company/sh/688216/688216/detail</t>
  </si>
  <si>
    <t>*ST中基</t>
  </si>
  <si>
    <t>www.lixinger.com/analytics/company/sz/000972/972/detail</t>
  </si>
  <si>
    <t>宝光股份</t>
  </si>
  <si>
    <t>www.lixinger.com/analytics/company/sh/600379/600379/detail</t>
  </si>
  <si>
    <t>酒鬼酒</t>
  </si>
  <si>
    <t>www.lixinger.com/analytics/company/sz/000799/799/detail</t>
  </si>
  <si>
    <t>爱丽家居</t>
  </si>
  <si>
    <t>www.lixinger.com/analytics/company/sh/603221/603221/detail</t>
  </si>
  <si>
    <t>万辰生物</t>
  </si>
  <si>
    <t>www.lixinger.com/analytics/company/sz/300972/300972/detail</t>
  </si>
  <si>
    <t>汇通能源</t>
  </si>
  <si>
    <t>www.lixinger.com/analytics/company/sh/600605/600605/detail</t>
  </si>
  <si>
    <t>东方通信</t>
  </si>
  <si>
    <t>www.lixinger.com/analytics/company/sh/600776/600776/detail</t>
  </si>
  <si>
    <t>国机通用</t>
  </si>
  <si>
    <t>www.lixinger.com/analytics/company/sh/600444/600444/detail</t>
  </si>
  <si>
    <t>惠发食品</t>
  </si>
  <si>
    <t>www.lixinger.com/analytics/company/sh/603536/603536/detail</t>
  </si>
  <si>
    <t>巨星科技</t>
  </si>
  <si>
    <t>www.lixinger.com/analytics/company/sz/002444/2444/detail</t>
  </si>
  <si>
    <t>华安鑫创</t>
  </si>
  <si>
    <t>www.lixinger.com/analytics/company/sz/300928/300928/detail</t>
  </si>
  <si>
    <t>科伦药业</t>
  </si>
  <si>
    <t>www.lixinger.com/analytics/company/sz/002422/2422/detail</t>
  </si>
  <si>
    <t>*ST罗顿</t>
  </si>
  <si>
    <t>www.lixinger.com/analytics/company/sh/600209/600209/detail</t>
  </si>
  <si>
    <t>澳弘电子</t>
  </si>
  <si>
    <t>www.lixinger.com/analytics/company/sh/605058/605058/detail</t>
  </si>
  <si>
    <t>腾达建设</t>
  </si>
  <si>
    <t>www.lixinger.com/analytics/company/sh/600512/600512/detail</t>
  </si>
  <si>
    <t>华光环能</t>
  </si>
  <si>
    <t>综合电力设备商</t>
  </si>
  <si>
    <t>www.lixinger.com/analytics/company/sh/600475/600475/detail</t>
  </si>
  <si>
    <t>德尔股份</t>
  </si>
  <si>
    <t>www.lixinger.com/analytics/company/sz/300473/300473/detail</t>
  </si>
  <si>
    <t>恒帅股份</t>
  </si>
  <si>
    <t>www.lixinger.com/analytics/company/sz/300969/300969/detail</t>
  </si>
  <si>
    <t>北信源</t>
  </si>
  <si>
    <t>www.lixinger.com/analytics/company/sz/300352/300352/detail</t>
  </si>
  <si>
    <t>宇瞳光学</t>
  </si>
  <si>
    <t>www.lixinger.com/analytics/company/sz/300790/300790/detail</t>
  </si>
  <si>
    <t>赣能股份</t>
  </si>
  <si>
    <t>www.lixinger.com/analytics/company/sz/000899/899/detail</t>
  </si>
  <si>
    <t>幸福蓝海</t>
  </si>
  <si>
    <t>www.lixinger.com/analytics/company/sz/300528/300528/detail</t>
  </si>
  <si>
    <t>三峡新材</t>
  </si>
  <si>
    <t>www.lixinger.com/analytics/company/sh/600293/600293/detail</t>
  </si>
  <si>
    <t>爱博医疗</t>
  </si>
  <si>
    <t>www.lixinger.com/analytics/company/sh/688050/688050/detail</t>
  </si>
  <si>
    <t>倍加洁</t>
  </si>
  <si>
    <t>www.lixinger.com/analytics/company/sh/603059/603059/detail</t>
  </si>
  <si>
    <t>四川双马</t>
  </si>
  <si>
    <t>www.lixinger.com/analytics/company/sz/000935/935/detail</t>
  </si>
  <si>
    <t>慈星股份</t>
  </si>
  <si>
    <t>www.lixinger.com/analytics/company/sz/300307/300307/detail</t>
  </si>
  <si>
    <t>四方科技</t>
  </si>
  <si>
    <t>www.lixinger.com/analytics/company/sh/603339/603339/detail</t>
  </si>
  <si>
    <t>意华股份</t>
  </si>
  <si>
    <t>www.lixinger.com/analytics/company/sz/002897/2897/detail</t>
  </si>
  <si>
    <t>向日葵</t>
  </si>
  <si>
    <t>www.lixinger.com/analytics/company/sz/300111/300111/detail</t>
  </si>
  <si>
    <t>燕麦科技</t>
  </si>
  <si>
    <t>www.lixinger.com/analytics/company/sh/688312/688312/detail</t>
  </si>
  <si>
    <t>恒铭达</t>
  </si>
  <si>
    <t>www.lixinger.com/analytics/company/sz/002947/2947/detail</t>
  </si>
  <si>
    <t>巨一科技</t>
  </si>
  <si>
    <t>www.lixinger.com/analytics/company/sh/688162/688162/detail</t>
  </si>
  <si>
    <t>浩洋股份</t>
  </si>
  <si>
    <t>www.lixinger.com/analytics/company/sz/300833/300833/detail</t>
  </si>
  <si>
    <t>利扬芯片</t>
  </si>
  <si>
    <t>www.lixinger.com/analytics/company/sh/688135/688135/detail</t>
  </si>
  <si>
    <t>盘龙药业</t>
  </si>
  <si>
    <t>www.lixinger.com/analytics/company/sz/002864/2864/detail</t>
  </si>
  <si>
    <t>中路股份</t>
  </si>
  <si>
    <t>www.lixinger.com/analytics/company/sh/600818/600818/detail</t>
  </si>
  <si>
    <t>方盛制药</t>
  </si>
  <si>
    <t>www.lixinger.com/analytics/company/sh/603998/603998/detail</t>
  </si>
  <si>
    <t>西麦食品</t>
  </si>
  <si>
    <t>www.lixinger.com/analytics/company/sz/002956/2956/detail</t>
  </si>
  <si>
    <t>永冠新材</t>
  </si>
  <si>
    <t>胶黏剂及胶带</t>
  </si>
  <si>
    <t>www.lixinger.com/analytics/company/sh/603681/603681/detail</t>
  </si>
  <si>
    <t>益盛药业</t>
  </si>
  <si>
    <t>www.lixinger.com/analytics/company/sz/002566/2566/detail</t>
  </si>
  <si>
    <t>新化股份</t>
  </si>
  <si>
    <t>www.lixinger.com/analytics/company/sh/603867/603867/detail</t>
  </si>
  <si>
    <t>中坚科技</t>
  </si>
  <si>
    <t>www.lixinger.com/analytics/company/sz/002779/2779/detail</t>
  </si>
  <si>
    <t>濮阳惠成</t>
  </si>
  <si>
    <t>www.lixinger.com/analytics/company/sz/300481/300481/detail</t>
  </si>
  <si>
    <t>共创草坪</t>
  </si>
  <si>
    <t>www.lixinger.com/analytics/company/sh/605099/605099/detail</t>
  </si>
  <si>
    <t>四方达</t>
  </si>
  <si>
    <t>www.lixinger.com/analytics/company/sz/300179/300179/detail</t>
  </si>
  <si>
    <t>新强联</t>
  </si>
  <si>
    <t>www.lixinger.com/analytics/company/sz/300850/300850/detail</t>
  </si>
  <si>
    <t>天秦装备</t>
  </si>
  <si>
    <t>www.lixinger.com/analytics/company/sz/300922/300922/detail</t>
  </si>
  <si>
    <t>ST龙韵</t>
  </si>
  <si>
    <t>www.lixinger.com/analytics/company/sh/603729/603729/detail</t>
  </si>
  <si>
    <t>菱电电控</t>
  </si>
  <si>
    <t>www.lixinger.com/analytics/company/sh/688667/688667/detail</t>
  </si>
  <si>
    <t>成大生物</t>
  </si>
  <si>
    <t>www.lixinger.com/analytics/company/sh/688739/688739/detail</t>
  </si>
  <si>
    <t>中金辐照</t>
  </si>
  <si>
    <t>其他专业服务</t>
  </si>
  <si>
    <t>www.lixinger.com/analytics/company/sz/300962/300962/detail</t>
  </si>
  <si>
    <t>圣龙股份</t>
  </si>
  <si>
    <t>www.lixinger.com/analytics/company/sh/603178/603178/detail</t>
  </si>
  <si>
    <t>原尚股份</t>
  </si>
  <si>
    <t>www.lixinger.com/analytics/company/sh/603813/603813/detail</t>
  </si>
  <si>
    <t>回天新材</t>
  </si>
  <si>
    <t>www.lixinger.com/analytics/company/sz/300041/300041/detail</t>
  </si>
  <si>
    <t>京华激光</t>
  </si>
  <si>
    <t>综合包装</t>
  </si>
  <si>
    <t>www.lixinger.com/analytics/company/sh/603607/603607/detail</t>
  </si>
  <si>
    <t>戎美股份</t>
  </si>
  <si>
    <t>www.lixinger.com/analytics/company/sz/301088/301088/detail</t>
  </si>
  <si>
    <t>通润装备</t>
  </si>
  <si>
    <t>www.lixinger.com/analytics/company/sz/002150/2150/detail</t>
  </si>
  <si>
    <t>联德股份</t>
  </si>
  <si>
    <t>www.lixinger.com/analytics/company/sh/605060/605060/detail</t>
  </si>
  <si>
    <t>久日新材</t>
  </si>
  <si>
    <t>www.lixinger.com/analytics/company/sh/688199/688199/detail</t>
  </si>
  <si>
    <t>宏达股份</t>
  </si>
  <si>
    <t>www.lixinger.com/analytics/company/sh/600331/600331/detail</t>
  </si>
  <si>
    <t>利安隆</t>
  </si>
  <si>
    <t>www.lixinger.com/analytics/company/sz/300596/300596/detail</t>
  </si>
  <si>
    <t>华北制药</t>
  </si>
  <si>
    <t>www.lixinger.com/analytics/company/sh/600812/600812/detail</t>
  </si>
  <si>
    <t>兴通股份</t>
  </si>
  <si>
    <t>www.lixinger.com/analytics/company/sh/603209/603209/detail</t>
  </si>
  <si>
    <t>苑东生物</t>
  </si>
  <si>
    <t>www.lixinger.com/analytics/company/sh/688513/688513/detail</t>
  </si>
  <si>
    <t>奥尼电子</t>
  </si>
  <si>
    <t>www.lixinger.com/analytics/company/sz/301189/301189/detail</t>
  </si>
  <si>
    <t>福瑞股份</t>
  </si>
  <si>
    <t>www.lixinger.com/analytics/company/sz/300049/300049/detail</t>
  </si>
  <si>
    <t>金河生物</t>
  </si>
  <si>
    <t>www.lixinger.com/analytics/company/sz/002688/2688/detail</t>
  </si>
  <si>
    <t>獐子岛</t>
  </si>
  <si>
    <t>www.lixinger.com/analytics/company/sz/002069/2069/detail</t>
  </si>
  <si>
    <t>赛微电子</t>
  </si>
  <si>
    <t>www.lixinger.com/analytics/company/sz/300456/300456/detail</t>
  </si>
  <si>
    <t>中创环保</t>
  </si>
  <si>
    <t>大气治理</t>
  </si>
  <si>
    <t>www.lixinger.com/analytics/company/sz/300056/300056/detail</t>
  </si>
  <si>
    <t>百普赛斯</t>
  </si>
  <si>
    <t>www.lixinger.com/analytics/company/sz/301080/301080/detail</t>
  </si>
  <si>
    <t>商络电子</t>
  </si>
  <si>
    <t>www.lixinger.com/analytics/company/sz/300975/300975/detail</t>
  </si>
  <si>
    <t>科拓生物</t>
  </si>
  <si>
    <t>www.lixinger.com/analytics/company/sz/300858/300858/detail</t>
  </si>
  <si>
    <t>雪榕生物</t>
  </si>
  <si>
    <t>www.lixinger.com/analytics/company/sz/300511/300511/detail</t>
  </si>
  <si>
    <t>英诺激光</t>
  </si>
  <si>
    <t>激光设备</t>
  </si>
  <si>
    <t>www.lixinger.com/analytics/company/sz/301021/301021/detail</t>
  </si>
  <si>
    <t>长航凤凰</t>
  </si>
  <si>
    <t>www.lixinger.com/analytics/company/sz/000520/520/detail</t>
  </si>
  <si>
    <t>盈康生命</t>
  </si>
  <si>
    <t>www.lixinger.com/analytics/company/sz/300143/300143/detail</t>
  </si>
  <si>
    <t>茶花股份</t>
  </si>
  <si>
    <t>www.lixinger.com/analytics/company/sh/603615/603615/detail</t>
  </si>
  <si>
    <t>五洲新春</t>
  </si>
  <si>
    <t>www.lixinger.com/analytics/company/sh/603667/603667/detail</t>
  </si>
  <si>
    <t>华森制药</t>
  </si>
  <si>
    <t>www.lixinger.com/analytics/company/sz/002907/2907/detail</t>
  </si>
  <si>
    <t>惠泉啤酒</t>
  </si>
  <si>
    <t>www.lixinger.com/analytics/company/sh/600573/600573/detail</t>
  </si>
  <si>
    <t>康泰医学</t>
  </si>
  <si>
    <t>www.lixinger.com/analytics/company/sz/300869/300869/detail</t>
  </si>
  <si>
    <t>浩物股份</t>
  </si>
  <si>
    <t>www.lixinger.com/analytics/company/sz/000757/757/detail</t>
  </si>
  <si>
    <t>新亚电子</t>
  </si>
  <si>
    <t>www.lixinger.com/analytics/company/sh/605277/605277/detail</t>
  </si>
  <si>
    <t>密封科技</t>
  </si>
  <si>
    <t>www.lixinger.com/analytics/company/sz/301020/301020/detail</t>
  </si>
  <si>
    <t>中央商场</t>
  </si>
  <si>
    <t>www.lixinger.com/analytics/company/sh/600280/600280/detail</t>
  </si>
  <si>
    <t>凯美特气</t>
  </si>
  <si>
    <t>www.lixinger.com/analytics/company/sz/002549/2549/detail</t>
  </si>
  <si>
    <t>睿智医药</t>
  </si>
  <si>
    <t>www.lixinger.com/analytics/company/sz/300149/300149/detail</t>
  </si>
  <si>
    <t>派生科技</t>
  </si>
  <si>
    <t>www.lixinger.com/analytics/company/sz/300176/300176/detail</t>
  </si>
  <si>
    <t>捷荣技术</t>
  </si>
  <si>
    <t>www.lixinger.com/analytics/company/sz/002855/2855/detail</t>
  </si>
  <si>
    <t>春兴精工</t>
  </si>
  <si>
    <t>www.lixinger.com/analytics/company/sz/002547/2547/detail</t>
  </si>
  <si>
    <t>联测科技</t>
  </si>
  <si>
    <t>www.lixinger.com/analytics/company/sh/688113/688113/detail</t>
  </si>
  <si>
    <t>国安达</t>
  </si>
  <si>
    <t>www.lixinger.com/analytics/company/sz/300902/300902/detail</t>
  </si>
  <si>
    <t>建新股份</t>
  </si>
  <si>
    <t>www.lixinger.com/analytics/company/sz/300107/300107/detail</t>
  </si>
  <si>
    <t>东方电热</t>
  </si>
  <si>
    <t>www.lixinger.com/analytics/company/sz/300217/300217/detail</t>
  </si>
  <si>
    <t>嘉泽新能</t>
  </si>
  <si>
    <t>www.lixinger.com/analytics/company/sh/601619/601619/detail</t>
  </si>
  <si>
    <t>民丰特纸</t>
  </si>
  <si>
    <t>www.lixinger.com/analytics/company/sh/600235/600235/detail</t>
  </si>
  <si>
    <t>王子新材</t>
  </si>
  <si>
    <t>www.lixinger.com/analytics/company/sz/002735/2735/detail</t>
  </si>
  <si>
    <t>诚意药业</t>
  </si>
  <si>
    <t>www.lixinger.com/analytics/company/sh/603811/603811/detail</t>
  </si>
  <si>
    <t>龙高股份</t>
  </si>
  <si>
    <t>www.lixinger.com/analytics/company/sh/605086/605086/detail</t>
  </si>
  <si>
    <t>洪汇新材</t>
  </si>
  <si>
    <t>www.lixinger.com/analytics/company/sz/002802/2802/detail</t>
  </si>
  <si>
    <t>佳禾食品</t>
  </si>
  <si>
    <t>www.lixinger.com/analytics/company/sh/605300/605300/detail</t>
  </si>
  <si>
    <t>双一科技</t>
  </si>
  <si>
    <t>www.lixinger.com/analytics/company/sz/300690/300690/detail</t>
  </si>
  <si>
    <t>新坐标</t>
  </si>
  <si>
    <t>www.lixinger.com/analytics/company/sh/603040/603040/detail</t>
  </si>
  <si>
    <t>奕瑞科技</t>
  </si>
  <si>
    <t>www.lixinger.com/analytics/company/sh/688301/688301/detail</t>
  </si>
  <si>
    <t>奇精机械</t>
  </si>
  <si>
    <t>www.lixinger.com/analytics/company/sh/603677/603677/detail</t>
  </si>
  <si>
    <t>沐邦高科</t>
  </si>
  <si>
    <t>娱乐用品</t>
  </si>
  <si>
    <t>www.lixinger.com/analytics/company/sh/603398/603398/detail</t>
  </si>
  <si>
    <t>蠡湖股份</t>
  </si>
  <si>
    <t>www.lixinger.com/analytics/company/sz/300694/300694/detail</t>
  </si>
  <si>
    <t>海天股份</t>
  </si>
  <si>
    <t>www.lixinger.com/analytics/company/sh/603759/603759/detail</t>
  </si>
  <si>
    <t>博士眼镜</t>
  </si>
  <si>
    <t>www.lixinger.com/analytics/company/sz/300622/300622/detail</t>
  </si>
  <si>
    <t>诺邦股份</t>
  </si>
  <si>
    <t>www.lixinger.com/analytics/company/sh/603238/603238/detail</t>
  </si>
  <si>
    <t>甘源食品</t>
  </si>
  <si>
    <t>www.lixinger.com/analytics/company/sz/002991/2991/detail</t>
  </si>
  <si>
    <t>鹏欣资源</t>
  </si>
  <si>
    <t>www.lixinger.com/analytics/company/sh/600490/600490/detail</t>
  </si>
  <si>
    <t>崧盛股份</t>
  </si>
  <si>
    <t>www.lixinger.com/analytics/company/sz/301002/301002/detail</t>
  </si>
  <si>
    <t>力生制药</t>
  </si>
  <si>
    <t>www.lixinger.com/analytics/company/sz/002393/2393/detail</t>
  </si>
  <si>
    <t>瑞斯康达</t>
  </si>
  <si>
    <t>www.lixinger.com/analytics/company/sh/603803/603803/detail</t>
  </si>
  <si>
    <t>红宝丽</t>
  </si>
  <si>
    <t>www.lixinger.com/analytics/company/sz/002165/2165/detail</t>
  </si>
  <si>
    <t>致远新能</t>
  </si>
  <si>
    <t>www.lixinger.com/analytics/company/sz/300985/300985/detail</t>
  </si>
  <si>
    <t>国旅联合</t>
  </si>
  <si>
    <t>www.lixinger.com/analytics/company/sh/600358/600358/detail</t>
  </si>
  <si>
    <t>浙江众成</t>
  </si>
  <si>
    <t>www.lixinger.com/analytics/company/sz/002522/2522/detail</t>
  </si>
  <si>
    <t>中国武夷</t>
  </si>
  <si>
    <t>www.lixinger.com/analytics/company/sz/000797/797/detail</t>
  </si>
  <si>
    <t>世茂能源</t>
  </si>
  <si>
    <t>www.lixinger.com/analytics/company/sh/605028/605028/detail</t>
  </si>
  <si>
    <t>东珠生态</t>
  </si>
  <si>
    <t>www.lixinger.com/analytics/company/sh/603359/603359/detail</t>
  </si>
  <si>
    <t>美格智能</t>
  </si>
  <si>
    <t>www.lixinger.com/analytics/company/sz/002881/2881/detail</t>
  </si>
  <si>
    <t>丰原药业</t>
  </si>
  <si>
    <t>www.lixinger.com/analytics/company/sz/000153/153/detail</t>
  </si>
  <si>
    <t>仟源医药</t>
  </si>
  <si>
    <t>www.lixinger.com/analytics/company/sz/300254/300254/detail</t>
  </si>
  <si>
    <t>华瓷股份</t>
  </si>
  <si>
    <t>www.lixinger.com/analytics/company/sz/001216/1216/detail</t>
  </si>
  <si>
    <t>*ST恒康</t>
  </si>
  <si>
    <t>www.lixinger.com/analytics/company/sz/002219/2219/detail</t>
  </si>
  <si>
    <t>徕木股份</t>
  </si>
  <si>
    <t>www.lixinger.com/analytics/company/sh/603633/603633/detail</t>
  </si>
  <si>
    <t>南兴股份</t>
  </si>
  <si>
    <t>www.lixinger.com/analytics/company/sz/002757/2757/detail</t>
  </si>
  <si>
    <t>安集科技</t>
  </si>
  <si>
    <t>www.lixinger.com/analytics/company/sh/688019/688019/detail</t>
  </si>
  <si>
    <t>恒辉安防</t>
  </si>
  <si>
    <t>www.lixinger.com/analytics/company/sz/300952/300952/detail</t>
  </si>
  <si>
    <t>嘉元科技</t>
  </si>
  <si>
    <t>www.lixinger.com/analytics/company/sh/688388/688388/detail</t>
  </si>
  <si>
    <t>ST华钰</t>
  </si>
  <si>
    <t>www.lixinger.com/analytics/company/sh/601020/601020/detail</t>
  </si>
  <si>
    <t>万业企业</t>
  </si>
  <si>
    <t>www.lixinger.com/analytics/company/sh/600641/600641/detail</t>
  </si>
  <si>
    <t>腾景科技</t>
  </si>
  <si>
    <t>www.lixinger.com/analytics/company/sh/688195/688195/detail</t>
  </si>
  <si>
    <t>海鸥住工</t>
  </si>
  <si>
    <t>www.lixinger.com/analytics/company/sz/002084/2084/detail</t>
  </si>
  <si>
    <t>世华科技</t>
  </si>
  <si>
    <t>www.lixinger.com/analytics/company/sh/688093/688093/detail</t>
  </si>
  <si>
    <t>奇德新材</t>
  </si>
  <si>
    <t>www.lixinger.com/analytics/company/sz/300995/300995/detail</t>
  </si>
  <si>
    <t>富信科技</t>
  </si>
  <si>
    <t>www.lixinger.com/analytics/company/sh/688662/688662/detail</t>
  </si>
  <si>
    <t>华瑞股份</t>
  </si>
  <si>
    <t>www.lixinger.com/analytics/company/sz/300626/300626/detail</t>
  </si>
  <si>
    <t>英力股份</t>
  </si>
  <si>
    <t>www.lixinger.com/analytics/company/sz/300956/300956/detail</t>
  </si>
  <si>
    <t>亚通股份</t>
  </si>
  <si>
    <t>www.lixinger.com/analytics/company/sh/600692/600692/detail</t>
  </si>
  <si>
    <t>西部创业</t>
  </si>
  <si>
    <t>www.lixinger.com/analytics/company/sz/000557/557/detail</t>
  </si>
  <si>
    <t>中晶科技</t>
  </si>
  <si>
    <t>www.lixinger.com/analytics/company/sz/003026/3026/detail</t>
  </si>
  <si>
    <t>杭州热电</t>
  </si>
  <si>
    <t>www.lixinger.com/analytics/company/sh/605011/605011/detail</t>
  </si>
  <si>
    <t>莎普爱思</t>
  </si>
  <si>
    <t>www.lixinger.com/analytics/company/sh/603168/603168/detail</t>
  </si>
  <si>
    <t>百川畅银</t>
  </si>
  <si>
    <t>www.lixinger.com/analytics/company/sz/300614/300614/detail</t>
  </si>
  <si>
    <t>灿勤科技</t>
  </si>
  <si>
    <t>www.lixinger.com/analytics/company/sh/688182/688182/detail</t>
  </si>
  <si>
    <t>建科机械</t>
  </si>
  <si>
    <t>www.lixinger.com/analytics/company/sz/300823/300823/detail</t>
  </si>
  <si>
    <t>雪峰科技</t>
  </si>
  <si>
    <t>www.lixinger.com/analytics/company/sh/603227/603227/detail</t>
  </si>
  <si>
    <t>扬帆新材</t>
  </si>
  <si>
    <t>www.lixinger.com/analytics/company/sz/300637/300637/detail</t>
  </si>
  <si>
    <t>屹通新材</t>
  </si>
  <si>
    <t>www.lixinger.com/analytics/company/sz/300930/300930/detail</t>
  </si>
  <si>
    <t>安利股份</t>
  </si>
  <si>
    <t>www.lixinger.com/analytics/company/sz/300218/300218/detail</t>
  </si>
  <si>
    <t>ST冠福</t>
  </si>
  <si>
    <t>www.lixinger.com/analytics/company/sz/002102/2102/detail</t>
  </si>
  <si>
    <t>神工股份</t>
  </si>
  <si>
    <t>www.lixinger.com/analytics/company/sh/688233/688233/detail</t>
  </si>
  <si>
    <t>恒锋工具</t>
  </si>
  <si>
    <t>www.lixinger.com/analytics/company/sz/300488/300488/detail</t>
  </si>
  <si>
    <t>中源协和</t>
  </si>
  <si>
    <t>www.lixinger.com/analytics/company/sh/600645/600645/detail</t>
  </si>
  <si>
    <t>星光农机</t>
  </si>
  <si>
    <t>www.lixinger.com/analytics/company/sh/603789/603789/detail</t>
  </si>
  <si>
    <t>泰瑞机器</t>
  </si>
  <si>
    <t>www.lixinger.com/analytics/company/sh/603289/603289/detail</t>
  </si>
  <si>
    <t>恒丰纸业</t>
  </si>
  <si>
    <t>www.lixinger.com/analytics/company/sh/600356/600356/detail</t>
  </si>
  <si>
    <t>嵘泰股份</t>
  </si>
  <si>
    <t>www.lixinger.com/analytics/company/sh/605133/605133/detail</t>
  </si>
  <si>
    <t>珠江股份</t>
  </si>
  <si>
    <t>www.lixinger.com/analytics/company/sh/600684/600684/detail</t>
  </si>
  <si>
    <t>振华科技</t>
  </si>
  <si>
    <t>www.lixinger.com/analytics/company/sz/000733/733/detail</t>
  </si>
  <si>
    <t>圣诺生物</t>
  </si>
  <si>
    <t>www.lixinger.com/analytics/company/sh/688117/688117/detail</t>
  </si>
  <si>
    <t>迈为股份</t>
  </si>
  <si>
    <t>www.lixinger.com/analytics/company/sz/300751/300751/detail</t>
  </si>
  <si>
    <t>科力尔</t>
  </si>
  <si>
    <t>www.lixinger.com/analytics/company/sz/002892/2892/detail</t>
  </si>
  <si>
    <t>永悦科技</t>
  </si>
  <si>
    <t>www.lixinger.com/analytics/company/sh/603879/603879/detail</t>
  </si>
  <si>
    <t>神力股份</t>
  </si>
  <si>
    <t>www.lixinger.com/analytics/company/sh/603819/603819/detail</t>
  </si>
  <si>
    <t>禾迈股份</t>
  </si>
  <si>
    <t>www.lixinger.com/analytics/company/sh/688032/688032/detail</t>
  </si>
  <si>
    <t>贝达药业</t>
  </si>
  <si>
    <t>www.lixinger.com/analytics/company/sz/300558/300558/detail</t>
  </si>
  <si>
    <t>天元股份</t>
  </si>
  <si>
    <t>www.lixinger.com/analytics/company/sz/003003/3003/detail</t>
  </si>
  <si>
    <t>ST华仪</t>
  </si>
  <si>
    <t>www.lixinger.com/analytics/company/sh/600290/600290/detail</t>
  </si>
  <si>
    <t>丽岛新材</t>
  </si>
  <si>
    <t>www.lixinger.com/analytics/company/sh/603937/603937/detail</t>
  </si>
  <si>
    <t>日久光电</t>
  </si>
  <si>
    <t>www.lixinger.com/analytics/company/sz/003015/3015/detail</t>
  </si>
  <si>
    <t>正强股份</t>
  </si>
  <si>
    <t>www.lixinger.com/analytics/company/sz/301119/301119/detail</t>
  </si>
  <si>
    <t>阿科力</t>
  </si>
  <si>
    <t>www.lixinger.com/analytics/company/sh/603722/603722/detail</t>
  </si>
  <si>
    <t>华通线缆</t>
  </si>
  <si>
    <t>www.lixinger.com/analytics/company/sh/605196/605196/detail</t>
  </si>
  <si>
    <t>金牛化工</t>
  </si>
  <si>
    <t>www.lixinger.com/analytics/company/sh/600722/600722/detail</t>
  </si>
  <si>
    <t>光莆股份</t>
  </si>
  <si>
    <t>www.lixinger.com/analytics/company/sz/300632/300632/detail</t>
  </si>
  <si>
    <t>漫步者</t>
  </si>
  <si>
    <t>www.lixinger.com/analytics/company/sz/002351/2351/detail</t>
  </si>
  <si>
    <t>北特科技</t>
  </si>
  <si>
    <t>www.lixinger.com/analytics/company/sh/603009/603009/detail</t>
  </si>
  <si>
    <t>维力医疗</t>
  </si>
  <si>
    <t>www.lixinger.com/analytics/company/sh/603309/603309/detail</t>
  </si>
  <si>
    <t>众源新材</t>
  </si>
  <si>
    <t>www.lixinger.com/analytics/company/sh/603527/603527/detail</t>
  </si>
  <si>
    <t>建车B</t>
  </si>
  <si>
    <t>www.lixinger.com/analytics/company/sz/200054/200054/detail</t>
  </si>
  <si>
    <t>艾华集团</t>
  </si>
  <si>
    <t>www.lixinger.com/analytics/company/sh/603989/603989/detail</t>
  </si>
  <si>
    <t>福能东方</t>
  </si>
  <si>
    <t>www.lixinger.com/analytics/company/sz/300173/300173/detail</t>
  </si>
  <si>
    <t>捷捷微电</t>
  </si>
  <si>
    <t>www.lixinger.com/analytics/company/sz/300623/300623/detail</t>
  </si>
  <si>
    <t>萃华珠宝</t>
  </si>
  <si>
    <t>www.lixinger.com/analytics/company/sz/002731/2731/detail</t>
  </si>
  <si>
    <t>一品红</t>
  </si>
  <si>
    <t>www.lixinger.com/analytics/company/sz/300723/300723/detail</t>
  </si>
  <si>
    <t>三晖电气</t>
  </si>
  <si>
    <t>www.lixinger.com/analytics/company/sz/002857/2857/detail</t>
  </si>
  <si>
    <t>通裕重工</t>
  </si>
  <si>
    <t>www.lixinger.com/analytics/company/sz/300185/300185/detail</t>
  </si>
  <si>
    <t>艾德生物</t>
  </si>
  <si>
    <t>www.lixinger.com/analytics/company/sz/300685/300685/detail</t>
  </si>
  <si>
    <t>富安娜</t>
  </si>
  <si>
    <t>www.lixinger.com/analytics/company/sz/002327/2327/detail</t>
  </si>
  <si>
    <t>鼎通科技</t>
  </si>
  <si>
    <t>www.lixinger.com/analytics/company/sh/688668/688668/detail</t>
  </si>
  <si>
    <t>日丰股份</t>
  </si>
  <si>
    <t>www.lixinger.com/analytics/company/sz/002953/2953/detail</t>
  </si>
  <si>
    <t>中广天择</t>
  </si>
  <si>
    <t>www.lixinger.com/analytics/company/sh/603721/603721/detail</t>
  </si>
  <si>
    <t>福立旺</t>
  </si>
  <si>
    <t>www.lixinger.com/analytics/company/sh/688678/688678/detail</t>
  </si>
  <si>
    <t>贝斯特</t>
  </si>
  <si>
    <t>www.lixinger.com/analytics/company/sz/300580/300580/detail</t>
  </si>
  <si>
    <t>富春环保</t>
  </si>
  <si>
    <t>www.lixinger.com/analytics/company/sz/002479/2479/detail</t>
  </si>
  <si>
    <t>青岛双星</t>
  </si>
  <si>
    <t>www.lixinger.com/analytics/company/sz/000599/599/detail</t>
  </si>
  <si>
    <t>贵广网络</t>
  </si>
  <si>
    <t>www.lixinger.com/analytics/company/sh/600996/600996/detail</t>
  </si>
  <si>
    <t>瑞玛精密</t>
  </si>
  <si>
    <t>www.lixinger.com/analytics/company/sz/002976/2976/detail</t>
  </si>
  <si>
    <t>安达智能</t>
  </si>
  <si>
    <t>www.lixinger.com/analytics/company/sh/688125/688125/detail</t>
  </si>
  <si>
    <t>泛亚微透</t>
  </si>
  <si>
    <t>www.lixinger.com/analytics/company/sh/688386/688386/detail</t>
  </si>
  <si>
    <t>银河微电</t>
  </si>
  <si>
    <t>www.lixinger.com/analytics/company/sh/688689/688689/detail</t>
  </si>
  <si>
    <t>志特新材</t>
  </si>
  <si>
    <t>www.lixinger.com/analytics/company/sz/300986/300986/detail</t>
  </si>
  <si>
    <t>ST中安</t>
  </si>
  <si>
    <t>www.lixinger.com/analytics/company/sh/600654/600654/detail</t>
  </si>
  <si>
    <t>侨银股份</t>
  </si>
  <si>
    <t>www.lixinger.com/analytics/company/sz/002973/2973/detail</t>
  </si>
  <si>
    <t>永泰运</t>
  </si>
  <si>
    <t>www.lixinger.com/analytics/company/sz/001228/1228/detail</t>
  </si>
  <si>
    <t>江西长运</t>
  </si>
  <si>
    <t>www.lixinger.com/analytics/company/sh/600561/600561/detail</t>
  </si>
  <si>
    <t>灵康药业</t>
  </si>
  <si>
    <t>www.lixinger.com/analytics/company/sh/603669/603669/detail</t>
  </si>
  <si>
    <t>四方新材</t>
  </si>
  <si>
    <t>水泥制品</t>
  </si>
  <si>
    <t>www.lixinger.com/analytics/company/sh/605122/605122/detail</t>
  </si>
  <si>
    <t>盛航股份</t>
  </si>
  <si>
    <t>www.lixinger.com/analytics/company/sz/001205/1205/detail</t>
  </si>
  <si>
    <t>德艺文创</t>
  </si>
  <si>
    <t>www.lixinger.com/analytics/company/sz/300640/300640/detail</t>
  </si>
  <si>
    <t>千味央厨</t>
  </si>
  <si>
    <t>www.lixinger.com/analytics/company/sz/001215/1215/detail</t>
  </si>
  <si>
    <t>佛慈制药</t>
  </si>
  <si>
    <t>www.lixinger.com/analytics/company/sz/002644/2644/detail</t>
  </si>
  <si>
    <t>雄韬股份</t>
  </si>
  <si>
    <t>www.lixinger.com/analytics/company/sz/002733/2733/detail</t>
  </si>
  <si>
    <t>特一药业</t>
  </si>
  <si>
    <t>www.lixinger.com/analytics/company/sz/002728/2728/detail</t>
  </si>
  <si>
    <t>中光防雷</t>
  </si>
  <si>
    <t>www.lixinger.com/analytics/company/sz/300414/300414/detail</t>
  </si>
  <si>
    <t>卫信康</t>
  </si>
  <si>
    <t>www.lixinger.com/analytics/company/sh/603676/603676/detail</t>
  </si>
  <si>
    <t>永安药业</t>
  </si>
  <si>
    <t>www.lixinger.com/analytics/company/sz/002365/2365/detail</t>
  </si>
  <si>
    <t>梅安森</t>
  </si>
  <si>
    <t>www.lixinger.com/analytics/company/sz/300275/300275/detail</t>
  </si>
  <si>
    <t>超越科技</t>
  </si>
  <si>
    <t>www.lixinger.com/analytics/company/sz/301049/301049/detail</t>
  </si>
  <si>
    <t>迪普科技</t>
  </si>
  <si>
    <t>www.lixinger.com/analytics/company/sz/300768/300768/detail</t>
  </si>
  <si>
    <t>安纳达</t>
  </si>
  <si>
    <t>www.lixinger.com/analytics/company/sz/002136/2136/detail</t>
  </si>
  <si>
    <t>天下秀</t>
  </si>
  <si>
    <t>www.lixinger.com/analytics/company/sh/600556/600556/detail</t>
  </si>
  <si>
    <t>吉祥航空</t>
  </si>
  <si>
    <t>www.lixinger.com/analytics/company/sh/603885/603885/detail</t>
  </si>
  <si>
    <t>飞力达</t>
  </si>
  <si>
    <t>www.lixinger.com/analytics/company/sz/300240/300240/detail</t>
  </si>
  <si>
    <t>帅丰电器</t>
  </si>
  <si>
    <t>www.lixinger.com/analytics/company/sh/605336/605336/detail</t>
  </si>
  <si>
    <t>环球印务</t>
  </si>
  <si>
    <t>www.lixinger.com/analytics/company/sz/002799/2799/detail</t>
  </si>
  <si>
    <t>雷柏科技</t>
  </si>
  <si>
    <t>www.lixinger.com/analytics/company/sz/002577/2577/detail</t>
  </si>
  <si>
    <t>辉煌科技</t>
  </si>
  <si>
    <t>www.lixinger.com/analytics/company/sz/002296/2296/detail</t>
  </si>
  <si>
    <t>众生药业</t>
  </si>
  <si>
    <t>www.lixinger.com/analytics/company/sz/002317/2317/detail</t>
  </si>
  <si>
    <t>上海易连</t>
  </si>
  <si>
    <t>印刷</t>
  </si>
  <si>
    <t>www.lixinger.com/analytics/company/sh/600836/600836/detail</t>
  </si>
  <si>
    <t>吉翔股份</t>
  </si>
  <si>
    <t>钼</t>
  </si>
  <si>
    <t>www.lixinger.com/analytics/company/sh/603399/603399/detail</t>
  </si>
  <si>
    <t>海达股份</t>
  </si>
  <si>
    <t>www.lixinger.com/analytics/company/sz/300320/300320/detail</t>
  </si>
  <si>
    <t>森林包装</t>
  </si>
  <si>
    <t>www.lixinger.com/analytics/company/sh/605500/605500/detail</t>
  </si>
  <si>
    <t>新赛股份</t>
  </si>
  <si>
    <t>www.lixinger.com/analytics/company/sh/600540/600540/detail</t>
  </si>
  <si>
    <t>奥锐特</t>
  </si>
  <si>
    <t>www.lixinger.com/analytics/company/sh/605116/605116/detail</t>
  </si>
  <si>
    <t>东宝生物</t>
  </si>
  <si>
    <t>www.lixinger.com/analytics/company/sz/300239/300239/detail</t>
  </si>
  <si>
    <t>川环科技</t>
  </si>
  <si>
    <t>www.lixinger.com/analytics/company/sz/300547/300547/detail</t>
  </si>
  <si>
    <t>理邦仪器</t>
  </si>
  <si>
    <t>www.lixinger.com/analytics/company/sz/300206/300206/detail</t>
  </si>
  <si>
    <t>龙磁科技</t>
  </si>
  <si>
    <t>www.lixinger.com/analytics/company/sz/300835/300835/detail</t>
  </si>
  <si>
    <t>厦门空港</t>
  </si>
  <si>
    <t>www.lixinger.com/analytics/company/sh/600897/600897/detail</t>
  </si>
  <si>
    <t>若羽臣</t>
  </si>
  <si>
    <t>电商服务</t>
  </si>
  <si>
    <t>www.lixinger.com/analytics/company/sz/003010/3010/detail</t>
  </si>
  <si>
    <t>悦安新材</t>
  </si>
  <si>
    <t>www.lixinger.com/analytics/company/sh/688786/688786/detail</t>
  </si>
  <si>
    <t>雪龙集团</t>
  </si>
  <si>
    <t>www.lixinger.com/analytics/company/sh/603949/603949/detail</t>
  </si>
  <si>
    <t>卓翼科技</t>
  </si>
  <si>
    <t>www.lixinger.com/analytics/company/sz/002369/2369/detail</t>
  </si>
  <si>
    <t>冠昊生物</t>
  </si>
  <si>
    <t>www.lixinger.com/analytics/company/sz/300238/300238/detail</t>
  </si>
  <si>
    <t>康惠制药</t>
  </si>
  <si>
    <t>www.lixinger.com/analytics/company/sh/603139/603139/detail</t>
  </si>
  <si>
    <t>有方科技</t>
  </si>
  <si>
    <t>www.lixinger.com/analytics/company/sh/688159/688159/detail</t>
  </si>
  <si>
    <t>同兴达</t>
  </si>
  <si>
    <t>www.lixinger.com/analytics/company/sz/002845/2845/detail</t>
  </si>
  <si>
    <t>精伦电子</t>
  </si>
  <si>
    <t>www.lixinger.com/analytics/company/sh/600355/600355/detail</t>
  </si>
  <si>
    <t>亚翔集成</t>
  </si>
  <si>
    <t>www.lixinger.com/analytics/company/sh/603929/603929/detail</t>
  </si>
  <si>
    <t>扬子新材</t>
  </si>
  <si>
    <t>www.lixinger.com/analytics/company/sz/002652/2652/detail</t>
  </si>
  <si>
    <t>钱江生化</t>
  </si>
  <si>
    <t>www.lixinger.com/analytics/company/sh/600796/600796/detail</t>
  </si>
  <si>
    <t>吉林高速</t>
  </si>
  <si>
    <t>www.lixinger.com/analytics/company/sh/601518/601518/detail</t>
  </si>
  <si>
    <t>上声电子</t>
  </si>
  <si>
    <t>www.lixinger.com/analytics/company/sh/688533/688533/detail</t>
  </si>
  <si>
    <t>海航科技</t>
  </si>
  <si>
    <t>www.lixinger.com/analytics/company/sh/600751/600751/detail</t>
  </si>
  <si>
    <t>中马传动</t>
  </si>
  <si>
    <t>www.lixinger.com/analytics/company/sh/603767/603767/detail</t>
  </si>
  <si>
    <t>城地香江</t>
  </si>
  <si>
    <t>www.lixinger.com/analytics/company/sh/603887/603887/detail</t>
  </si>
  <si>
    <t>盛洋科技</t>
  </si>
  <si>
    <t>www.lixinger.com/analytics/company/sh/603703/603703/detail</t>
  </si>
  <si>
    <t>鹏翎股份</t>
  </si>
  <si>
    <t>www.lixinger.com/analytics/company/sz/300375/300375/detail</t>
  </si>
  <si>
    <t>黄山胶囊</t>
  </si>
  <si>
    <t>www.lixinger.com/analytics/company/sz/002817/2817/detail</t>
  </si>
  <si>
    <t>海泰新光</t>
  </si>
  <si>
    <t>www.lixinger.com/analytics/company/sh/688677/688677/detail</t>
  </si>
  <si>
    <t>新宁物流</t>
  </si>
  <si>
    <t>www.lixinger.com/analytics/company/sz/300013/300013/detail</t>
  </si>
  <si>
    <t>腾龙股份</t>
  </si>
  <si>
    <t>www.lixinger.com/analytics/company/sh/603158/603158/detail</t>
  </si>
  <si>
    <t>宏辉果蔬</t>
  </si>
  <si>
    <t>www.lixinger.com/analytics/company/sh/603336/603336/detail</t>
  </si>
  <si>
    <t>金刚玻璃</t>
  </si>
  <si>
    <t>www.lixinger.com/analytics/company/sz/300093/300093/detail</t>
  </si>
  <si>
    <t>优刻得</t>
  </si>
  <si>
    <t>www.lixinger.com/analytics/company/sh/688158/688158/detail</t>
  </si>
  <si>
    <t>博亚精工</t>
  </si>
  <si>
    <t>www.lixinger.com/analytics/company/sz/300971/300971/detail</t>
  </si>
  <si>
    <t>兆龙互连</t>
  </si>
  <si>
    <t>www.lixinger.com/analytics/company/sz/300913/300913/detail</t>
  </si>
  <si>
    <t>华兰股份</t>
  </si>
  <si>
    <t>www.lixinger.com/analytics/company/sz/301093/301093/detail</t>
  </si>
  <si>
    <t>ST德豪</t>
  </si>
  <si>
    <t>www.lixinger.com/analytics/company/sz/002005/2005/detail</t>
  </si>
  <si>
    <t>佰仁医疗</t>
  </si>
  <si>
    <t>www.lixinger.com/analytics/company/sh/688198/688198/detail</t>
  </si>
  <si>
    <t>仕佳光子</t>
  </si>
  <si>
    <t>www.lixinger.com/analytics/company/sh/688313/688313/detail</t>
  </si>
  <si>
    <t>云意电气</t>
  </si>
  <si>
    <t>www.lixinger.com/analytics/company/sz/300304/300304/detail</t>
  </si>
  <si>
    <t>力鼎光电</t>
  </si>
  <si>
    <t>www.lixinger.com/analytics/company/sh/605118/605118/detail</t>
  </si>
  <si>
    <t>泰福泵业</t>
  </si>
  <si>
    <t>www.lixinger.com/analytics/company/sz/300992/300992/detail</t>
  </si>
  <si>
    <t>中泰股份</t>
  </si>
  <si>
    <t>www.lixinger.com/analytics/company/sz/300435/300435/detail</t>
  </si>
  <si>
    <t>鲁银投资</t>
  </si>
  <si>
    <t>www.lixinger.com/analytics/company/sh/600784/600784/detail</t>
  </si>
  <si>
    <t>汇创达</t>
  </si>
  <si>
    <t>www.lixinger.com/analytics/company/sz/300909/300909/detail</t>
  </si>
  <si>
    <t>常宝股份</t>
  </si>
  <si>
    <t>www.lixinger.com/analytics/company/sz/002478/2478/detail</t>
  </si>
  <si>
    <t>浙江黎明</t>
  </si>
  <si>
    <t>www.lixinger.com/analytics/company/sh/603048/603048/detail</t>
  </si>
  <si>
    <t>嘉寓股份</t>
  </si>
  <si>
    <t>www.lixinger.com/analytics/company/sz/300117/300117/detail</t>
  </si>
  <si>
    <t>泰山石油</t>
  </si>
  <si>
    <t>www.lixinger.com/analytics/company/sz/000554/554/detail</t>
  </si>
  <si>
    <t>棕榈股份</t>
  </si>
  <si>
    <t>www.lixinger.com/analytics/company/sz/002431/2431/detail</t>
  </si>
  <si>
    <t>富士莱</t>
  </si>
  <si>
    <t>www.lixinger.com/analytics/company/sz/301258/301258/detail</t>
  </si>
  <si>
    <t>得润电子</t>
  </si>
  <si>
    <t>www.lixinger.com/analytics/company/sz/002055/2055/detail</t>
  </si>
  <si>
    <t>融捷股份</t>
  </si>
  <si>
    <t>www.lixinger.com/analytics/company/sz/002192/2192/detail</t>
  </si>
  <si>
    <t>晓鸣股份</t>
  </si>
  <si>
    <t>www.lixinger.com/analytics/company/sz/300967/300967/detail</t>
  </si>
  <si>
    <t>普利制药</t>
  </si>
  <si>
    <t>www.lixinger.com/analytics/company/sz/300630/300630/detail</t>
  </si>
  <si>
    <t>帝尔激光</t>
  </si>
  <si>
    <t>www.lixinger.com/analytics/company/sz/300776/300776/detail</t>
  </si>
  <si>
    <t>酷特智能</t>
  </si>
  <si>
    <t>www.lixinger.com/analytics/company/sz/300840/300840/detail</t>
  </si>
  <si>
    <t>天津港</t>
  </si>
  <si>
    <t>www.lixinger.com/analytics/company/sh/600717/600717/detail</t>
  </si>
  <si>
    <t>博雅生物</t>
  </si>
  <si>
    <t>www.lixinger.com/analytics/company/sz/300294/300294/detail</t>
  </si>
  <si>
    <t>兰州黄河</t>
  </si>
  <si>
    <t>www.lixinger.com/analytics/company/sz/000929/929/detail</t>
  </si>
  <si>
    <t>华平股份</t>
  </si>
  <si>
    <t>www.lixinger.com/analytics/company/sz/300074/300074/detail</t>
  </si>
  <si>
    <t>电广传媒</t>
  </si>
  <si>
    <t>www.lixinger.com/analytics/company/sz/000917/917/detail</t>
  </si>
  <si>
    <t>岳阳林纸</t>
  </si>
  <si>
    <t>www.lixinger.com/analytics/company/sh/600963/600963/detail</t>
  </si>
  <si>
    <t>天利科技</t>
  </si>
  <si>
    <t>www.lixinger.com/analytics/company/sz/300399/300399/detail</t>
  </si>
  <si>
    <t>中锐股份</t>
  </si>
  <si>
    <t>www.lixinger.com/analytics/company/sz/002374/2374/detail</t>
  </si>
  <si>
    <t>同益股份</t>
  </si>
  <si>
    <t>www.lixinger.com/analytics/company/sz/300538/300538/detail</t>
  </si>
  <si>
    <t>有友食品</t>
  </si>
  <si>
    <t>www.lixinger.com/analytics/company/sh/603697/603697/detail</t>
  </si>
  <si>
    <t>四会富仕</t>
  </si>
  <si>
    <t>www.lixinger.com/analytics/company/sz/300852/300852/detail</t>
  </si>
  <si>
    <t>国机精工</t>
  </si>
  <si>
    <t>www.lixinger.com/analytics/company/sz/002046/2046/detail</t>
  </si>
  <si>
    <t>沪宁股份</t>
  </si>
  <si>
    <t>www.lixinger.com/analytics/company/sz/300669/300669/detail</t>
  </si>
  <si>
    <t>上海艾录</t>
  </si>
  <si>
    <t>www.lixinger.com/analytics/company/sz/301062/301062/detail</t>
  </si>
  <si>
    <t>中创物流</t>
  </si>
  <si>
    <t>www.lixinger.com/analytics/company/sh/603967/603967/detail</t>
  </si>
  <si>
    <t>新疆火炬</t>
  </si>
  <si>
    <t>www.lixinger.com/analytics/company/sh/603080/603080/detail</t>
  </si>
  <si>
    <t>北陆药业</t>
  </si>
  <si>
    <t>www.lixinger.com/analytics/company/sz/300016/300016/detail</t>
  </si>
  <si>
    <t>ST森源</t>
  </si>
  <si>
    <t>www.lixinger.com/analytics/company/sz/002358/2358/detail</t>
  </si>
  <si>
    <t>南方精工</t>
  </si>
  <si>
    <t>www.lixinger.com/analytics/company/sz/002553/2553/detail</t>
  </si>
  <si>
    <t>上海谊众</t>
  </si>
  <si>
    <t>www.lixinger.com/analytics/company/sh/688091/688091/detail</t>
  </si>
  <si>
    <t>新朋股份</t>
  </si>
  <si>
    <t>www.lixinger.com/analytics/company/sz/002328/2328/detail</t>
  </si>
  <si>
    <t>青岛金王</t>
  </si>
  <si>
    <t>www.lixinger.com/analytics/company/sz/002094/2094/detail</t>
  </si>
  <si>
    <t>金石资源</t>
  </si>
  <si>
    <t>www.lixinger.com/analytics/company/sh/603505/603505/detail</t>
  </si>
  <si>
    <t>威胜信息</t>
  </si>
  <si>
    <t>www.lixinger.com/analytics/company/sh/688100/688100/detail</t>
  </si>
  <si>
    <t>立霸股份</t>
  </si>
  <si>
    <t>www.lixinger.com/analytics/company/sh/603519/603519/detail</t>
  </si>
  <si>
    <t>人人乐</t>
  </si>
  <si>
    <t>www.lixinger.com/analytics/company/sz/002336/2336/detail</t>
  </si>
  <si>
    <t>宋城演艺</t>
  </si>
  <si>
    <t>人工景区</t>
  </si>
  <si>
    <t>www.lixinger.com/analytics/company/sz/300144/300144/detail</t>
  </si>
  <si>
    <t>嘉诚国际</t>
  </si>
  <si>
    <t>www.lixinger.com/analytics/company/sh/603535/603535/detail</t>
  </si>
  <si>
    <t>横河精密</t>
  </si>
  <si>
    <t>www.lixinger.com/analytics/company/sz/300539/300539/detail</t>
  </si>
  <si>
    <t>本立科技</t>
  </si>
  <si>
    <t>www.lixinger.com/analytics/company/sz/301065/301065/detail</t>
  </si>
  <si>
    <t>冀东装备</t>
  </si>
  <si>
    <t>www.lixinger.com/analytics/company/sz/000856/856/detail</t>
  </si>
  <si>
    <t>信测标准</t>
  </si>
  <si>
    <t>www.lixinger.com/analytics/company/sz/300938/300938/detail</t>
  </si>
  <si>
    <t>剑桥科技</t>
  </si>
  <si>
    <t>www.lixinger.com/analytics/company/sh/603083/603083/detail</t>
  </si>
  <si>
    <t>盛天网络</t>
  </si>
  <si>
    <t>www.lixinger.com/analytics/company/sz/300494/300494/detail</t>
  </si>
  <si>
    <t>金瑞矿业</t>
  </si>
  <si>
    <t>www.lixinger.com/analytics/company/sh/600714/600714/detail</t>
  </si>
  <si>
    <t>凯淳股份</t>
  </si>
  <si>
    <t>www.lixinger.com/analytics/company/sz/301001/301001/detail</t>
  </si>
  <si>
    <t>洁特生物</t>
  </si>
  <si>
    <t>www.lixinger.com/analytics/company/sh/688026/688026/detail</t>
  </si>
  <si>
    <t>星帅尔</t>
  </si>
  <si>
    <t>www.lixinger.com/analytics/company/sz/002860/2860/detail</t>
  </si>
  <si>
    <t>圣农发展</t>
  </si>
  <si>
    <t>www.lixinger.com/analytics/company/sz/002299/2299/detail</t>
  </si>
  <si>
    <t>沃特股份</t>
  </si>
  <si>
    <t>www.lixinger.com/analytics/company/sz/002886/2886/detail</t>
  </si>
  <si>
    <t>金丹科技</t>
  </si>
  <si>
    <t>www.lixinger.com/analytics/company/sz/300829/300829/detail</t>
  </si>
  <si>
    <t>伟时电子</t>
  </si>
  <si>
    <t>www.lixinger.com/analytics/company/sh/605218/605218/detail</t>
  </si>
  <si>
    <t>翰宇药业</t>
  </si>
  <si>
    <t>www.lixinger.com/analytics/company/sz/300199/300199/detail</t>
  </si>
  <si>
    <t>信捷电气</t>
  </si>
  <si>
    <t>www.lixinger.com/analytics/company/sh/603416/603416/detail</t>
  </si>
  <si>
    <t>威唐工业</t>
  </si>
  <si>
    <t>www.lixinger.com/analytics/company/sz/300707/300707/detail</t>
  </si>
  <si>
    <t>容大感光</t>
  </si>
  <si>
    <t>www.lixinger.com/analytics/company/sz/300576/300576/detail</t>
  </si>
  <si>
    <t>三元股份</t>
  </si>
  <si>
    <t>www.lixinger.com/analytics/company/sh/600429/600429/detail</t>
  </si>
  <si>
    <t>罗莱生活</t>
  </si>
  <si>
    <t>www.lixinger.com/analytics/company/sz/002293/2293/detail</t>
  </si>
  <si>
    <t>三元生物</t>
  </si>
  <si>
    <t>www.lixinger.com/analytics/company/sz/301206/301206/detail</t>
  </si>
  <si>
    <t>德赛电池</t>
  </si>
  <si>
    <t>www.lixinger.com/analytics/company/sz/000049/49/detail</t>
  </si>
  <si>
    <t>易华录</t>
  </si>
  <si>
    <t>www.lixinger.com/analytics/company/sz/300212/300212/detail</t>
  </si>
  <si>
    <t>星球石墨</t>
  </si>
  <si>
    <t>www.lixinger.com/analytics/company/sh/688633/688633/detail</t>
  </si>
  <si>
    <t>同为股份</t>
  </si>
  <si>
    <t>www.lixinger.com/analytics/company/sz/002835/2835/detail</t>
  </si>
  <si>
    <t>凤凰光学</t>
  </si>
  <si>
    <t>www.lixinger.com/analytics/company/sh/600071/600071/detail</t>
  </si>
  <si>
    <t>*ST恒誉</t>
  </si>
  <si>
    <t>www.lixinger.com/analytics/company/sh/688309/688309/detail</t>
  </si>
  <si>
    <t>和而泰</t>
  </si>
  <si>
    <t>www.lixinger.com/analytics/company/sz/002402/2402/detail</t>
  </si>
  <si>
    <t>宏达高科</t>
  </si>
  <si>
    <t>www.lixinger.com/analytics/company/sz/002144/2144/detail</t>
  </si>
  <si>
    <t>日辰股份</t>
  </si>
  <si>
    <t>www.lixinger.com/analytics/company/sh/603755/603755/detail</t>
  </si>
  <si>
    <t>药石科技</t>
  </si>
  <si>
    <t>www.lixinger.com/analytics/company/sz/300725/300725/detail</t>
  </si>
  <si>
    <t>青岛食品</t>
  </si>
  <si>
    <t>www.lixinger.com/analytics/company/sz/001219/1219/detail</t>
  </si>
  <si>
    <t>高盟新材</t>
  </si>
  <si>
    <t>www.lixinger.com/analytics/company/sz/300200/300200/detail</t>
  </si>
  <si>
    <t>飞亚达Ｂ</t>
  </si>
  <si>
    <t>www.lixinger.com/analytics/company/sz/200026/200026/detail</t>
  </si>
  <si>
    <t>统联精密</t>
  </si>
  <si>
    <t>www.lixinger.com/analytics/company/sh/688210/688210/detail</t>
  </si>
  <si>
    <t>华锐精密</t>
  </si>
  <si>
    <t>www.lixinger.com/analytics/company/sh/688059/688059/detail</t>
  </si>
  <si>
    <t>力盛赛车</t>
  </si>
  <si>
    <t>www.lixinger.com/analytics/company/sz/002858/2858/detail</t>
  </si>
  <si>
    <t>江苏博云</t>
  </si>
  <si>
    <t>www.lixinger.com/analytics/company/sz/301003/301003/detail</t>
  </si>
  <si>
    <t>华神科技</t>
  </si>
  <si>
    <t>www.lixinger.com/analytics/company/sz/000790/790/detail</t>
  </si>
  <si>
    <t>返利科技</t>
  </si>
  <si>
    <t>www.lixinger.com/analytics/company/sh/600228/600228/detail</t>
  </si>
  <si>
    <t>奥赛康</t>
  </si>
  <si>
    <t>www.lixinger.com/analytics/company/sz/002755/2755/detail</t>
  </si>
  <si>
    <t>长青集团</t>
  </si>
  <si>
    <t>其他能源发电</t>
  </si>
  <si>
    <t>www.lixinger.com/analytics/company/sz/002616/2616/detail</t>
  </si>
  <si>
    <t>万通智控</t>
  </si>
  <si>
    <t>www.lixinger.com/analytics/company/sz/300643/300643/detail</t>
  </si>
  <si>
    <t>湘潭电化</t>
  </si>
  <si>
    <t>www.lixinger.com/analytics/company/sz/002125/2125/detail</t>
  </si>
  <si>
    <t>福鞍股份</t>
  </si>
  <si>
    <t>www.lixinger.com/analytics/company/sh/603315/603315/detail</t>
  </si>
  <si>
    <t>普门科技</t>
  </si>
  <si>
    <t>www.lixinger.com/analytics/company/sh/688389/688389/detail</t>
  </si>
  <si>
    <t>海欣股份</t>
  </si>
  <si>
    <t>www.lixinger.com/analytics/company/sh/600851/600851/detail</t>
  </si>
  <si>
    <t>思维列控</t>
  </si>
  <si>
    <t>www.lixinger.com/analytics/company/sh/603508/603508/detail</t>
  </si>
  <si>
    <t>天晟新材</t>
  </si>
  <si>
    <t>www.lixinger.com/analytics/company/sz/300169/300169/detail</t>
  </si>
  <si>
    <t>津荣天宇</t>
  </si>
  <si>
    <t>www.lixinger.com/analytics/company/sz/300988/300988/detail</t>
  </si>
  <si>
    <t>*ST吉艾</t>
  </si>
  <si>
    <t>www.lixinger.com/analytics/company/sz/300309/300309/detail</t>
  </si>
  <si>
    <t>南京港</t>
  </si>
  <si>
    <t>www.lixinger.com/analytics/company/sz/002040/2040/detail</t>
  </si>
  <si>
    <t>闽灿坤Ｂ</t>
  </si>
  <si>
    <t>www.lixinger.com/analytics/company/sz/200512/200512/detail</t>
  </si>
  <si>
    <t>尚荣医疗</t>
  </si>
  <si>
    <t>www.lixinger.com/analytics/company/sz/002551/2551/detail</t>
  </si>
  <si>
    <t>高斯贝尔</t>
  </si>
  <si>
    <t>其他黑色家电</t>
  </si>
  <si>
    <t>www.lixinger.com/analytics/company/sz/002848/2848/detail</t>
  </si>
  <si>
    <t>和科达</t>
  </si>
  <si>
    <t>www.lixinger.com/analytics/company/sz/002816/2816/detail</t>
  </si>
  <si>
    <t>西上海</t>
  </si>
  <si>
    <t>www.lixinger.com/analytics/company/sh/605151/605151/detail</t>
  </si>
  <si>
    <t>伟隆股份</t>
  </si>
  <si>
    <t>www.lixinger.com/analytics/company/sz/002871/2871/detail</t>
  </si>
  <si>
    <t>新瀚新材</t>
  </si>
  <si>
    <t>www.lixinger.com/analytics/company/sz/301076/301076/detail</t>
  </si>
  <si>
    <t>百洋股份</t>
  </si>
  <si>
    <t>www.lixinger.com/analytics/company/sz/002696/2696/detail</t>
  </si>
  <si>
    <t>毅昌科技</t>
  </si>
  <si>
    <t>www.lixinger.com/analytics/company/sz/002420/2420/detail</t>
  </si>
  <si>
    <t>金达莱</t>
  </si>
  <si>
    <t>www.lixinger.com/analytics/company/sh/688057/688057/detail</t>
  </si>
  <si>
    <t>九联科技</t>
  </si>
  <si>
    <t>www.lixinger.com/analytics/company/sh/688609/688609/detail</t>
  </si>
  <si>
    <t>百亚股份</t>
  </si>
  <si>
    <t>www.lixinger.com/analytics/company/sz/003006/3006/detail</t>
  </si>
  <si>
    <t>杭州柯林</t>
  </si>
  <si>
    <t>www.lixinger.com/analytics/company/sh/688611/688611/detail</t>
  </si>
  <si>
    <t>惠达卫浴</t>
  </si>
  <si>
    <t>www.lixinger.com/analytics/company/sh/603385/603385/detail</t>
  </si>
  <si>
    <t>大东南</t>
  </si>
  <si>
    <t>www.lixinger.com/analytics/company/sz/002263/2263/detail</t>
  </si>
  <si>
    <t>曲美家居</t>
  </si>
  <si>
    <t>www.lixinger.com/analytics/company/sh/603818/603818/detail</t>
  </si>
  <si>
    <t>新特电气</t>
  </si>
  <si>
    <t>www.lixinger.com/analytics/company/sz/301120/301120/detail</t>
  </si>
  <si>
    <t>锦盛新材</t>
  </si>
  <si>
    <t>www.lixinger.com/analytics/company/sz/300849/300849/detail</t>
  </si>
  <si>
    <t>莱茵体育</t>
  </si>
  <si>
    <t>www.lixinger.com/analytics/company/sz/000558/558/detail</t>
  </si>
  <si>
    <t>*ST赛为</t>
  </si>
  <si>
    <t>www.lixinger.com/analytics/company/sz/300044/300044/detail</t>
  </si>
  <si>
    <t>平潭发展</t>
  </si>
  <si>
    <t>林业</t>
  </si>
  <si>
    <t>www.lixinger.com/analytics/company/sz/000592/592/detail</t>
  </si>
  <si>
    <t>双环传动</t>
  </si>
  <si>
    <t>www.lixinger.com/analytics/company/sz/002472/2472/detail</t>
  </si>
  <si>
    <t>鸿利智汇</t>
  </si>
  <si>
    <t>www.lixinger.com/analytics/company/sz/300219/300219/detail</t>
  </si>
  <si>
    <t>赛升药业</t>
  </si>
  <si>
    <t>www.lixinger.com/analytics/company/sz/300485/300485/detail</t>
  </si>
  <si>
    <t>杭华股份</t>
  </si>
  <si>
    <t>www.lixinger.com/analytics/company/sh/688571/688571/detail</t>
  </si>
  <si>
    <t>大豪科技</t>
  </si>
  <si>
    <t>www.lixinger.com/analytics/company/sh/603025/603025/detail</t>
  </si>
  <si>
    <t>三友医疗</t>
  </si>
  <si>
    <t>www.lixinger.com/analytics/company/sh/688085/688085/detail</t>
  </si>
  <si>
    <t>科德教育</t>
  </si>
  <si>
    <t>www.lixinger.com/analytics/company/sz/300192/300192/detail</t>
  </si>
  <si>
    <t>燕塘乳业</t>
  </si>
  <si>
    <t>www.lixinger.com/analytics/company/sz/002732/2732/detail</t>
  </si>
  <si>
    <t>ST天马</t>
  </si>
  <si>
    <t>www.lixinger.com/analytics/company/sz/002122/2122/detail</t>
  </si>
  <si>
    <t>新易盛</t>
  </si>
  <si>
    <t>www.lixinger.com/analytics/company/sz/300502/300502/detail</t>
  </si>
  <si>
    <t>国力股份</t>
  </si>
  <si>
    <t>www.lixinger.com/analytics/company/sh/688103/688103/detail</t>
  </si>
  <si>
    <t>吉贝尔</t>
  </si>
  <si>
    <t>www.lixinger.com/analytics/company/sh/688566/688566/detail</t>
  </si>
  <si>
    <t>创兴资源</t>
  </si>
  <si>
    <t>www.lixinger.com/analytics/company/sh/600193/600193/detail</t>
  </si>
  <si>
    <t>力合科创</t>
  </si>
  <si>
    <t>www.lixinger.com/analytics/company/sz/002243/2243/detail</t>
  </si>
  <si>
    <t>顺络电子</t>
  </si>
  <si>
    <t>www.lixinger.com/analytics/company/sz/002138/2138/detail</t>
  </si>
  <si>
    <t>庄园牧场</t>
  </si>
  <si>
    <t>www.lixinger.com/analytics/company/sz/002910/2910/detail</t>
  </si>
  <si>
    <t>丹化科技</t>
  </si>
  <si>
    <t>www.lixinger.com/analytics/company/sh/600844/600844/detail</t>
  </si>
  <si>
    <t>南方航空</t>
  </si>
  <si>
    <t>www.lixinger.com/analytics/company/sh/600029/600029/detail</t>
  </si>
  <si>
    <t>金海高科</t>
  </si>
  <si>
    <t>www.lixinger.com/analytics/company/sh/603311/603311/detail</t>
  </si>
  <si>
    <t>*ST瑞德</t>
  </si>
  <si>
    <t>www.lixinger.com/analytics/company/sh/600666/600666/detail</t>
  </si>
  <si>
    <t>新宏泽</t>
  </si>
  <si>
    <t>www.lixinger.com/analytics/company/sz/002836/2836/detail</t>
  </si>
  <si>
    <t>上海三毛</t>
  </si>
  <si>
    <t>www.lixinger.com/analytics/company/sh/600689/600689/detail</t>
  </si>
  <si>
    <t>贵航股份</t>
  </si>
  <si>
    <t>www.lixinger.com/analytics/company/sh/600523/600523/detail</t>
  </si>
  <si>
    <t>中威电子</t>
  </si>
  <si>
    <t>www.lixinger.com/analytics/company/sz/300270/300270/detail</t>
  </si>
  <si>
    <t>海象新材</t>
  </si>
  <si>
    <t>www.lixinger.com/analytics/company/sz/003011/3011/detail</t>
  </si>
  <si>
    <t>隆盛科技</t>
  </si>
  <si>
    <t>www.lixinger.com/analytics/company/sz/300680/300680/detail</t>
  </si>
  <si>
    <t>吉宏股份</t>
  </si>
  <si>
    <t>www.lixinger.com/analytics/company/sz/002803/2803/detail</t>
  </si>
  <si>
    <t>岩石股份</t>
  </si>
  <si>
    <t>www.lixinger.com/analytics/company/sh/600696/600696/detail</t>
  </si>
  <si>
    <t>西大门</t>
  </si>
  <si>
    <t>www.lixinger.com/analytics/company/sh/605155/605155/detail</t>
  </si>
  <si>
    <t>富淼科技</t>
  </si>
  <si>
    <t>www.lixinger.com/analytics/company/sh/688350/688350/detail</t>
  </si>
  <si>
    <t>飞亚达</t>
  </si>
  <si>
    <t>www.lixinger.com/analytics/company/sz/000026/26/detail</t>
  </si>
  <si>
    <t>山东章鼓</t>
  </si>
  <si>
    <t>www.lixinger.com/analytics/company/sz/002598/2598/detail</t>
  </si>
  <si>
    <t>山东赫达</t>
  </si>
  <si>
    <t>www.lixinger.com/analytics/company/sz/002810/2810/detail</t>
  </si>
  <si>
    <t>麦格米特</t>
  </si>
  <si>
    <t>www.lixinger.com/analytics/company/sz/002851/2851/detail</t>
  </si>
  <si>
    <t>新宏泰</t>
  </si>
  <si>
    <t>www.lixinger.com/analytics/company/sh/603016/603016/detail</t>
  </si>
  <si>
    <t>图南股份</t>
  </si>
  <si>
    <t>www.lixinger.com/analytics/company/sz/300855/300855/detail</t>
  </si>
  <si>
    <t>新华传媒</t>
  </si>
  <si>
    <t>www.lixinger.com/analytics/company/sh/600825/600825/detail</t>
  </si>
  <si>
    <t>大胜达</t>
  </si>
  <si>
    <t>www.lixinger.com/analytics/company/sh/603687/603687/detail</t>
  </si>
  <si>
    <t>康拓医疗</t>
  </si>
  <si>
    <t>www.lixinger.com/analytics/company/sh/688314/688314/detail</t>
  </si>
  <si>
    <t>炬华科技</t>
  </si>
  <si>
    <t>www.lixinger.com/analytics/company/sz/300360/300360/detail</t>
  </si>
  <si>
    <t>三变科技</t>
  </si>
  <si>
    <t>www.lixinger.com/analytics/company/sz/002112/2112/detail</t>
  </si>
  <si>
    <t>西点药业</t>
  </si>
  <si>
    <t>www.lixinger.com/analytics/company/sz/301130/301130/detail</t>
  </si>
  <si>
    <t>*ST嘉信</t>
  </si>
  <si>
    <t>www.lixinger.com/analytics/company/sz/300071/300071/detail</t>
  </si>
  <si>
    <t>朗特智能</t>
  </si>
  <si>
    <t>www.lixinger.com/analytics/company/sz/300916/300916/detail</t>
  </si>
  <si>
    <t>孚日股份</t>
  </si>
  <si>
    <t>www.lixinger.com/analytics/company/sz/002083/2083/detail</t>
  </si>
  <si>
    <t>华控赛格</t>
  </si>
  <si>
    <t>www.lixinger.com/analytics/company/sz/000068/68/detail</t>
  </si>
  <si>
    <t>海昌新材</t>
  </si>
  <si>
    <t>www.lixinger.com/analytics/company/sz/300885/300885/detail</t>
  </si>
  <si>
    <t>金石亚药</t>
  </si>
  <si>
    <t>www.lixinger.com/analytics/company/sz/300434/300434/detail</t>
  </si>
  <si>
    <t>纽威数控</t>
  </si>
  <si>
    <t>www.lixinger.com/analytics/company/sh/688697/688697/detail</t>
  </si>
  <si>
    <t>好想你</t>
  </si>
  <si>
    <t>www.lixinger.com/analytics/company/sz/002582/2582/detail</t>
  </si>
  <si>
    <t>信隆健康</t>
  </si>
  <si>
    <t>www.lixinger.com/analytics/company/sz/002105/2105/detail</t>
  </si>
  <si>
    <t>标榜股份</t>
  </si>
  <si>
    <t>www.lixinger.com/analytics/company/sz/301181/301181/detail</t>
  </si>
  <si>
    <t>华软科技</t>
  </si>
  <si>
    <t>www.lixinger.com/analytics/company/sz/002453/2453/detail</t>
  </si>
  <si>
    <t>韶能股份</t>
  </si>
  <si>
    <t>www.lixinger.com/analytics/company/sz/000601/601/detail</t>
  </si>
  <si>
    <t>三鑫医疗</t>
  </si>
  <si>
    <t>www.lixinger.com/analytics/company/sz/300453/300453/detail</t>
  </si>
  <si>
    <t>*ST南化</t>
  </si>
  <si>
    <t>www.lixinger.com/analytics/company/sh/600301/600301/detail</t>
  </si>
  <si>
    <t>华盛昌</t>
  </si>
  <si>
    <t>www.lixinger.com/analytics/company/sz/002980/2980/detail</t>
  </si>
  <si>
    <t>*ST众泰</t>
  </si>
  <si>
    <t>www.lixinger.com/analytics/company/sz/000980/980/detail</t>
  </si>
  <si>
    <t>显盈科技</t>
  </si>
  <si>
    <t>www.lixinger.com/analytics/company/sz/301067/301067/detail</t>
  </si>
  <si>
    <t>开创国际</t>
  </si>
  <si>
    <t>海洋捕捞</t>
  </si>
  <si>
    <t>www.lixinger.com/analytics/company/sh/600097/600097/detail</t>
  </si>
  <si>
    <t>瑞华泰</t>
  </si>
  <si>
    <t>www.lixinger.com/analytics/company/sh/688323/688323/detail</t>
  </si>
  <si>
    <t>三达膜</t>
  </si>
  <si>
    <t>www.lixinger.com/analytics/company/sh/688101/688101/detail</t>
  </si>
  <si>
    <t>安彩高科</t>
  </si>
  <si>
    <t>www.lixinger.com/analytics/company/sh/600207/600207/detail</t>
  </si>
  <si>
    <t>华纳药厂</t>
  </si>
  <si>
    <t>www.lixinger.com/analytics/company/sh/688799/688799/detail</t>
  </si>
  <si>
    <t>嘉亨家化</t>
  </si>
  <si>
    <t>www.lixinger.com/analytics/company/sz/300955/300955/detail</t>
  </si>
  <si>
    <t>中晟高科</t>
  </si>
  <si>
    <t>www.lixinger.com/analytics/company/sz/002778/2778/detail</t>
  </si>
  <si>
    <t>*ST乐材</t>
  </si>
  <si>
    <t>www.lixinger.com/analytics/company/sz/300446/300446/detail</t>
  </si>
  <si>
    <t>华尔泰</t>
  </si>
  <si>
    <t>www.lixinger.com/analytics/company/sz/001217/1217/detail</t>
  </si>
  <si>
    <t>华锋股份</t>
  </si>
  <si>
    <t>www.lixinger.com/analytics/company/sz/002806/2806/detail</t>
  </si>
  <si>
    <t>麦克奥迪</t>
  </si>
  <si>
    <t>www.lixinger.com/analytics/company/sz/300341/300341/detail</t>
  </si>
  <si>
    <t>迪贝电气</t>
  </si>
  <si>
    <t>www.lixinger.com/analytics/company/sh/603320/603320/detail</t>
  </si>
  <si>
    <t>华斯股份</t>
  </si>
  <si>
    <t>www.lixinger.com/analytics/company/sz/002494/2494/detail</t>
  </si>
  <si>
    <t>浙江恒威</t>
  </si>
  <si>
    <t>www.lixinger.com/analytics/company/sz/301222/301222/detail</t>
  </si>
  <si>
    <t>立方制药</t>
  </si>
  <si>
    <t>www.lixinger.com/analytics/company/sz/003020/3020/detail</t>
  </si>
  <si>
    <t>*ST新文</t>
  </si>
  <si>
    <t>www.lixinger.com/analytics/company/sz/300336/300336/detail</t>
  </si>
  <si>
    <t>贝斯美</t>
  </si>
  <si>
    <t>www.lixinger.com/analytics/company/sz/300796/300796/detail</t>
  </si>
  <si>
    <t>安联锐视</t>
  </si>
  <si>
    <t>www.lixinger.com/analytics/company/sz/301042/301042/detail</t>
  </si>
  <si>
    <t>中汽股份</t>
  </si>
  <si>
    <t>www.lixinger.com/analytics/company/sz/301215/301215/detail</t>
  </si>
  <si>
    <t>路德环境</t>
  </si>
  <si>
    <t>www.lixinger.com/analytics/company/sh/688156/688156/detail</t>
  </si>
  <si>
    <t>*ST华讯</t>
  </si>
  <si>
    <t>www.lixinger.com/analytics/company/sz/000687/687/detail</t>
  </si>
  <si>
    <t>神通科技</t>
  </si>
  <si>
    <t>www.lixinger.com/analytics/company/sh/605228/605228/detail</t>
  </si>
  <si>
    <t>ST天山</t>
  </si>
  <si>
    <t>www.lixinger.com/analytics/company/sz/300313/300313/detail</t>
  </si>
  <si>
    <t>海星股份</t>
  </si>
  <si>
    <t>www.lixinger.com/analytics/company/sh/603115/603115/detail</t>
  </si>
  <si>
    <t>德恩精工</t>
  </si>
  <si>
    <t>www.lixinger.com/analytics/company/sz/300780/300780/detail</t>
  </si>
  <si>
    <t>三祥新材</t>
  </si>
  <si>
    <t>www.lixinger.com/analytics/company/sh/603663/603663/detail</t>
  </si>
  <si>
    <t>民德电子</t>
  </si>
  <si>
    <t>www.lixinger.com/analytics/company/sz/300656/300656/detail</t>
  </si>
  <si>
    <t>百合股份</t>
  </si>
  <si>
    <t>www.lixinger.com/analytics/company/sh/603102/603102/detail</t>
  </si>
  <si>
    <t>万丰奥威</t>
  </si>
  <si>
    <t>www.lixinger.com/analytics/company/sz/002085/2085/detail</t>
  </si>
  <si>
    <t>湖北广电</t>
  </si>
  <si>
    <t>www.lixinger.com/analytics/company/sz/000665/665/detail</t>
  </si>
  <si>
    <t>泰慕士</t>
  </si>
  <si>
    <t>www.lixinger.com/analytics/company/sz/001234/1234/detail</t>
  </si>
  <si>
    <t>大唐电信</t>
  </si>
  <si>
    <t>www.lixinger.com/analytics/company/sh/600198/600198/detail</t>
  </si>
  <si>
    <t>华信新材</t>
  </si>
  <si>
    <t>www.lixinger.com/analytics/company/sz/300717/300717/detail</t>
  </si>
  <si>
    <t>中红医疗</t>
  </si>
  <si>
    <t>www.lixinger.com/analytics/company/sz/300981/300981/detail</t>
  </si>
  <si>
    <t>北矿科技</t>
  </si>
  <si>
    <t>www.lixinger.com/analytics/company/sh/600980/600980/detail</t>
  </si>
  <si>
    <t>博济医药</t>
  </si>
  <si>
    <t>www.lixinger.com/analytics/company/sz/300404/300404/detail</t>
  </si>
  <si>
    <t>万隆光电</t>
  </si>
  <si>
    <t>www.lixinger.com/analytics/company/sz/300710/300710/detail</t>
  </si>
  <si>
    <t>新经典</t>
  </si>
  <si>
    <t>www.lixinger.com/analytics/company/sh/603096/603096/detail</t>
  </si>
  <si>
    <t>金花股份</t>
  </si>
  <si>
    <t>www.lixinger.com/analytics/company/sh/600080/600080/detail</t>
  </si>
  <si>
    <t>芯能科技</t>
  </si>
  <si>
    <t>www.lixinger.com/analytics/company/sh/603105/603105/detail</t>
  </si>
  <si>
    <t>旷达科技</t>
  </si>
  <si>
    <t>www.lixinger.com/analytics/company/sz/002516/2516/detail</t>
  </si>
  <si>
    <t>越博动力</t>
  </si>
  <si>
    <t>www.lixinger.com/analytics/company/sz/300742/300742/detail</t>
  </si>
  <si>
    <t>ST新海</t>
  </si>
  <si>
    <t>www.lixinger.com/analytics/company/sz/002089/2089/detail</t>
  </si>
  <si>
    <t>科德数控</t>
  </si>
  <si>
    <t>www.lixinger.com/analytics/company/sh/688305/688305/detail</t>
  </si>
  <si>
    <t>利君股份</t>
  </si>
  <si>
    <t>www.lixinger.com/analytics/company/sz/002651/2651/detail</t>
  </si>
  <si>
    <t>瑞凌股份</t>
  </si>
  <si>
    <t>www.lixinger.com/analytics/company/sz/300154/300154/detail</t>
  </si>
  <si>
    <t>中青宝</t>
  </si>
  <si>
    <t>www.lixinger.com/analytics/company/sz/300052/300052/detail</t>
  </si>
  <si>
    <t>西陇科学</t>
  </si>
  <si>
    <t>www.lixinger.com/analytics/company/sz/002584/2584/detail</t>
  </si>
  <si>
    <t>光线传媒</t>
  </si>
  <si>
    <t>www.lixinger.com/analytics/company/sz/300251/300251/detail</t>
  </si>
  <si>
    <t>科华生物</t>
  </si>
  <si>
    <t>www.lixinger.com/analytics/company/sz/002022/2022/detail</t>
  </si>
  <si>
    <t>绿盟科技</t>
  </si>
  <si>
    <t>www.lixinger.com/analytics/company/sz/300369/300369/detail</t>
  </si>
  <si>
    <t>达瑞电子</t>
  </si>
  <si>
    <t>www.lixinger.com/analytics/company/sz/300976/300976/detail</t>
  </si>
  <si>
    <t>九强生物</t>
  </si>
  <si>
    <t>www.lixinger.com/analytics/company/sz/300406/300406/detail</t>
  </si>
  <si>
    <t>启迪环境</t>
  </si>
  <si>
    <t>www.lixinger.com/analytics/company/sz/000826/826/detail</t>
  </si>
  <si>
    <t>京泉华</t>
  </si>
  <si>
    <t>www.lixinger.com/analytics/company/sz/002885/2885/detail</t>
  </si>
  <si>
    <t>巴安水务</t>
  </si>
  <si>
    <t>www.lixinger.com/analytics/company/sz/300262/300262/detail</t>
  </si>
  <si>
    <t>粤万年青</t>
  </si>
  <si>
    <t>www.lixinger.com/analytics/company/sz/301111/301111/detail</t>
  </si>
  <si>
    <t>雷赛智能</t>
  </si>
  <si>
    <t>www.lixinger.com/analytics/company/sz/002979/2979/detail</t>
  </si>
  <si>
    <t>海能实业</t>
  </si>
  <si>
    <t>www.lixinger.com/analytics/company/sz/300787/300787/detail</t>
  </si>
  <si>
    <t>卓越新能</t>
  </si>
  <si>
    <t>www.lixinger.com/analytics/company/sh/688196/688196/detail</t>
  </si>
  <si>
    <t>江南奕帆</t>
  </si>
  <si>
    <t>www.lixinger.com/analytics/company/sz/301023/301023/detail</t>
  </si>
  <si>
    <t>创益通</t>
  </si>
  <si>
    <t>www.lixinger.com/analytics/company/sz/300991/300991/detail</t>
  </si>
  <si>
    <t>君亭酒店</t>
  </si>
  <si>
    <t>www.lixinger.com/analytics/company/sz/301073/301073/detail</t>
  </si>
  <si>
    <t>天铁股份</t>
  </si>
  <si>
    <t>www.lixinger.com/analytics/company/sz/300587/300587/detail</t>
  </si>
  <si>
    <t>创耀科技</t>
  </si>
  <si>
    <t>www.lixinger.com/analytics/company/sh/688259/688259/detail</t>
  </si>
  <si>
    <t>广和通</t>
  </si>
  <si>
    <t>www.lixinger.com/analytics/company/sz/300638/300638/detail</t>
  </si>
  <si>
    <t>微芯生物</t>
  </si>
  <si>
    <t>www.lixinger.com/analytics/company/sh/688321/688321/detail</t>
  </si>
  <si>
    <t>北纬科技</t>
  </si>
  <si>
    <t>www.lixinger.com/analytics/company/sz/002148/2148/detail</t>
  </si>
  <si>
    <t>双林股份</t>
  </si>
  <si>
    <t>www.lixinger.com/analytics/company/sz/300100/300100/detail</t>
  </si>
  <si>
    <t>海联金汇</t>
  </si>
  <si>
    <t>www.lixinger.com/analytics/company/sz/002537/2537/detail</t>
  </si>
  <si>
    <t>步科股份</t>
  </si>
  <si>
    <t>www.lixinger.com/analytics/company/sh/688160/688160/detail</t>
  </si>
  <si>
    <t>金银河</t>
  </si>
  <si>
    <t>www.lixinger.com/analytics/company/sz/300619/300619/detail</t>
  </si>
  <si>
    <t>玉马遮阳</t>
  </si>
  <si>
    <t>www.lixinger.com/analytics/company/sz/300993/300993/detail</t>
  </si>
  <si>
    <t>蓝特光学</t>
  </si>
  <si>
    <t>www.lixinger.com/analytics/company/sh/688127/688127/detail</t>
  </si>
  <si>
    <t>日播时尚</t>
  </si>
  <si>
    <t>www.lixinger.com/analytics/company/sh/603196/603196/detail</t>
  </si>
  <si>
    <t>森霸传感</t>
  </si>
  <si>
    <t>www.lixinger.com/analytics/company/sz/300701/300701/detail</t>
  </si>
  <si>
    <t>四川金顶</t>
  </si>
  <si>
    <t>www.lixinger.com/analytics/company/sh/600678/600678/detail</t>
  </si>
  <si>
    <t>香农芯创</t>
  </si>
  <si>
    <t>www.lixinger.com/analytics/company/sz/300475/300475/detail</t>
  </si>
  <si>
    <t>建龙微纳</t>
  </si>
  <si>
    <t>www.lixinger.com/analytics/company/sh/688357/688357/detail</t>
  </si>
  <si>
    <t>超捷股份</t>
  </si>
  <si>
    <t>www.lixinger.com/analytics/company/sz/301005/301005/detail</t>
  </si>
  <si>
    <t>华懋科技</t>
  </si>
  <si>
    <t>www.lixinger.com/analytics/company/sh/603306/603306/detail</t>
  </si>
  <si>
    <t>新纶新材</t>
  </si>
  <si>
    <t>www.lixinger.com/analytics/company/sz/002341/2341/detail</t>
  </si>
  <si>
    <t>*ST雪莱</t>
  </si>
  <si>
    <t>www.lixinger.com/analytics/company/sz/002076/2076/detail</t>
  </si>
  <si>
    <t>厦工股份</t>
  </si>
  <si>
    <t>www.lixinger.com/analytics/company/sh/600815/600815/detail</t>
  </si>
  <si>
    <t>天宜上佳</t>
  </si>
  <si>
    <t>www.lixinger.com/analytics/company/sh/688033/688033/detail</t>
  </si>
  <si>
    <t>久量股份</t>
  </si>
  <si>
    <t>www.lixinger.com/analytics/company/sz/300808/300808/detail</t>
  </si>
  <si>
    <t>双飞股份</t>
  </si>
  <si>
    <t>www.lixinger.com/analytics/company/sz/300817/300817/detail</t>
  </si>
  <si>
    <t>今飞凯达</t>
  </si>
  <si>
    <t>www.lixinger.com/analytics/company/sz/002863/2863/detail</t>
  </si>
  <si>
    <t>龙利得</t>
  </si>
  <si>
    <t>www.lixinger.com/analytics/company/sz/300883/300883/detail</t>
  </si>
  <si>
    <t>*ST易见</t>
  </si>
  <si>
    <t>其他多元金融</t>
  </si>
  <si>
    <t>www.lixinger.com/analytics/company/sh/600093/600093/detail</t>
  </si>
  <si>
    <t>金冠电气</t>
  </si>
  <si>
    <t>www.lixinger.com/analytics/company/sh/688517/688517/detail</t>
  </si>
  <si>
    <t>*ST澄星</t>
  </si>
  <si>
    <t>www.lixinger.com/analytics/company/sh/600078/600078/detail</t>
  </si>
  <si>
    <t>万向德农</t>
  </si>
  <si>
    <t>www.lixinger.com/analytics/company/sh/600371/600371/detail</t>
  </si>
  <si>
    <t>日科化学</t>
  </si>
  <si>
    <t>www.lixinger.com/analytics/company/sz/300214/300214/detail</t>
  </si>
  <si>
    <t>沃森生物</t>
  </si>
  <si>
    <t>www.lixinger.com/analytics/company/sz/300142/300142/detail</t>
  </si>
  <si>
    <t>世纪天鸿</t>
  </si>
  <si>
    <t>www.lixinger.com/analytics/company/sz/300654/300654/detail</t>
  </si>
  <si>
    <t>东方环宇</t>
  </si>
  <si>
    <t>www.lixinger.com/analytics/company/sh/603706/603706/detail</t>
  </si>
  <si>
    <t>南凌科技</t>
  </si>
  <si>
    <t>www.lixinger.com/analytics/company/sz/300921/300921/detail</t>
  </si>
  <si>
    <t>深天地Ａ</t>
  </si>
  <si>
    <t>www.lixinger.com/analytics/company/sz/000023/23/detail</t>
  </si>
  <si>
    <t>中文在线</t>
  </si>
  <si>
    <t>www.lixinger.com/analytics/company/sz/300364/300364/detail</t>
  </si>
  <si>
    <t>长荣股份</t>
  </si>
  <si>
    <t>www.lixinger.com/analytics/company/sz/300195/300195/detail</t>
  </si>
  <si>
    <t>菲利华</t>
  </si>
  <si>
    <t>www.lixinger.com/analytics/company/sz/300395/300395/detail</t>
  </si>
  <si>
    <t>正弦电气</t>
  </si>
  <si>
    <t>www.lixinger.com/analytics/company/sh/688395/688395/detail</t>
  </si>
  <si>
    <t>华民股份</t>
  </si>
  <si>
    <t>www.lixinger.com/analytics/company/sz/300345/300345/detail</t>
  </si>
  <si>
    <t>皖天然气</t>
  </si>
  <si>
    <t>www.lixinger.com/analytics/company/sh/603689/603689/detail</t>
  </si>
  <si>
    <t>金三江</t>
  </si>
  <si>
    <t>www.lixinger.com/analytics/company/sz/301059/301059/detail</t>
  </si>
  <si>
    <t>和晶科技</t>
  </si>
  <si>
    <t>www.lixinger.com/analytics/company/sz/300279/300279/detail</t>
  </si>
  <si>
    <t>惠程科技</t>
  </si>
  <si>
    <t>www.lixinger.com/analytics/company/sz/002168/2168/detail</t>
  </si>
  <si>
    <t>纳川股份</t>
  </si>
  <si>
    <t>www.lixinger.com/analytics/company/sz/300198/300198/detail</t>
  </si>
  <si>
    <t>神驰机电</t>
  </si>
  <si>
    <t>www.lixinger.com/analytics/company/sh/603109/603109/detail</t>
  </si>
  <si>
    <t>绿田机械</t>
  </si>
  <si>
    <t>www.lixinger.com/analytics/company/sh/605259/605259/detail</t>
  </si>
  <si>
    <t>常铝股份</t>
  </si>
  <si>
    <t>www.lixinger.com/analytics/company/sz/002160/2160/detail</t>
  </si>
  <si>
    <t>华业香料</t>
  </si>
  <si>
    <t>www.lixinger.com/analytics/company/sz/300886/300886/detail</t>
  </si>
  <si>
    <t>天臣医疗</t>
  </si>
  <si>
    <t>www.lixinger.com/analytics/company/sh/688013/688013/detail</t>
  </si>
  <si>
    <t>矩子科技</t>
  </si>
  <si>
    <t>其他自动化设备</t>
  </si>
  <si>
    <t>www.lixinger.com/analytics/company/sz/300802/300802/detail</t>
  </si>
  <si>
    <t>韩建河山</t>
  </si>
  <si>
    <t>www.lixinger.com/analytics/company/sh/603616/603616/detail</t>
  </si>
  <si>
    <t>明月镜片</t>
  </si>
  <si>
    <t>文化用品</t>
  </si>
  <si>
    <t>www.lixinger.com/analytics/company/sz/301101/301101/detail</t>
  </si>
  <si>
    <t>正裕工业</t>
  </si>
  <si>
    <t>www.lixinger.com/analytics/company/sh/603089/603089/detail</t>
  </si>
  <si>
    <t>明志科技</t>
  </si>
  <si>
    <t>www.lixinger.com/analytics/company/sh/688355/688355/detail</t>
  </si>
  <si>
    <t>奇正藏药</t>
  </si>
  <si>
    <t>www.lixinger.com/analytics/company/sz/002287/2287/detail</t>
  </si>
  <si>
    <t>赛托生物</t>
  </si>
  <si>
    <t>www.lixinger.com/analytics/company/sz/300583/300583/detail</t>
  </si>
  <si>
    <t>红蜻蜓</t>
  </si>
  <si>
    <t>www.lixinger.com/analytics/company/sh/603116/603116/detail</t>
  </si>
  <si>
    <t>宝馨科技</t>
  </si>
  <si>
    <t>www.lixinger.com/analytics/company/sz/002514/2514/detail</t>
  </si>
  <si>
    <t>绿的谐波</t>
  </si>
  <si>
    <t>www.lixinger.com/analytics/company/sh/688017/688017/detail</t>
  </si>
  <si>
    <t>艾艾精工</t>
  </si>
  <si>
    <t>www.lixinger.com/analytics/company/sh/603580/603580/detail</t>
  </si>
  <si>
    <t>威尔药业</t>
  </si>
  <si>
    <t>www.lixinger.com/analytics/company/sh/603351/603351/detail</t>
  </si>
  <si>
    <t>ST天圣</t>
  </si>
  <si>
    <t>www.lixinger.com/analytics/company/sz/002872/2872/detail</t>
  </si>
  <si>
    <t>奥精医疗</t>
  </si>
  <si>
    <t>www.lixinger.com/analytics/company/sh/688613/688613/detail</t>
  </si>
  <si>
    <t>宏英智能</t>
  </si>
  <si>
    <t>www.lixinger.com/analytics/company/sz/001266/1266/detail</t>
  </si>
  <si>
    <t>通业科技</t>
  </si>
  <si>
    <t>www.lixinger.com/analytics/company/sz/300960/300960/detail</t>
  </si>
  <si>
    <t>杰普特</t>
  </si>
  <si>
    <t>www.lixinger.com/analytics/company/sh/688025/688025/detail</t>
  </si>
  <si>
    <t>黑芝麻</t>
  </si>
  <si>
    <t>www.lixinger.com/analytics/company/sz/000716/716/detail</t>
  </si>
  <si>
    <t>德迈仕</t>
  </si>
  <si>
    <t>www.lixinger.com/analytics/company/sz/301007/301007/detail</t>
  </si>
  <si>
    <t>华翔股份</t>
  </si>
  <si>
    <t>www.lixinger.com/analytics/company/sh/603112/603112/detail</t>
  </si>
  <si>
    <t>科华数据</t>
  </si>
  <si>
    <t>www.lixinger.com/analytics/company/sz/002335/2335/detail</t>
  </si>
  <si>
    <t>大元泵业</t>
  </si>
  <si>
    <t>www.lixinger.com/analytics/company/sh/603757/603757/detail</t>
  </si>
  <si>
    <t>正威新材</t>
  </si>
  <si>
    <t>www.lixinger.com/analytics/company/sz/002201/2201/detail</t>
  </si>
  <si>
    <t>海联讯</t>
  </si>
  <si>
    <t>www.lixinger.com/analytics/company/sz/300277/300277/detail</t>
  </si>
  <si>
    <t>中建环能</t>
  </si>
  <si>
    <t>www.lixinger.com/analytics/company/sz/300425/300425/detail</t>
  </si>
  <si>
    <t>*ST天龙</t>
  </si>
  <si>
    <t>www.lixinger.com/analytics/company/sz/300029/300029/detail</t>
  </si>
  <si>
    <t>朗迪集团</t>
  </si>
  <si>
    <t>www.lixinger.com/analytics/company/sh/603726/603726/detail</t>
  </si>
  <si>
    <t>声迅股份</t>
  </si>
  <si>
    <t>www.lixinger.com/analytics/company/sz/003004/3004/detail</t>
  </si>
  <si>
    <t>东方钽业</t>
  </si>
  <si>
    <t>www.lixinger.com/analytics/company/sz/000962/962/detail</t>
  </si>
  <si>
    <t>迅捷兴</t>
  </si>
  <si>
    <t>www.lixinger.com/analytics/company/sh/688655/688655/detail</t>
  </si>
  <si>
    <t>星徽股份</t>
  </si>
  <si>
    <t>www.lixinger.com/analytics/company/sz/300464/300464/detail</t>
  </si>
  <si>
    <t>清溢光电</t>
  </si>
  <si>
    <t>www.lixinger.com/analytics/company/sh/688138/688138/detail</t>
  </si>
  <si>
    <t>广电电气</t>
  </si>
  <si>
    <t>www.lixinger.com/analytics/company/sh/601616/601616/detail</t>
  </si>
  <si>
    <t>锐新科技</t>
  </si>
  <si>
    <t>www.lixinger.com/analytics/company/sz/300828/300828/detail</t>
  </si>
  <si>
    <t>迈拓股份</t>
  </si>
  <si>
    <t>www.lixinger.com/analytics/company/sz/301006/301006/detail</t>
  </si>
  <si>
    <t>军信股份</t>
  </si>
  <si>
    <t>www.lixinger.com/analytics/company/sz/301109/301109/detail</t>
  </si>
  <si>
    <t>珠江啤酒</t>
  </si>
  <si>
    <t>www.lixinger.com/analytics/company/sz/002461/2461/detail</t>
  </si>
  <si>
    <t>聚灿光电</t>
  </si>
  <si>
    <t>www.lixinger.com/analytics/company/sz/300708/300708/detail</t>
  </si>
  <si>
    <t>ST三五</t>
  </si>
  <si>
    <t>www.lixinger.com/analytics/company/sz/300051/300051/detail</t>
  </si>
  <si>
    <t>中原传媒</t>
  </si>
  <si>
    <t>www.lixinger.com/analytics/company/sz/000719/719/detail</t>
  </si>
  <si>
    <t>华旺科技</t>
  </si>
  <si>
    <t>www.lixinger.com/analytics/company/sh/605377/605377/detail</t>
  </si>
  <si>
    <t>金龙机电</t>
  </si>
  <si>
    <t>www.lixinger.com/analytics/company/sz/300032/300032/detail</t>
  </si>
  <si>
    <t>贤丰控股</t>
  </si>
  <si>
    <t>www.lixinger.com/analytics/company/sz/002141/2141/detail</t>
  </si>
  <si>
    <t>太辰光</t>
  </si>
  <si>
    <t>www.lixinger.com/analytics/company/sz/300570/300570/detail</t>
  </si>
  <si>
    <t>开普检测</t>
  </si>
  <si>
    <t>www.lixinger.com/analytics/company/sz/003008/3008/detail</t>
  </si>
  <si>
    <t>北鼎股份</t>
  </si>
  <si>
    <t>www.lixinger.com/analytics/company/sz/300824/300824/detail</t>
  </si>
  <si>
    <t>*ST西发</t>
  </si>
  <si>
    <t>www.lixinger.com/analytics/company/sz/000752/752/detail</t>
  </si>
  <si>
    <t>*ST数知</t>
  </si>
  <si>
    <t>www.lixinger.com/analytics/company/sz/300038/300038/detail</t>
  </si>
  <si>
    <t>华茂股份</t>
  </si>
  <si>
    <t>www.lixinger.com/analytics/company/sz/000850/850/detail</t>
  </si>
  <si>
    <t>浙江东日</t>
  </si>
  <si>
    <t>www.lixinger.com/analytics/company/sh/600113/600113/detail</t>
  </si>
  <si>
    <t>百润股份</t>
  </si>
  <si>
    <t>www.lixinger.com/analytics/company/sz/002568/2568/detail</t>
  </si>
  <si>
    <t>视觉中国</t>
  </si>
  <si>
    <t>图片媒体</t>
  </si>
  <si>
    <t>www.lixinger.com/analytics/company/sz/000681/681/detail</t>
  </si>
  <si>
    <t>江泉实业</t>
  </si>
  <si>
    <t>www.lixinger.com/analytics/company/sh/600212/600212/detail</t>
  </si>
  <si>
    <t>恒泰艾普</t>
  </si>
  <si>
    <t>www.lixinger.com/analytics/company/sz/300157/300157/detail</t>
  </si>
  <si>
    <t>西力科技</t>
  </si>
  <si>
    <t>www.lixinger.com/analytics/company/sh/688616/688616/detail</t>
  </si>
  <si>
    <t>倍杰特</t>
  </si>
  <si>
    <t>www.lixinger.com/analytics/company/sz/300774/300774/detail</t>
  </si>
  <si>
    <t>松发股份</t>
  </si>
  <si>
    <t>www.lixinger.com/analytics/company/sh/603268/603268/detail</t>
  </si>
  <si>
    <t>通化金马</t>
  </si>
  <si>
    <t>www.lixinger.com/analytics/company/sz/000766/766/detail</t>
  </si>
  <si>
    <t>如通股份</t>
  </si>
  <si>
    <t>www.lixinger.com/analytics/company/sh/603036/603036/detail</t>
  </si>
  <si>
    <t>苏利股份</t>
  </si>
  <si>
    <t>www.lixinger.com/analytics/company/sh/603585/603585/detail</t>
  </si>
  <si>
    <t>宝莱特</t>
  </si>
  <si>
    <t>www.lixinger.com/analytics/company/sz/300246/300246/detail</t>
  </si>
  <si>
    <t>御银股份</t>
  </si>
  <si>
    <t>www.lixinger.com/analytics/company/sz/002177/2177/detail</t>
  </si>
  <si>
    <t>浙江世宝</t>
  </si>
  <si>
    <t>www.lixinger.com/analytics/company/sz/002703/2703/detail</t>
  </si>
  <si>
    <t>霍普股份</t>
  </si>
  <si>
    <t>工程咨询服务</t>
  </si>
  <si>
    <t>www.lixinger.com/analytics/company/sz/301024/301024/detail</t>
  </si>
  <si>
    <t>上海亚虹</t>
  </si>
  <si>
    <t>www.lixinger.com/analytics/company/sh/603159/603159/detail</t>
  </si>
  <si>
    <t>柳化股份</t>
  </si>
  <si>
    <t>www.lixinger.com/analytics/company/sh/600423/600423/detail</t>
  </si>
  <si>
    <t>延江股份</t>
  </si>
  <si>
    <t>www.lixinger.com/analytics/company/sz/300658/300658/detail</t>
  </si>
  <si>
    <t>融捷健康</t>
  </si>
  <si>
    <t>其他家电</t>
  </si>
  <si>
    <t>www.lixinger.com/analytics/company/sz/300247/300247/detail</t>
  </si>
  <si>
    <t>联瑞新材</t>
  </si>
  <si>
    <t>www.lixinger.com/analytics/company/sh/688300/688300/detail</t>
  </si>
  <si>
    <t>丽臣实业</t>
  </si>
  <si>
    <t>www.lixinger.com/analytics/company/sz/001218/1218/detail</t>
  </si>
  <si>
    <t>艾隆科技</t>
  </si>
  <si>
    <t>www.lixinger.com/analytics/company/sh/688329/688329/detail</t>
  </si>
  <si>
    <t>综艺股份</t>
  </si>
  <si>
    <t>www.lixinger.com/analytics/company/sh/600770/600770/detail</t>
  </si>
  <si>
    <t>骏成科技</t>
  </si>
  <si>
    <t>www.lixinger.com/analytics/company/sz/301106/301106/detail</t>
  </si>
  <si>
    <t>金迪克</t>
  </si>
  <si>
    <t>www.lixinger.com/analytics/company/sh/688670/688670/detail</t>
  </si>
  <si>
    <t>蒙泰高新</t>
  </si>
  <si>
    <t>www.lixinger.com/analytics/company/sz/300876/300876/detail</t>
  </si>
  <si>
    <t>仁度生物</t>
  </si>
  <si>
    <t>www.lixinger.com/analytics/company/sh/688193/688193/detail</t>
  </si>
  <si>
    <t>仙琚制药</t>
  </si>
  <si>
    <t>www.lixinger.com/analytics/company/sz/002332/2332/detail</t>
  </si>
  <si>
    <t>天壕环境</t>
  </si>
  <si>
    <t>www.lixinger.com/analytics/company/sz/300332/300332/detail</t>
  </si>
  <si>
    <t>佰奥智能</t>
  </si>
  <si>
    <t>www.lixinger.com/analytics/company/sz/300836/300836/detail</t>
  </si>
  <si>
    <t>国林科技</t>
  </si>
  <si>
    <t>www.lixinger.com/analytics/company/sz/300786/300786/detail</t>
  </si>
  <si>
    <t>*ST香梨</t>
  </si>
  <si>
    <t>www.lixinger.com/analytics/company/sh/600506/600506/detail</t>
  </si>
  <si>
    <t>虹软科技</t>
  </si>
  <si>
    <t>www.lixinger.com/analytics/company/sh/688088/688088/detail</t>
  </si>
  <si>
    <t>纳尔股份</t>
  </si>
  <si>
    <t>www.lixinger.com/analytics/company/sz/002825/2825/detail</t>
  </si>
  <si>
    <t>中石科技</t>
  </si>
  <si>
    <t>www.lixinger.com/analytics/company/sz/300684/300684/detail</t>
  </si>
  <si>
    <t>ST摩登</t>
  </si>
  <si>
    <t>www.lixinger.com/analytics/company/sz/002656/2656/detail</t>
  </si>
  <si>
    <t>中文传媒</t>
  </si>
  <si>
    <t>www.lixinger.com/analytics/company/sh/600373/600373/detail</t>
  </si>
  <si>
    <t>浔兴股份</t>
  </si>
  <si>
    <t>辅料</t>
  </si>
  <si>
    <t>www.lixinger.com/analytics/company/sz/002098/2098/detail</t>
  </si>
  <si>
    <t>强力新材</t>
  </si>
  <si>
    <t>www.lixinger.com/analytics/company/sz/300429/300429/detail</t>
  </si>
  <si>
    <t>海源复材</t>
  </si>
  <si>
    <t>www.lixinger.com/analytics/company/sz/002529/2529/detail</t>
  </si>
  <si>
    <t>鸿富瀚</t>
  </si>
  <si>
    <t>www.lixinger.com/analytics/company/sz/301086/301086/detail</t>
  </si>
  <si>
    <t>昊志机电</t>
  </si>
  <si>
    <t>www.lixinger.com/analytics/company/sz/300503/300503/detail</t>
  </si>
  <si>
    <t>锐明技术</t>
  </si>
  <si>
    <t>www.lixinger.com/analytics/company/sz/002970/2970/detail</t>
  </si>
  <si>
    <t>陇神戎发</t>
  </si>
  <si>
    <t>www.lixinger.com/analytics/company/sz/300534/300534/detail</t>
  </si>
  <si>
    <t>润阳科技</t>
  </si>
  <si>
    <t>www.lixinger.com/analytics/company/sz/300920/300920/detail</t>
  </si>
  <si>
    <t>江南化工</t>
  </si>
  <si>
    <t>www.lixinger.com/analytics/company/sz/002226/2226/detail</t>
  </si>
  <si>
    <t>*ST丹邦</t>
  </si>
  <si>
    <t>www.lixinger.com/analytics/company/sz/002618/2618/detail</t>
  </si>
  <si>
    <t>宸展光电</t>
  </si>
  <si>
    <t>www.lixinger.com/analytics/company/sz/003019/3019/detail</t>
  </si>
  <si>
    <t>广东骏亚</t>
  </si>
  <si>
    <t>www.lixinger.com/analytics/company/sh/603386/603386/detail</t>
  </si>
  <si>
    <t>祥龙电业</t>
  </si>
  <si>
    <t>www.lixinger.com/analytics/company/sh/600769/600769/detail</t>
  </si>
  <si>
    <t>杭州高新</t>
  </si>
  <si>
    <t>www.lixinger.com/analytics/company/sz/300478/300478/detail</t>
  </si>
  <si>
    <t>百龙创园</t>
  </si>
  <si>
    <t>www.lixinger.com/analytics/company/sh/605016/605016/detail</t>
  </si>
  <si>
    <t>绿康生化</t>
  </si>
  <si>
    <t>www.lixinger.com/analytics/company/sz/002868/2868/detail</t>
  </si>
  <si>
    <t>长高集团</t>
  </si>
  <si>
    <t>www.lixinger.com/analytics/company/sz/002452/2452/detail</t>
  </si>
  <si>
    <t>惠威科技</t>
  </si>
  <si>
    <t>www.lixinger.com/analytics/company/sz/002888/2888/detail</t>
  </si>
  <si>
    <t>山河药辅</t>
  </si>
  <si>
    <t>www.lixinger.com/analytics/company/sz/300452/300452/detail</t>
  </si>
  <si>
    <t>*ST东海B</t>
  </si>
  <si>
    <t>www.lixinger.com/analytics/company/sz/200613/200613/detail</t>
  </si>
  <si>
    <t>路畅科技</t>
  </si>
  <si>
    <t>www.lixinger.com/analytics/company/sz/002813/2813/detail</t>
  </si>
  <si>
    <t>海天瑞声</t>
  </si>
  <si>
    <t>www.lixinger.com/analytics/company/sh/688787/688787/detail</t>
  </si>
  <si>
    <t>华星创业</t>
  </si>
  <si>
    <t>通信工程及服务</t>
  </si>
  <si>
    <t>www.lixinger.com/analytics/company/sz/300025/300025/detail</t>
  </si>
  <si>
    <t>惠伦晶体</t>
  </si>
  <si>
    <t>www.lixinger.com/analytics/company/sz/300460/300460/detail</t>
  </si>
  <si>
    <t>超达装备</t>
  </si>
  <si>
    <t>www.lixinger.com/analytics/company/sz/301186/301186/detail</t>
  </si>
  <si>
    <t>凯尔达</t>
  </si>
  <si>
    <t>www.lixinger.com/analytics/company/sh/688255/688255/detail</t>
  </si>
  <si>
    <t>*ST深南</t>
  </si>
  <si>
    <t>www.lixinger.com/analytics/company/sz/002417/2417/detail</t>
  </si>
  <si>
    <t>凯迪股份</t>
  </si>
  <si>
    <t>www.lixinger.com/analytics/company/sh/605288/605288/detail</t>
  </si>
  <si>
    <t>湖南天雁</t>
  </si>
  <si>
    <t>www.lixinger.com/analytics/company/sh/600698/600698/detail</t>
  </si>
  <si>
    <t>海陆重工</t>
  </si>
  <si>
    <t>www.lixinger.com/analytics/company/sz/002255/2255/detail</t>
  </si>
  <si>
    <t>蓝丰生化</t>
  </si>
  <si>
    <t>www.lixinger.com/analytics/company/sz/002513/2513/detail</t>
  </si>
  <si>
    <t>德宏股份</t>
  </si>
  <si>
    <t>www.lixinger.com/analytics/company/sh/603701/603701/detail</t>
  </si>
  <si>
    <t>贝肯能源</t>
  </si>
  <si>
    <t>www.lixinger.com/analytics/company/sz/002828/2828/detail</t>
  </si>
  <si>
    <t>普源精电</t>
  </si>
  <si>
    <t>www.lixinger.com/analytics/company/sh/688337/688337/detail</t>
  </si>
  <si>
    <t>昊海生科</t>
  </si>
  <si>
    <t>www.lixinger.com/analytics/company/sh/688366/688366/detail</t>
  </si>
  <si>
    <t>深圳新星</t>
  </si>
  <si>
    <t>www.lixinger.com/analytics/company/sh/603978/603978/detail</t>
  </si>
  <si>
    <t>利德曼</t>
  </si>
  <si>
    <t>www.lixinger.com/analytics/company/sz/300289/300289/detail</t>
  </si>
  <si>
    <t>华仁药业</t>
  </si>
  <si>
    <t>www.lixinger.com/analytics/company/sz/300110/300110/detail</t>
  </si>
  <si>
    <t>力源科技</t>
  </si>
  <si>
    <t>www.lixinger.com/analytics/company/sh/688565/688565/detail</t>
  </si>
  <si>
    <t>晨光股份</t>
  </si>
  <si>
    <t>www.lixinger.com/analytics/company/sh/603899/603899/detail</t>
  </si>
  <si>
    <t>鸿达兴业</t>
  </si>
  <si>
    <t>www.lixinger.com/analytics/company/sz/002002/2002/detail</t>
  </si>
  <si>
    <t>美盛文化</t>
  </si>
  <si>
    <t>www.lixinger.com/analytics/company/sz/002699/2699/detail</t>
  </si>
  <si>
    <t>百大集团</t>
  </si>
  <si>
    <t>www.lixinger.com/analytics/company/sh/600865/600865/detail</t>
  </si>
  <si>
    <t>浩欧博</t>
  </si>
  <si>
    <t>www.lixinger.com/analytics/company/sh/688656/688656/detail</t>
  </si>
  <si>
    <t>凯立新材</t>
  </si>
  <si>
    <t>www.lixinger.com/analytics/company/sh/688269/688269/detail</t>
  </si>
  <si>
    <t>芯导科技</t>
  </si>
  <si>
    <t>www.lixinger.com/analytics/company/sh/688230/688230/detail</t>
  </si>
  <si>
    <t>通用股份</t>
  </si>
  <si>
    <t>www.lixinger.com/analytics/company/sh/601500/601500/detail</t>
  </si>
  <si>
    <t>广电网络</t>
  </si>
  <si>
    <t>www.lixinger.com/analytics/company/sh/600831/600831/detail</t>
  </si>
  <si>
    <t>朗博科技</t>
  </si>
  <si>
    <t>www.lixinger.com/analytics/company/sh/603655/603655/detail</t>
  </si>
  <si>
    <t>永新光学</t>
  </si>
  <si>
    <t>www.lixinger.com/analytics/company/sh/603297/603297/detail</t>
  </si>
  <si>
    <t>*ST东海A</t>
  </si>
  <si>
    <t>www.lixinger.com/analytics/company/sz/000613/613/detail</t>
  </si>
  <si>
    <t>迎丰股份</t>
  </si>
  <si>
    <t>www.lixinger.com/analytics/company/sh/605055/605055/detail</t>
  </si>
  <si>
    <t>南华生物</t>
  </si>
  <si>
    <t>其他医疗服务</t>
  </si>
  <si>
    <t>www.lixinger.com/analytics/company/sz/000504/504/detail</t>
  </si>
  <si>
    <t>炬光科技</t>
  </si>
  <si>
    <t>www.lixinger.com/analytics/company/sh/688167/688167/detail</t>
  </si>
  <si>
    <t>海能达</t>
  </si>
  <si>
    <t>www.lixinger.com/analytics/company/sz/002583/2583/detail</t>
  </si>
  <si>
    <t>金自天正</t>
  </si>
  <si>
    <t>www.lixinger.com/analytics/company/sh/600560/600560/detail</t>
  </si>
  <si>
    <t>汉邦高科</t>
  </si>
  <si>
    <t>www.lixinger.com/analytics/company/sz/300449/300449/detail</t>
  </si>
  <si>
    <t>新天药业</t>
  </si>
  <si>
    <t>www.lixinger.com/analytics/company/sz/002873/2873/detail</t>
  </si>
  <si>
    <t>亚盛集团</t>
  </si>
  <si>
    <t>www.lixinger.com/analytics/company/sh/600108/600108/detail</t>
  </si>
  <si>
    <t>森特股份</t>
  </si>
  <si>
    <t>www.lixinger.com/analytics/company/sh/603098/603098/detail</t>
  </si>
  <si>
    <t>景峰医药</t>
  </si>
  <si>
    <t>www.lixinger.com/analytics/company/sz/000908/908/detail</t>
  </si>
  <si>
    <t>世嘉科技</t>
  </si>
  <si>
    <t>www.lixinger.com/analytics/company/sz/002796/2796/detail</t>
  </si>
  <si>
    <t>金发拉比</t>
  </si>
  <si>
    <t>www.lixinger.com/analytics/company/sz/002762/2762/detail</t>
  </si>
  <si>
    <t>阳光诺和</t>
  </si>
  <si>
    <t>www.lixinger.com/analytics/company/sh/688621/688621/detail</t>
  </si>
  <si>
    <t>通达动力</t>
  </si>
  <si>
    <t>www.lixinger.com/analytics/company/sz/002576/2576/detail</t>
  </si>
  <si>
    <t>河化股份</t>
  </si>
  <si>
    <t>www.lixinger.com/analytics/company/sz/000953/953/detail</t>
  </si>
  <si>
    <t>德美化工</t>
  </si>
  <si>
    <t>www.lixinger.com/analytics/company/sz/002054/2054/detail</t>
  </si>
  <si>
    <t>朗玛信息</t>
  </si>
  <si>
    <t>www.lixinger.com/analytics/company/sz/300288/300288/detail</t>
  </si>
  <si>
    <t>东方园林</t>
  </si>
  <si>
    <t>www.lixinger.com/analytics/company/sz/002310/2310/detail</t>
  </si>
  <si>
    <t>*ST索菱</t>
  </si>
  <si>
    <t>www.lixinger.com/analytics/company/sz/002766/2766/detail</t>
  </si>
  <si>
    <t>赛科希德</t>
  </si>
  <si>
    <t>www.lixinger.com/analytics/company/sh/688338/688338/detail</t>
  </si>
  <si>
    <t>康德莱</t>
  </si>
  <si>
    <t>www.lixinger.com/analytics/company/sh/603987/603987/detail</t>
  </si>
  <si>
    <t>三羊马</t>
  </si>
  <si>
    <t>www.lixinger.com/analytics/company/sz/001317/1317/detail</t>
  </si>
  <si>
    <t>睿昂基因</t>
  </si>
  <si>
    <t>www.lixinger.com/analytics/company/sh/688217/688217/detail</t>
  </si>
  <si>
    <t>福达股份</t>
  </si>
  <si>
    <t>www.lixinger.com/analytics/company/sh/603166/603166/detail</t>
  </si>
  <si>
    <t>*ST昌鱼</t>
  </si>
  <si>
    <t>www.lixinger.com/analytics/company/sh/600275/600275/detail</t>
  </si>
  <si>
    <t>大晟文化</t>
  </si>
  <si>
    <t>www.lixinger.com/analytics/company/sh/600892/600892/detail</t>
  </si>
  <si>
    <t>凯旺科技</t>
  </si>
  <si>
    <t>www.lixinger.com/analytics/company/sz/301182/301182/detail</t>
  </si>
  <si>
    <t>奥来德</t>
  </si>
  <si>
    <t>www.lixinger.com/analytics/company/sh/688378/688378/detail</t>
  </si>
  <si>
    <t>双枪科技</t>
  </si>
  <si>
    <t>www.lixinger.com/analytics/company/sz/001211/1211/detail</t>
  </si>
  <si>
    <t>湘油泵</t>
  </si>
  <si>
    <t>www.lixinger.com/analytics/company/sh/603319/603319/detail</t>
  </si>
  <si>
    <t>汇金股份</t>
  </si>
  <si>
    <t>www.lixinger.com/analytics/company/sz/300368/300368/detail</t>
  </si>
  <si>
    <t>创维数字</t>
  </si>
  <si>
    <t>www.lixinger.com/analytics/company/sz/000810/810/detail</t>
  </si>
  <si>
    <t>天普股份</t>
  </si>
  <si>
    <t>www.lixinger.com/analytics/company/sh/605255/605255/detail</t>
  </si>
  <si>
    <t>*ST金泰</t>
  </si>
  <si>
    <t>www.lixinger.com/analytics/company/sh/600385/600385/detail</t>
  </si>
  <si>
    <t>天泽信息</t>
  </si>
  <si>
    <t>www.lixinger.com/analytics/company/sz/300209/300209/detail</t>
  </si>
  <si>
    <t>云南锗业</t>
  </si>
  <si>
    <t>www.lixinger.com/analytics/company/sz/002428/2428/detail</t>
  </si>
  <si>
    <t>*ST德新</t>
  </si>
  <si>
    <t>www.lixinger.com/analytics/company/sh/603032/603032/detail</t>
  </si>
  <si>
    <t>唯赛勃</t>
  </si>
  <si>
    <t>www.lixinger.com/analytics/company/sh/688718/688718/detail</t>
  </si>
  <si>
    <t>乐通股份</t>
  </si>
  <si>
    <t>www.lixinger.com/analytics/company/sz/002319/2319/detail</t>
  </si>
  <si>
    <t>沙河股份</t>
  </si>
  <si>
    <t>www.lixinger.com/analytics/company/sz/000014/14/detail</t>
  </si>
  <si>
    <t>天微电子</t>
  </si>
  <si>
    <t>www.lixinger.com/analytics/company/sh/688511/688511/detail</t>
  </si>
  <si>
    <t>雷迪克</t>
  </si>
  <si>
    <t>www.lixinger.com/analytics/company/sz/300652/300652/detail</t>
  </si>
  <si>
    <t>ST海投</t>
  </si>
  <si>
    <t>www.lixinger.com/analytics/company/sz/000616/616/detail</t>
  </si>
  <si>
    <t>威龙股份</t>
  </si>
  <si>
    <t>www.lixinger.com/analytics/company/sh/603779/603779/detail</t>
  </si>
  <si>
    <t>台海核电</t>
  </si>
  <si>
    <t>www.lixinger.com/analytics/company/sz/002366/2366/detail</t>
  </si>
  <si>
    <t>康隆达</t>
  </si>
  <si>
    <t>www.lixinger.com/analytics/company/sh/603665/603665/detail</t>
  </si>
  <si>
    <t>会畅通讯</t>
  </si>
  <si>
    <t>www.lixinger.com/analytics/company/sz/300578/300578/detail</t>
  </si>
  <si>
    <t>阳光股份</t>
  </si>
  <si>
    <t>www.lixinger.com/analytics/company/sz/000608/608/detail</t>
  </si>
  <si>
    <t>宏德股份</t>
  </si>
  <si>
    <t>www.lixinger.com/analytics/company/sz/301163/301163/detail</t>
  </si>
  <si>
    <t>ST荣华</t>
  </si>
  <si>
    <t>www.lixinger.com/analytics/company/sh/600311/600311/detail</t>
  </si>
  <si>
    <t>万里石</t>
  </si>
  <si>
    <t>www.lixinger.com/analytics/company/sz/002785/2785/detail</t>
  </si>
  <si>
    <t>联创电子</t>
  </si>
  <si>
    <t>www.lixinger.com/analytics/company/sz/002036/2036/detail</t>
  </si>
  <si>
    <t>欧科亿</t>
  </si>
  <si>
    <t>www.lixinger.com/analytics/company/sh/688308/688308/detail</t>
  </si>
  <si>
    <t>诺泰生物</t>
  </si>
  <si>
    <t>www.lixinger.com/analytics/company/sh/688076/688076/detail</t>
  </si>
  <si>
    <t>惠云钛业</t>
  </si>
  <si>
    <t>www.lixinger.com/analytics/company/sz/300891/300891/detail</t>
  </si>
  <si>
    <t>澄天伟业</t>
  </si>
  <si>
    <t>www.lixinger.com/analytics/company/sz/300689/300689/detail</t>
  </si>
  <si>
    <t>恒天海龙</t>
  </si>
  <si>
    <t>www.lixinger.com/analytics/company/sz/000677/677/detail</t>
  </si>
  <si>
    <t>爱迪尔</t>
  </si>
  <si>
    <t>www.lixinger.com/analytics/company/sz/002740/2740/detail</t>
  </si>
  <si>
    <t>宏昌科技</t>
  </si>
  <si>
    <t>www.lixinger.com/analytics/company/sz/301008/301008/detail</t>
  </si>
  <si>
    <t>新通联</t>
  </si>
  <si>
    <t>www.lixinger.com/analytics/company/sh/603022/603022/detail</t>
  </si>
  <si>
    <t>中密控股</t>
  </si>
  <si>
    <t>www.lixinger.com/analytics/company/sz/300470/300470/detail</t>
  </si>
  <si>
    <t>建设机械</t>
  </si>
  <si>
    <t>www.lixinger.com/analytics/company/sh/600984/600984/detail</t>
  </si>
  <si>
    <t>*ST晨鑫</t>
  </si>
  <si>
    <t>www.lixinger.com/analytics/company/sz/002447/2447/detail</t>
  </si>
  <si>
    <t>嘉应制药</t>
  </si>
  <si>
    <t>www.lixinger.com/analytics/company/sz/002198/2198/detail</t>
  </si>
  <si>
    <t>江天化学</t>
  </si>
  <si>
    <t>www.lixinger.com/analytics/company/sz/300927/300927/detail</t>
  </si>
  <si>
    <t>复旦复华</t>
  </si>
  <si>
    <t>www.lixinger.com/analytics/company/sh/600624/600624/detail</t>
  </si>
  <si>
    <t>云路股份</t>
  </si>
  <si>
    <t>www.lixinger.com/analytics/company/sh/688190/688190/detail</t>
  </si>
  <si>
    <t>通灵股份</t>
  </si>
  <si>
    <t>www.lixinger.com/analytics/company/sz/301168/301168/detail</t>
  </si>
  <si>
    <t>北巴传媒</t>
  </si>
  <si>
    <t>www.lixinger.com/analytics/company/sh/600386/600386/detail</t>
  </si>
  <si>
    <t>川金诺</t>
  </si>
  <si>
    <t>www.lixinger.com/analytics/company/sz/300505/300505/detail</t>
  </si>
  <si>
    <t>国瑞科技</t>
  </si>
  <si>
    <t>www.lixinger.com/analytics/company/sz/300600/300600/detail</t>
  </si>
  <si>
    <t>东箭科技</t>
  </si>
  <si>
    <t>www.lixinger.com/analytics/company/sz/300978/300978/detail</t>
  </si>
  <si>
    <t>登云股份</t>
  </si>
  <si>
    <t>www.lixinger.com/analytics/company/sz/002715/2715/detail</t>
  </si>
  <si>
    <t>万年青</t>
  </si>
  <si>
    <t>www.lixinger.com/analytics/company/sz/000789/789/detail</t>
  </si>
  <si>
    <t>科创新源</t>
  </si>
  <si>
    <t>www.lixinger.com/analytics/company/sz/300731/300731/detail</t>
  </si>
  <si>
    <t>ST八菱</t>
  </si>
  <si>
    <t>www.lixinger.com/analytics/company/sz/002592/2592/detail</t>
  </si>
  <si>
    <t>光正眼科</t>
  </si>
  <si>
    <t>www.lixinger.com/analytics/company/sz/002524/2524/detail</t>
  </si>
  <si>
    <t>申科股份</t>
  </si>
  <si>
    <t>www.lixinger.com/analytics/company/sz/002633/2633/detail</t>
  </si>
  <si>
    <t>纬德信息</t>
  </si>
  <si>
    <t>www.lixinger.com/analytics/company/sh/688171/688171/detail</t>
  </si>
  <si>
    <t>华宝股份</t>
  </si>
  <si>
    <t>www.lixinger.com/analytics/company/sz/300741/300741/detail</t>
  </si>
  <si>
    <t>文灿股份</t>
  </si>
  <si>
    <t>www.lixinger.com/analytics/company/sh/603348/603348/detail</t>
  </si>
  <si>
    <t>汇隆新材</t>
  </si>
  <si>
    <t>www.lixinger.com/analytics/company/sz/301057/301057/detail</t>
  </si>
  <si>
    <t>道明光学</t>
  </si>
  <si>
    <t>www.lixinger.com/analytics/company/sz/002632/2632/detail</t>
  </si>
  <si>
    <t>川恒股份</t>
  </si>
  <si>
    <t>www.lixinger.com/analytics/company/sz/002895/2895/detail</t>
  </si>
  <si>
    <t>世龙实业</t>
  </si>
  <si>
    <t>www.lixinger.com/analytics/company/sz/002748/2748/detail</t>
  </si>
  <si>
    <t>汇丽B</t>
  </si>
  <si>
    <t>www.lixinger.com/analytics/company/sh/900939/900939/detail</t>
  </si>
  <si>
    <t>华致酒行</t>
  </si>
  <si>
    <t>www.lixinger.com/analytics/company/sz/300755/300755/detail</t>
  </si>
  <si>
    <t>ST中昌</t>
  </si>
  <si>
    <t>www.lixinger.com/analytics/company/sh/600242/600242/detail</t>
  </si>
  <si>
    <t>美尔雅</t>
  </si>
  <si>
    <t>www.lixinger.com/analytics/company/sh/600107/600107/detail</t>
  </si>
  <si>
    <t>安必平</t>
  </si>
  <si>
    <t>www.lixinger.com/analytics/company/sh/688393/688393/detail</t>
  </si>
  <si>
    <t>海川智能</t>
  </si>
  <si>
    <t>www.lixinger.com/analytics/company/sz/300720/300720/detail</t>
  </si>
  <si>
    <t>合金投资</t>
  </si>
  <si>
    <t>www.lixinger.com/analytics/company/sz/000633/633/detail</t>
  </si>
  <si>
    <t>*ST群兴</t>
  </si>
  <si>
    <t>www.lixinger.com/analytics/company/sz/002575/2575/detail</t>
  </si>
  <si>
    <t>万安科技</t>
  </si>
  <si>
    <t>www.lixinger.com/analytics/company/sz/002590/2590/detail</t>
  </si>
  <si>
    <t>果麦文化</t>
  </si>
  <si>
    <t>www.lixinger.com/analytics/company/sz/301052/301052/detail</t>
  </si>
  <si>
    <t>中国中期</t>
  </si>
  <si>
    <t>www.lixinger.com/analytics/company/sz/000996/996/detail</t>
  </si>
  <si>
    <t>沈阳化工</t>
  </si>
  <si>
    <t>www.lixinger.com/analytics/company/sz/000698/698/detail</t>
  </si>
  <si>
    <t>恒久科技</t>
  </si>
  <si>
    <t>www.lixinger.com/analytics/company/sz/002808/2808/detail</t>
  </si>
  <si>
    <t>凯撒文化</t>
  </si>
  <si>
    <t>www.lixinger.com/analytics/company/sz/002425/2425/detail</t>
  </si>
  <si>
    <t>田中精机</t>
  </si>
  <si>
    <t>www.lixinger.com/analytics/company/sz/300461/300461/detail</t>
  </si>
  <si>
    <t>中通国脉</t>
  </si>
  <si>
    <t>www.lixinger.com/analytics/company/sh/603559/603559/detail</t>
  </si>
  <si>
    <t>广济药业</t>
  </si>
  <si>
    <t>www.lixinger.com/analytics/company/sz/000952/952/detail</t>
  </si>
  <si>
    <t>凌云Ｂ股</t>
  </si>
  <si>
    <t>www.lixinger.com/analytics/company/sh/900957/900957/detail</t>
  </si>
  <si>
    <t>退市中新</t>
  </si>
  <si>
    <t>www.lixinger.com/analytics/company/sh/603996/603996/detail</t>
  </si>
  <si>
    <t>实益达</t>
  </si>
  <si>
    <t>www.lixinger.com/analytics/company/sz/002137/2137/detail</t>
  </si>
  <si>
    <t>高乐股份</t>
  </si>
  <si>
    <t>www.lixinger.com/analytics/company/sz/002348/2348/detail</t>
  </si>
  <si>
    <t>中英科技</t>
  </si>
  <si>
    <t>www.lixinger.com/analytics/company/sz/300936/300936/detail</t>
  </si>
  <si>
    <t>淳中科技</t>
  </si>
  <si>
    <t>www.lixinger.com/analytics/company/sh/603516/603516/detail</t>
  </si>
  <si>
    <t>玉龙股份</t>
  </si>
  <si>
    <t>www.lixinger.com/analytics/company/sh/601028/601028/detail</t>
  </si>
  <si>
    <t>和林微纳</t>
  </si>
  <si>
    <t>www.lixinger.com/analytics/company/sh/688661/688661/detail</t>
  </si>
  <si>
    <t>峰岹科技</t>
  </si>
  <si>
    <t>www.lixinger.com/analytics/company/sh/688279/688279/detail</t>
  </si>
  <si>
    <t>博闻科技</t>
  </si>
  <si>
    <t>www.lixinger.com/analytics/company/sh/600883/600883/detail</t>
  </si>
  <si>
    <t>兆易创新</t>
  </si>
  <si>
    <t>www.lixinger.com/analytics/company/sh/603986/603986/detail</t>
  </si>
  <si>
    <t>*ST圣亚</t>
  </si>
  <si>
    <t>www.lixinger.com/analytics/company/sh/600593/600593/detail</t>
  </si>
  <si>
    <t>达刚控股</t>
  </si>
  <si>
    <t>www.lixinger.com/analytics/company/sz/300103/300103/detail</t>
  </si>
  <si>
    <t>ST弘高</t>
  </si>
  <si>
    <t>www.lixinger.com/analytics/company/sz/002504/2504/detail</t>
  </si>
  <si>
    <t>采纳股份</t>
  </si>
  <si>
    <t>www.lixinger.com/analytics/company/sz/301122/301122/detail</t>
  </si>
  <si>
    <t>森远股份</t>
  </si>
  <si>
    <t>www.lixinger.com/analytics/company/sz/300210/300210/detail</t>
  </si>
  <si>
    <t>*ST同洲</t>
  </si>
  <si>
    <t>www.lixinger.com/analytics/company/sz/002052/2052/detail</t>
  </si>
  <si>
    <t>*ST海创</t>
  </si>
  <si>
    <t>旅游综合</t>
  </si>
  <si>
    <t>www.lixinger.com/analytics/company/sh/600555/600555/detail</t>
  </si>
  <si>
    <t>锦旅Ｂ股</t>
  </si>
  <si>
    <t>www.lixinger.com/analytics/company/sh/900929/900929/detail</t>
  </si>
  <si>
    <t>*ST当代</t>
  </si>
  <si>
    <t>www.lixinger.com/analytics/company/sz/000673/673/detail</t>
  </si>
  <si>
    <t>京蓝科技</t>
  </si>
  <si>
    <t>www.lixinger.com/analytics/company/sz/000711/711/detail</t>
  </si>
  <si>
    <t>嘉益股份</t>
  </si>
  <si>
    <t>www.lixinger.com/analytics/company/sz/301004/301004/detail</t>
  </si>
  <si>
    <t>野马电池</t>
  </si>
  <si>
    <t>www.lixinger.com/analytics/company/sh/605378/605378/detail</t>
  </si>
  <si>
    <t>南华仪器</t>
  </si>
  <si>
    <t>www.lixinger.com/analytics/company/sz/300417/300417/detail</t>
  </si>
  <si>
    <t>中船汉光</t>
  </si>
  <si>
    <t>www.lixinger.com/analytics/company/sz/300847/300847/detail</t>
  </si>
  <si>
    <t>壶化股份</t>
  </si>
  <si>
    <t>www.lixinger.com/analytics/company/sz/003002/3002/detail</t>
  </si>
  <si>
    <t>芯源微</t>
  </si>
  <si>
    <t>www.lixinger.com/analytics/company/sh/688037/688037/detail</t>
  </si>
  <si>
    <t>中材节能</t>
  </si>
  <si>
    <t>www.lixinger.com/analytics/company/sh/603126/603126/detail</t>
  </si>
  <si>
    <t>广聚能源</t>
  </si>
  <si>
    <t>www.lixinger.com/analytics/company/sz/000096/96/detail</t>
  </si>
  <si>
    <t>凌志软件</t>
  </si>
  <si>
    <t>www.lixinger.com/analytics/company/sh/688588/688588/detail</t>
  </si>
  <si>
    <t>海普瑞</t>
  </si>
  <si>
    <t>www.lixinger.com/analytics/company/sz/002399/2399/detail</t>
  </si>
  <si>
    <t>*ST丰华</t>
  </si>
  <si>
    <t>www.lixinger.com/analytics/company/sh/600615/600615/detail</t>
  </si>
  <si>
    <t>凯众股份</t>
  </si>
  <si>
    <t>www.lixinger.com/analytics/company/sh/603037/603037/detail</t>
  </si>
  <si>
    <t>中天精装</t>
  </si>
  <si>
    <t>www.lixinger.com/analytics/company/sz/002989/2989/detail</t>
  </si>
  <si>
    <t>电光科技</t>
  </si>
  <si>
    <t>www.lixinger.com/analytics/company/sz/002730/2730/detail</t>
  </si>
  <si>
    <t>长动退</t>
  </si>
  <si>
    <t>www.lixinger.com/analytics/company/sz/000835/835/detail</t>
  </si>
  <si>
    <t>肇民科技</t>
  </si>
  <si>
    <t>www.lixinger.com/analytics/company/sz/301000/301000/detail</t>
  </si>
  <si>
    <t>瑞德智能</t>
  </si>
  <si>
    <t>www.lixinger.com/analytics/company/sz/301135/301135/detail</t>
  </si>
  <si>
    <t>蓝科高新</t>
  </si>
  <si>
    <t>www.lixinger.com/analytics/company/sh/601798/601798/detail</t>
  </si>
  <si>
    <t>宁波中百</t>
  </si>
  <si>
    <t>www.lixinger.com/analytics/company/sh/600857/600857/detail</t>
  </si>
  <si>
    <t>美思德</t>
  </si>
  <si>
    <t>www.lixinger.com/analytics/company/sh/603041/603041/detail</t>
  </si>
  <si>
    <t>九典制药</t>
  </si>
  <si>
    <t>www.lixinger.com/analytics/company/sz/300705/300705/detail</t>
  </si>
  <si>
    <t>北玻股份</t>
  </si>
  <si>
    <t>www.lixinger.com/analytics/company/sz/002613/2613/detail</t>
  </si>
  <si>
    <t>海峡创新</t>
  </si>
  <si>
    <t>www.lixinger.com/analytics/company/sz/300300/300300/detail</t>
  </si>
  <si>
    <t>汇源通信</t>
  </si>
  <si>
    <t>www.lixinger.com/analytics/company/sz/000586/586/detail</t>
  </si>
  <si>
    <t>梅雁吉祥</t>
  </si>
  <si>
    <t>www.lixinger.com/analytics/company/sh/600868/600868/detail</t>
  </si>
  <si>
    <t>华培动力</t>
  </si>
  <si>
    <t>www.lixinger.com/analytics/company/sh/603121/603121/detail</t>
  </si>
  <si>
    <t>宁波方正</t>
  </si>
  <si>
    <t>www.lixinger.com/analytics/company/sz/300998/300998/detail</t>
  </si>
  <si>
    <t>久祺股份</t>
  </si>
  <si>
    <t>www.lixinger.com/analytics/company/sz/300994/300994/detail</t>
  </si>
  <si>
    <t>GQY视讯</t>
  </si>
  <si>
    <t>www.lixinger.com/analytics/company/sz/300076/300076/detail</t>
  </si>
  <si>
    <t>ST西源</t>
  </si>
  <si>
    <t>www.lixinger.com/analytics/company/sh/600139/600139/detail</t>
  </si>
  <si>
    <t>准油股份</t>
  </si>
  <si>
    <t>www.lixinger.com/analytics/company/sz/002207/2207/detail</t>
  </si>
  <si>
    <t>金运激光</t>
  </si>
  <si>
    <t>www.lixinger.com/analytics/company/sz/300220/300220/detail</t>
  </si>
  <si>
    <t>宏华数科</t>
  </si>
  <si>
    <t>www.lixinger.com/analytics/company/sh/688789/688789/detail</t>
  </si>
  <si>
    <t>奥翔药业</t>
  </si>
  <si>
    <t>www.lixinger.com/analytics/company/sh/603229/603229/detail</t>
  </si>
  <si>
    <t>迈普医学</t>
  </si>
  <si>
    <t>www.lixinger.com/analytics/company/sz/301033/301033/detail</t>
  </si>
  <si>
    <t>电魂网络</t>
  </si>
  <si>
    <t>www.lixinger.com/analytics/company/sh/603258/603258/detail</t>
  </si>
  <si>
    <t>浙江自然</t>
  </si>
  <si>
    <t>www.lixinger.com/analytics/company/sh/605080/605080/detail</t>
  </si>
  <si>
    <t>津膜科技</t>
  </si>
  <si>
    <t>www.lixinger.com/analytics/company/sz/300334/300334/detail</t>
  </si>
  <si>
    <t>沃顿科技</t>
  </si>
  <si>
    <t>www.lixinger.com/analytics/company/sz/000920/920/detail</t>
  </si>
  <si>
    <t>海融科技</t>
  </si>
  <si>
    <t>www.lixinger.com/analytics/company/sz/300915/300915/detail</t>
  </si>
  <si>
    <t>映翰通</t>
  </si>
  <si>
    <t>www.lixinger.com/analytics/company/sh/688080/688080/detail</t>
  </si>
  <si>
    <t>臻镭科技</t>
  </si>
  <si>
    <t>www.lixinger.com/analytics/company/sh/688270/688270/detail</t>
  </si>
  <si>
    <t>垒知集团</t>
  </si>
  <si>
    <t>www.lixinger.com/analytics/company/sz/002398/2398/detail</t>
  </si>
  <si>
    <t>东宏股份</t>
  </si>
  <si>
    <t>www.lixinger.com/analytics/company/sh/603856/603856/detail</t>
  </si>
  <si>
    <t>泰林生物</t>
  </si>
  <si>
    <t>www.lixinger.com/analytics/company/sz/300813/300813/detail</t>
  </si>
  <si>
    <t>科安达</t>
  </si>
  <si>
    <t>www.lixinger.com/analytics/company/sz/002972/2972/detail</t>
  </si>
  <si>
    <t>威帝股份</t>
  </si>
  <si>
    <t>www.lixinger.com/analytics/company/sh/603023/603023/detail</t>
  </si>
  <si>
    <t>佳创视讯</t>
  </si>
  <si>
    <t>www.lixinger.com/analytics/company/sz/300264/300264/detail</t>
  </si>
  <si>
    <t>百邦科技</t>
  </si>
  <si>
    <t>www.lixinger.com/analytics/company/sz/300736/300736/detail</t>
  </si>
  <si>
    <t>跃岭股份</t>
  </si>
  <si>
    <t>www.lixinger.com/analytics/company/sz/002725/2725/detail</t>
  </si>
  <si>
    <t>光库科技</t>
  </si>
  <si>
    <t>www.lixinger.com/analytics/company/sz/300620/300620/detail</t>
  </si>
  <si>
    <t>绿茵生态</t>
  </si>
  <si>
    <t>www.lixinger.com/analytics/company/sz/002887/2887/detail</t>
  </si>
  <si>
    <t>开能健康</t>
  </si>
  <si>
    <t>www.lixinger.com/analytics/company/sz/300272/300272/detail</t>
  </si>
  <si>
    <t>创源股份</t>
  </si>
  <si>
    <t>www.lixinger.com/analytics/company/sz/300703/300703/detail</t>
  </si>
  <si>
    <t>皇氏集团</t>
  </si>
  <si>
    <t>www.lixinger.com/analytics/company/sz/002329/2329/detail</t>
  </si>
  <si>
    <t>广信材料</t>
  </si>
  <si>
    <t>www.lixinger.com/analytics/company/sz/300537/300537/detail</t>
  </si>
  <si>
    <t>ST瀚叶</t>
  </si>
  <si>
    <t>www.lixinger.com/analytics/company/sh/600226/600226/detail</t>
  </si>
  <si>
    <t>爱威科技</t>
  </si>
  <si>
    <t>www.lixinger.com/analytics/company/sh/688067/688067/detail</t>
  </si>
  <si>
    <t>三孚新科</t>
  </si>
  <si>
    <t>www.lixinger.com/analytics/company/sh/688359/688359/detail</t>
  </si>
  <si>
    <t>拓新药业</t>
  </si>
  <si>
    <t>www.lixinger.com/analytics/company/sz/301089/301089/detail</t>
  </si>
  <si>
    <t>迈赫股份</t>
  </si>
  <si>
    <t>www.lixinger.com/analytics/company/sz/301199/301199/detail</t>
  </si>
  <si>
    <t>亿华通</t>
  </si>
  <si>
    <t>燃料电池</t>
  </si>
  <si>
    <t>www.lixinger.com/analytics/company/sh/688339/688339/detail</t>
  </si>
  <si>
    <t>优德精密</t>
  </si>
  <si>
    <t>www.lixinger.com/analytics/company/sz/300549/300549/detail</t>
  </si>
  <si>
    <t>四通股份</t>
  </si>
  <si>
    <t>www.lixinger.com/analytics/company/sh/603838/603838/detail</t>
  </si>
  <si>
    <t>华阳集团</t>
  </si>
  <si>
    <t>www.lixinger.com/analytics/company/sz/002906/2906/detail</t>
  </si>
  <si>
    <t>上海九百</t>
  </si>
  <si>
    <t>www.lixinger.com/analytics/company/sh/600838/600838/detail</t>
  </si>
  <si>
    <t>必得科技</t>
  </si>
  <si>
    <t>www.lixinger.com/analytics/company/sh/605298/605298/detail</t>
  </si>
  <si>
    <t>中际联合</t>
  </si>
  <si>
    <t>www.lixinger.com/analytics/company/sh/605305/605305/detail</t>
  </si>
  <si>
    <t>广弘控股</t>
  </si>
  <si>
    <t>www.lixinger.com/analytics/company/sz/000529/529/detail</t>
  </si>
  <si>
    <t>福蓉科技</t>
  </si>
  <si>
    <t>www.lixinger.com/analytics/company/sh/603327/603327/detail</t>
  </si>
  <si>
    <t>ST文化</t>
  </si>
  <si>
    <t>www.lixinger.com/analytics/company/sz/300089/300089/detail</t>
  </si>
  <si>
    <t>*ST皇台</t>
  </si>
  <si>
    <t>www.lixinger.com/analytics/company/sz/000995/995/detail</t>
  </si>
  <si>
    <t>宏微科技</t>
  </si>
  <si>
    <t>www.lixinger.com/analytics/company/sh/688711/688711/detail</t>
  </si>
  <si>
    <t>天益医疗</t>
  </si>
  <si>
    <t>www.lixinger.com/analytics/company/sz/301097/301097/detail</t>
  </si>
  <si>
    <t>天奥电子</t>
  </si>
  <si>
    <t>www.lixinger.com/analytics/company/sz/002935/2935/detail</t>
  </si>
  <si>
    <t>皓元医药</t>
  </si>
  <si>
    <t>www.lixinger.com/analytics/company/sh/688131/688131/detail</t>
  </si>
  <si>
    <t>松井股份</t>
  </si>
  <si>
    <t>www.lixinger.com/analytics/company/sh/688157/688157/detail</t>
  </si>
  <si>
    <t>祥明智能</t>
  </si>
  <si>
    <t>www.lixinger.com/analytics/company/sz/301226/301226/detail</t>
  </si>
  <si>
    <t>时空科技</t>
  </si>
  <si>
    <t>www.lixinger.com/analytics/company/sh/605178/605178/detail</t>
  </si>
  <si>
    <t>北大医药</t>
  </si>
  <si>
    <t>www.lixinger.com/analytics/company/sz/000788/788/detail</t>
  </si>
  <si>
    <t>沪光股份</t>
  </si>
  <si>
    <t>www.lixinger.com/analytics/company/sh/605333/605333/detail</t>
  </si>
  <si>
    <t>久吾高科</t>
  </si>
  <si>
    <t>www.lixinger.com/analytics/company/sz/300631/300631/detail</t>
  </si>
  <si>
    <t>奥普特</t>
  </si>
  <si>
    <t>www.lixinger.com/analytics/company/sh/688686/688686/detail</t>
  </si>
  <si>
    <t>伟思医疗</t>
  </si>
  <si>
    <t>www.lixinger.com/analytics/company/sh/688580/688580/detail</t>
  </si>
  <si>
    <t>中达安</t>
  </si>
  <si>
    <t>www.lixinger.com/analytics/company/sz/300635/300635/detail</t>
  </si>
  <si>
    <t>雅运股份</t>
  </si>
  <si>
    <t>www.lixinger.com/analytics/company/sh/603790/603790/detail</t>
  </si>
  <si>
    <t>鼎阳科技</t>
  </si>
  <si>
    <t>www.lixinger.com/analytics/company/sh/688112/688112/detail</t>
  </si>
  <si>
    <t>东晶电子</t>
  </si>
  <si>
    <t>www.lixinger.com/analytics/company/sz/002199/2199/detail</t>
  </si>
  <si>
    <t>诚达药业</t>
  </si>
  <si>
    <t>www.lixinger.com/analytics/company/sz/301201/301201/detail</t>
  </si>
  <si>
    <t>煜邦电力</t>
  </si>
  <si>
    <t>www.lixinger.com/analytics/company/sh/688597/688597/detail</t>
  </si>
  <si>
    <t>聚杰微纤</t>
  </si>
  <si>
    <t>www.lixinger.com/analytics/company/sz/300819/300819/detail</t>
  </si>
  <si>
    <t>金盾股份</t>
  </si>
  <si>
    <t>www.lixinger.com/analytics/company/sz/300411/300411/detail</t>
  </si>
  <si>
    <t>金枫酒业</t>
  </si>
  <si>
    <t>www.lixinger.com/analytics/company/sh/600616/600616/detail</t>
  </si>
  <si>
    <t>海量数据</t>
  </si>
  <si>
    <t>www.lixinger.com/analytics/company/sh/603138/603138/detail</t>
  </si>
  <si>
    <t>光洋股份</t>
  </si>
  <si>
    <t>www.lixinger.com/analytics/company/sz/002708/2708/detail</t>
  </si>
  <si>
    <t>*ST蓝盾</t>
  </si>
  <si>
    <t>www.lixinger.com/analytics/company/sz/300297/300297/detail</t>
  </si>
  <si>
    <t>海泰发展</t>
  </si>
  <si>
    <t>www.lixinger.com/analytics/company/sh/600082/600082/detail</t>
  </si>
  <si>
    <t>中科云网</t>
  </si>
  <si>
    <t>www.lixinger.com/analytics/company/sz/002306/2306/detail</t>
  </si>
  <si>
    <t>ST天润</t>
  </si>
  <si>
    <t>www.lixinger.com/analytics/company/sz/002113/2113/detail</t>
  </si>
  <si>
    <t>概伦电子</t>
  </si>
  <si>
    <t>www.lixinger.com/analytics/company/sh/688206/688206/detail</t>
  </si>
  <si>
    <t>利元亨</t>
  </si>
  <si>
    <t>www.lixinger.com/analytics/company/sh/688499/688499/detail</t>
  </si>
  <si>
    <t>冀凯股份</t>
  </si>
  <si>
    <t>www.lixinger.com/analytics/company/sz/002691/2691/detail</t>
  </si>
  <si>
    <t>上海凯鑫</t>
  </si>
  <si>
    <t>www.lixinger.com/analytics/company/sz/300899/300899/detail</t>
  </si>
  <si>
    <t>欧圣电气</t>
  </si>
  <si>
    <t>www.lixinger.com/analytics/company/sz/301187/301187/detail</t>
  </si>
  <si>
    <t>齐心集团</t>
  </si>
  <si>
    <t>www.lixinger.com/analytics/company/sz/002301/2301/detail</t>
  </si>
  <si>
    <t>畅联股份</t>
  </si>
  <si>
    <t>www.lixinger.com/analytics/company/sh/603648/603648/detail</t>
  </si>
  <si>
    <t>云鼎科技</t>
  </si>
  <si>
    <t>www.lixinger.com/analytics/company/sz/000409/409/detail</t>
  </si>
  <si>
    <t>华东数控</t>
  </si>
  <si>
    <t>www.lixinger.com/analytics/company/sz/002248/2248/detail</t>
  </si>
  <si>
    <t>东电退</t>
  </si>
  <si>
    <t>www.lixinger.com/analytics/company/sz/000585/585/detail</t>
  </si>
  <si>
    <t>*ST科迪</t>
  </si>
  <si>
    <t>www.lixinger.com/analytics/company/sz/002770/2770/detail</t>
  </si>
  <si>
    <t>大庆华科</t>
  </si>
  <si>
    <t>www.lixinger.com/analytics/company/sz/000985/985/detail</t>
  </si>
  <si>
    <t>易明医药</t>
  </si>
  <si>
    <t>www.lixinger.com/analytics/company/sz/002826/2826/detail</t>
  </si>
  <si>
    <t>二六三</t>
  </si>
  <si>
    <t>www.lixinger.com/analytics/company/sz/002467/2467/detail</t>
  </si>
  <si>
    <t>交大思诺</t>
  </si>
  <si>
    <t>www.lixinger.com/analytics/company/sz/300851/300851/detail</t>
  </si>
  <si>
    <t>*ST安控</t>
  </si>
  <si>
    <t>www.lixinger.com/analytics/company/sz/300370/300370/detail</t>
  </si>
  <si>
    <t>宜华健康</t>
  </si>
  <si>
    <t>www.lixinger.com/analytics/company/sz/000150/150/detail</t>
  </si>
  <si>
    <t>清源股份</t>
  </si>
  <si>
    <t>www.lixinger.com/analytics/company/sh/603628/603628/detail</t>
  </si>
  <si>
    <t>全筑股份</t>
  </si>
  <si>
    <t>www.lixinger.com/analytics/company/sh/603030/603030/detail</t>
  </si>
  <si>
    <t>卫光生物</t>
  </si>
  <si>
    <t>www.lixinger.com/analytics/company/sz/002880/2880/detail</t>
  </si>
  <si>
    <t>华铁股份</t>
  </si>
  <si>
    <t>www.lixinger.com/analytics/company/sz/000976/976/detail</t>
  </si>
  <si>
    <t>浪潮软件</t>
  </si>
  <si>
    <t>www.lixinger.com/analytics/company/sh/600756/600756/detail</t>
  </si>
  <si>
    <t>金明精机</t>
  </si>
  <si>
    <t>www.lixinger.com/analytics/company/sz/300281/300281/detail</t>
  </si>
  <si>
    <t>三旺通信</t>
  </si>
  <si>
    <t>www.lixinger.com/analytics/company/sh/688618/688618/detail</t>
  </si>
  <si>
    <t>ST目药</t>
  </si>
  <si>
    <t>www.lixinger.com/analytics/company/sh/600671/600671/detail</t>
  </si>
  <si>
    <t>银邦股份</t>
  </si>
  <si>
    <t>www.lixinger.com/analytics/company/sz/300337/300337/detail</t>
  </si>
  <si>
    <t>迅游科技</t>
  </si>
  <si>
    <t>www.lixinger.com/analytics/company/sz/300467/300467/detail</t>
  </si>
  <si>
    <t>森马服饰</t>
  </si>
  <si>
    <t>www.lixinger.com/analytics/company/sz/002563/2563/detail</t>
  </si>
  <si>
    <t>东方网络</t>
  </si>
  <si>
    <t>www.lixinger.com/analytics/company/sz/002175/2175/detail</t>
  </si>
  <si>
    <t>华图山鼎</t>
  </si>
  <si>
    <t>www.lixinger.com/analytics/company/sz/300492/300492/detail</t>
  </si>
  <si>
    <t>宁波精达</t>
  </si>
  <si>
    <t>www.lixinger.com/analytics/company/sh/603088/603088/detail</t>
  </si>
  <si>
    <t>爱司凯</t>
  </si>
  <si>
    <t>www.lixinger.com/analytics/company/sz/300521/300521/detail</t>
  </si>
  <si>
    <t>ST商城</t>
  </si>
  <si>
    <t>www.lixinger.com/analytics/company/sh/600306/600306/detail</t>
  </si>
  <si>
    <t>联盛化学</t>
  </si>
  <si>
    <t>www.lixinger.com/analytics/company/sz/301212/301212/detail</t>
  </si>
  <si>
    <t>江苏北人</t>
  </si>
  <si>
    <t>www.lixinger.com/analytics/company/sh/688218/688218/detail</t>
  </si>
  <si>
    <t>成都先导</t>
  </si>
  <si>
    <t>www.lixinger.com/analytics/company/sh/688222/688222/detail</t>
  </si>
  <si>
    <t>鼎信通讯</t>
  </si>
  <si>
    <t>www.lixinger.com/analytics/company/sh/603421/603421/detail</t>
  </si>
  <si>
    <t>伟创电气</t>
  </si>
  <si>
    <t>www.lixinger.com/analytics/company/sh/688698/688698/detail</t>
  </si>
  <si>
    <t>江苏神通</t>
  </si>
  <si>
    <t>www.lixinger.com/analytics/company/sz/002438/2438/detail</t>
  </si>
  <si>
    <t>海南橡胶</t>
  </si>
  <si>
    <t>www.lixinger.com/analytics/company/sh/601118/601118/detail</t>
  </si>
  <si>
    <t>卓易信息</t>
  </si>
  <si>
    <t>www.lixinger.com/analytics/company/sh/688258/688258/detail</t>
  </si>
  <si>
    <t>宁波色母</t>
  </si>
  <si>
    <t>www.lixinger.com/analytics/company/sz/301019/301019/detail</t>
  </si>
  <si>
    <t>冠中生态</t>
  </si>
  <si>
    <t>www.lixinger.com/analytics/company/sz/300948/300948/detail</t>
  </si>
  <si>
    <t>柯力传感</t>
  </si>
  <si>
    <t>www.lixinger.com/analytics/company/sh/603662/603662/detail</t>
  </si>
  <si>
    <t>ST东洋</t>
  </si>
  <si>
    <t>www.lixinger.com/analytics/company/sz/002086/2086/detail</t>
  </si>
  <si>
    <t>大理药业</t>
  </si>
  <si>
    <t>www.lixinger.com/analytics/company/sh/603963/603963/detail</t>
  </si>
  <si>
    <t>东方材料</t>
  </si>
  <si>
    <t>www.lixinger.com/analytics/company/sh/603110/603110/detail</t>
  </si>
  <si>
    <t>中航高科</t>
  </si>
  <si>
    <t>www.lixinger.com/analytics/company/sh/600862/600862/detail</t>
  </si>
  <si>
    <t>ST顺利</t>
  </si>
  <si>
    <t>www.lixinger.com/analytics/company/sz/000606/606/detail</t>
  </si>
  <si>
    <t>祥源新材</t>
  </si>
  <si>
    <t>www.lixinger.com/analytics/company/sz/300980/300980/detail</t>
  </si>
  <si>
    <t>奥联电子</t>
  </si>
  <si>
    <t>www.lixinger.com/analytics/company/sz/300585/300585/detail</t>
  </si>
  <si>
    <t>科汇股份</t>
  </si>
  <si>
    <t>www.lixinger.com/analytics/company/sh/688681/688681/detail</t>
  </si>
  <si>
    <t>*ST全新</t>
  </si>
  <si>
    <t>www.lixinger.com/analytics/company/sz/000007/7/detail</t>
  </si>
  <si>
    <t>鲁阳节能</t>
  </si>
  <si>
    <t>耐火材料</t>
  </si>
  <si>
    <t>www.lixinger.com/analytics/company/sz/002088/2088/detail</t>
  </si>
  <si>
    <t>西仪股份</t>
  </si>
  <si>
    <t>www.lixinger.com/analytics/company/sz/002265/2265/detail</t>
  </si>
  <si>
    <t>北京城乡</t>
  </si>
  <si>
    <t>www.lixinger.com/analytics/company/sh/600861/600861/detail</t>
  </si>
  <si>
    <t>好当家</t>
  </si>
  <si>
    <t>www.lixinger.com/analytics/company/sh/600467/600467/detail</t>
  </si>
  <si>
    <t>东威科技</t>
  </si>
  <si>
    <t>www.lixinger.com/analytics/company/sh/688700/688700/detail</t>
  </si>
  <si>
    <t>ST浩源</t>
  </si>
  <si>
    <t>www.lixinger.com/analytics/company/sz/002700/2700/detail</t>
  </si>
  <si>
    <t>台基股份</t>
  </si>
  <si>
    <t>www.lixinger.com/analytics/company/sz/300046/300046/detail</t>
  </si>
  <si>
    <t>富春股份</t>
  </si>
  <si>
    <t>www.lixinger.com/analytics/company/sz/300299/300299/detail</t>
  </si>
  <si>
    <t>莱尔科技</t>
  </si>
  <si>
    <t>www.lixinger.com/analytics/company/sh/688683/688683/detail</t>
  </si>
  <si>
    <t>艾可蓝</t>
  </si>
  <si>
    <t>www.lixinger.com/analytics/company/sz/300816/300816/detail</t>
  </si>
  <si>
    <t>ST信通</t>
  </si>
  <si>
    <t>www.lixinger.com/analytics/company/sh/600289/600289/detail</t>
  </si>
  <si>
    <t>汉商集团</t>
  </si>
  <si>
    <t>www.lixinger.com/analytics/company/sh/600774/600774/detail</t>
  </si>
  <si>
    <t>好利科技</t>
  </si>
  <si>
    <t>www.lixinger.com/analytics/company/sz/002729/2729/detail</t>
  </si>
  <si>
    <t>交大昂立</t>
  </si>
  <si>
    <t>www.lixinger.com/analytics/company/sh/600530/600530/detail</t>
  </si>
  <si>
    <t>瑞联新材</t>
  </si>
  <si>
    <t>www.lixinger.com/analytics/company/sh/688550/688550/detail</t>
  </si>
  <si>
    <t>桂发祥</t>
  </si>
  <si>
    <t>www.lixinger.com/analytics/company/sz/002820/2820/detail</t>
  </si>
  <si>
    <t>伊戈尔</t>
  </si>
  <si>
    <t>www.lixinger.com/analytics/company/sz/002922/2922/detail</t>
  </si>
  <si>
    <t>达威股份</t>
  </si>
  <si>
    <t>www.lixinger.com/analytics/company/sz/300535/300535/detail</t>
  </si>
  <si>
    <t>金圆股份</t>
  </si>
  <si>
    <t>www.lixinger.com/analytics/company/sz/000546/546/detail</t>
  </si>
  <si>
    <t>焦点科技</t>
  </si>
  <si>
    <t>www.lixinger.com/analytics/company/sz/002315/2315/detail</t>
  </si>
  <si>
    <t>四环生物</t>
  </si>
  <si>
    <t>www.lixinger.com/analytics/company/sz/000518/518/detail</t>
  </si>
  <si>
    <t>星湖科技</t>
  </si>
  <si>
    <t>www.lixinger.com/analytics/company/sh/600866/600866/detail</t>
  </si>
  <si>
    <t>集智股份</t>
  </si>
  <si>
    <t>www.lixinger.com/analytics/company/sz/300553/300553/detail</t>
  </si>
  <si>
    <t>鲍斯股份</t>
  </si>
  <si>
    <t>www.lixinger.com/analytics/company/sz/300441/300441/detail</t>
  </si>
  <si>
    <t>奥维通信</t>
  </si>
  <si>
    <t>www.lixinger.com/analytics/company/sz/002231/2231/detail</t>
  </si>
  <si>
    <t>华嵘控股</t>
  </si>
  <si>
    <t>www.lixinger.com/analytics/company/sh/600421/600421/detail</t>
  </si>
  <si>
    <t>广西广电</t>
  </si>
  <si>
    <t>www.lixinger.com/analytics/company/sh/600936/600936/detail</t>
  </si>
  <si>
    <t>天奈科技</t>
  </si>
  <si>
    <t>www.lixinger.com/analytics/company/sh/688116/688116/detail</t>
  </si>
  <si>
    <t>维康药业</t>
  </si>
  <si>
    <t>www.lixinger.com/analytics/company/sz/300878/300878/detail</t>
  </si>
  <si>
    <t>宝鼎科技</t>
  </si>
  <si>
    <t>www.lixinger.com/analytics/company/sz/002552/2552/detail</t>
  </si>
  <si>
    <t>哈三联</t>
  </si>
  <si>
    <t>www.lixinger.com/analytics/company/sz/002900/2900/detail</t>
  </si>
  <si>
    <t>贵州轮胎</t>
  </si>
  <si>
    <t>www.lixinger.com/analytics/company/sz/000589/589/detail</t>
  </si>
  <si>
    <t>雷曼光电</t>
  </si>
  <si>
    <t>www.lixinger.com/analytics/company/sz/300162/300162/detail</t>
  </si>
  <si>
    <t>金太阳</t>
  </si>
  <si>
    <t>www.lixinger.com/analytics/company/sz/300606/300606/detail</t>
  </si>
  <si>
    <t>*ST科林</t>
  </si>
  <si>
    <t>www.lixinger.com/analytics/company/sz/002499/2499/detail</t>
  </si>
  <si>
    <t>安源煤业</t>
  </si>
  <si>
    <t>www.lixinger.com/analytics/company/sh/600397/600397/detail</t>
  </si>
  <si>
    <t>*ST天首</t>
  </si>
  <si>
    <t>www.lixinger.com/analytics/company/sz/000611/611/detail</t>
  </si>
  <si>
    <t>赛伦生物</t>
  </si>
  <si>
    <t>www.lixinger.com/analytics/company/sh/688163/688163/detail</t>
  </si>
  <si>
    <t>至正股份</t>
  </si>
  <si>
    <t>www.lixinger.com/analytics/company/sh/603991/603991/detail</t>
  </si>
  <si>
    <t>福昕软件</t>
  </si>
  <si>
    <t>www.lixinger.com/analytics/company/sh/688095/688095/detail</t>
  </si>
  <si>
    <t>亚太实业</t>
  </si>
  <si>
    <t>www.lixinger.com/analytics/company/sz/000691/691/detail</t>
  </si>
  <si>
    <t>翔丰华</t>
  </si>
  <si>
    <t>www.lixinger.com/analytics/company/sz/300890/300890/detail</t>
  </si>
  <si>
    <t>米奥会展</t>
  </si>
  <si>
    <t>www.lixinger.com/analytics/company/sz/300795/300795/detail</t>
  </si>
  <si>
    <t>普莱柯</t>
  </si>
  <si>
    <t>www.lixinger.com/analytics/company/sh/603566/603566/detail</t>
  </si>
  <si>
    <t>三角防务</t>
  </si>
  <si>
    <t>www.lixinger.com/analytics/company/sz/300775/300775/detail</t>
  </si>
  <si>
    <t>君禾股份</t>
  </si>
  <si>
    <t>www.lixinger.com/analytics/company/sh/603617/603617/detail</t>
  </si>
  <si>
    <t>财富趋势</t>
  </si>
  <si>
    <t>www.lixinger.com/analytics/company/sh/688318/688318/detail</t>
  </si>
  <si>
    <t>江阴银行</t>
  </si>
  <si>
    <t>www.lixinger.com/analytics/company/sz/002807/2807/detail</t>
  </si>
  <si>
    <t>星华反光</t>
  </si>
  <si>
    <t>www.lixinger.com/analytics/company/sz/301077/301077/detail</t>
  </si>
  <si>
    <t>劲拓股份</t>
  </si>
  <si>
    <t>www.lixinger.com/analytics/company/sz/300400/300400/detail</t>
  </si>
  <si>
    <t>海默科技</t>
  </si>
  <si>
    <t>www.lixinger.com/analytics/company/sz/300084/300084/detail</t>
  </si>
  <si>
    <t>浪莎股份</t>
  </si>
  <si>
    <t>www.lixinger.com/analytics/company/sh/600137/600137/detail</t>
  </si>
  <si>
    <t>沧州明珠</t>
  </si>
  <si>
    <t>www.lixinger.com/analytics/company/sz/002108/2108/detail</t>
  </si>
  <si>
    <t>*ST华资</t>
  </si>
  <si>
    <t>www.lixinger.com/analytics/company/sh/600191/600191/detail</t>
  </si>
  <si>
    <t>中设股份</t>
  </si>
  <si>
    <t>www.lixinger.com/analytics/company/sz/002883/2883/detail</t>
  </si>
  <si>
    <t>深中华A</t>
  </si>
  <si>
    <t>www.lixinger.com/analytics/company/sz/000017/17/detail</t>
  </si>
  <si>
    <t>江化微</t>
  </si>
  <si>
    <t>www.lixinger.com/analytics/company/sh/603078/603078/detail</t>
  </si>
  <si>
    <t>中触媒</t>
  </si>
  <si>
    <t>www.lixinger.com/analytics/company/sh/688267/688267/detail</t>
  </si>
  <si>
    <t>永安林业</t>
  </si>
  <si>
    <t>定制家居</t>
  </si>
  <si>
    <t>www.lixinger.com/analytics/company/sz/000663/663/detail</t>
  </si>
  <si>
    <t>华体科技</t>
  </si>
  <si>
    <t>www.lixinger.com/analytics/company/sh/603679/603679/detail</t>
  </si>
  <si>
    <t>新光光电</t>
  </si>
  <si>
    <t>www.lixinger.com/analytics/company/sh/688011/688011/detail</t>
  </si>
  <si>
    <t>芯朋微</t>
  </si>
  <si>
    <t>www.lixinger.com/analytics/company/sh/688508/688508/detail</t>
  </si>
  <si>
    <t>祖名股份</t>
  </si>
  <si>
    <t>www.lixinger.com/analytics/company/sz/003030/3030/detail</t>
  </si>
  <si>
    <t>*ST绿庭</t>
  </si>
  <si>
    <t>www.lixinger.com/analytics/company/sh/600695/600695/detail</t>
  </si>
  <si>
    <t>中亚股份</t>
  </si>
  <si>
    <t>www.lixinger.com/analytics/company/sz/300512/300512/detail</t>
  </si>
  <si>
    <t>四方光电</t>
  </si>
  <si>
    <t>www.lixinger.com/analytics/company/sh/688665/688665/detail</t>
  </si>
  <si>
    <t>惠博普</t>
  </si>
  <si>
    <t>www.lixinger.com/analytics/company/sz/002554/2554/detail</t>
  </si>
  <si>
    <t>万里股份</t>
  </si>
  <si>
    <t>www.lixinger.com/analytics/company/sh/600847/600847/detail</t>
  </si>
  <si>
    <t>*ST园城</t>
  </si>
  <si>
    <t>www.lixinger.com/analytics/company/sh/600766/600766/detail</t>
  </si>
  <si>
    <t>八亿时空</t>
  </si>
  <si>
    <t>www.lixinger.com/analytics/company/sh/688181/688181/detail</t>
  </si>
  <si>
    <t>每日互动</t>
  </si>
  <si>
    <t>www.lixinger.com/analytics/company/sz/300766/300766/detail</t>
  </si>
  <si>
    <t>亚太药业</t>
  </si>
  <si>
    <t>www.lixinger.com/analytics/company/sz/002370/2370/detail</t>
  </si>
  <si>
    <t>争光股份</t>
  </si>
  <si>
    <t>www.lixinger.com/analytics/company/sz/301092/301092/detail</t>
  </si>
  <si>
    <t>沃尔德</t>
  </si>
  <si>
    <t>www.lixinger.com/analytics/company/sh/688028/688028/detail</t>
  </si>
  <si>
    <t>开尔新材</t>
  </si>
  <si>
    <t>www.lixinger.com/analytics/company/sz/300234/300234/detail</t>
  </si>
  <si>
    <t>祥生医疗</t>
  </si>
  <si>
    <t>www.lixinger.com/analytics/company/sh/688358/688358/detail</t>
  </si>
  <si>
    <t>英联股份</t>
  </si>
  <si>
    <t>www.lixinger.com/analytics/company/sz/002846/2846/detail</t>
  </si>
  <si>
    <t>*ST宝德</t>
  </si>
  <si>
    <t>www.lixinger.com/analytics/company/sz/300023/300023/detail</t>
  </si>
  <si>
    <t>格科微</t>
  </si>
  <si>
    <t>www.lixinger.com/analytics/company/sh/688728/688728/detail</t>
  </si>
  <si>
    <t>ST北文</t>
  </si>
  <si>
    <t>www.lixinger.com/analytics/company/sz/000802/802/detail</t>
  </si>
  <si>
    <t>东方证券</t>
  </si>
  <si>
    <t>www.lixinger.com/analytics/company/sh/600958/600958/detail</t>
  </si>
  <si>
    <t>思进智能</t>
  </si>
  <si>
    <t>www.lixinger.com/analytics/company/sz/003025/3025/detail</t>
  </si>
  <si>
    <t>凤形股份</t>
  </si>
  <si>
    <t>www.lixinger.com/analytics/company/sz/002760/2760/detail</t>
  </si>
  <si>
    <t>搜于特</t>
  </si>
  <si>
    <t>www.lixinger.com/analytics/company/sz/002503/2503/detail</t>
  </si>
  <si>
    <t>嘉麟杰</t>
  </si>
  <si>
    <t>www.lixinger.com/analytics/company/sz/002486/2486/detail</t>
  </si>
  <si>
    <t>青海华鼎</t>
  </si>
  <si>
    <t>www.lixinger.com/analytics/company/sh/600243/600243/detail</t>
  </si>
  <si>
    <t>金道科技</t>
  </si>
  <si>
    <t>www.lixinger.com/analytics/company/sz/301279/301279/detail</t>
  </si>
  <si>
    <t>龙津药业</t>
  </si>
  <si>
    <t>www.lixinger.com/analytics/company/sz/002750/2750/detail</t>
  </si>
  <si>
    <t>湘佳股份</t>
  </si>
  <si>
    <t>www.lixinger.com/analytics/company/sz/002982/2982/detail</t>
  </si>
  <si>
    <t>大港股份</t>
  </si>
  <si>
    <t>www.lixinger.com/analytics/company/sz/002077/2077/detail</t>
  </si>
  <si>
    <t>富邦股份</t>
  </si>
  <si>
    <t>www.lixinger.com/analytics/company/sz/300387/300387/detail</t>
  </si>
  <si>
    <t>科兴制药</t>
  </si>
  <si>
    <t>www.lixinger.com/analytics/company/sh/688136/688136/detail</t>
  </si>
  <si>
    <t>金雷股份</t>
  </si>
  <si>
    <t>www.lixinger.com/analytics/company/sz/300443/300443/detail</t>
  </si>
  <si>
    <t>中捷精工</t>
  </si>
  <si>
    <t>www.lixinger.com/analytics/company/sz/301072/301072/detail</t>
  </si>
  <si>
    <t>日盈电子</t>
  </si>
  <si>
    <t>www.lixinger.com/analytics/company/sh/603286/603286/detail</t>
  </si>
  <si>
    <t>联得装备</t>
  </si>
  <si>
    <t>www.lixinger.com/analytics/company/sz/300545/300545/detail</t>
  </si>
  <si>
    <t>理工导航</t>
  </si>
  <si>
    <t>www.lixinger.com/analytics/company/sh/688282/688282/detail</t>
  </si>
  <si>
    <t>中旗新材</t>
  </si>
  <si>
    <t>www.lixinger.com/analytics/company/sz/001212/1212/detail</t>
  </si>
  <si>
    <t>当代文体</t>
  </si>
  <si>
    <t>www.lixinger.com/analytics/company/sh/600136/600136/detail</t>
  </si>
  <si>
    <t>国际实业</t>
  </si>
  <si>
    <t>www.lixinger.com/analytics/company/sz/000159/159/detail</t>
  </si>
  <si>
    <t>鹏鹞环保</t>
  </si>
  <si>
    <t>www.lixinger.com/analytics/company/sz/300664/300664/detail</t>
  </si>
  <si>
    <t>清研环境</t>
  </si>
  <si>
    <t>www.lixinger.com/analytics/company/sz/301288/301288/detail</t>
  </si>
  <si>
    <t>海南高速</t>
  </si>
  <si>
    <t>www.lixinger.com/analytics/company/sz/000886/886/detail</t>
  </si>
  <si>
    <t>华蓝集团</t>
  </si>
  <si>
    <t>www.lixinger.com/analytics/company/sz/301027/301027/detail</t>
  </si>
  <si>
    <t>文一科技</t>
  </si>
  <si>
    <t>www.lixinger.com/analytics/company/sh/600520/600520/detail</t>
  </si>
  <si>
    <t>日月明</t>
  </si>
  <si>
    <t>www.lixinger.com/analytics/company/sz/300906/300906/detail</t>
  </si>
  <si>
    <t>深中华B</t>
  </si>
  <si>
    <t>www.lixinger.com/analytics/company/sz/200017/200017/detail</t>
  </si>
  <si>
    <t>中熔电气</t>
  </si>
  <si>
    <t>www.lixinger.com/analytics/company/sz/301031/301031/detail</t>
  </si>
  <si>
    <t>世联行</t>
  </si>
  <si>
    <t>www.lixinger.com/analytics/company/sz/002285/2285/detail</t>
  </si>
  <si>
    <t>*ST节能</t>
  </si>
  <si>
    <t>www.lixinger.com/analytics/company/sz/000820/820/detail</t>
  </si>
  <si>
    <t>中大力德</t>
  </si>
  <si>
    <t>www.lixinger.com/analytics/company/sz/002896/2896/detail</t>
  </si>
  <si>
    <t>*ST金洲</t>
  </si>
  <si>
    <t>www.lixinger.com/analytics/company/sz/000587/587/detail</t>
  </si>
  <si>
    <t>苏奥传感</t>
  </si>
  <si>
    <t>www.lixinger.com/analytics/company/sz/300507/300507/detail</t>
  </si>
  <si>
    <t>先锋新材</t>
  </si>
  <si>
    <t>www.lixinger.com/analytics/company/sz/300163/300163/detail</t>
  </si>
  <si>
    <t>圣达生物</t>
  </si>
  <si>
    <t>www.lixinger.com/analytics/company/sh/603079/603079/detail</t>
  </si>
  <si>
    <t>银河电子</t>
  </si>
  <si>
    <t>www.lixinger.com/analytics/company/sz/002519/2519/detail</t>
  </si>
  <si>
    <t>ST榕泰</t>
  </si>
  <si>
    <t>www.lixinger.com/analytics/company/sh/600589/600589/detail</t>
  </si>
  <si>
    <t>中欣氟材</t>
  </si>
  <si>
    <t>www.lixinger.com/analytics/company/sz/002915/2915/detail</t>
  </si>
  <si>
    <t>湖南海利</t>
  </si>
  <si>
    <t>www.lixinger.com/analytics/company/sh/600731/600731/detail</t>
  </si>
  <si>
    <t>光庭信息</t>
  </si>
  <si>
    <t>www.lixinger.com/analytics/company/sz/301221/301221/detail</t>
  </si>
  <si>
    <t>长江材料</t>
  </si>
  <si>
    <t>www.lixinger.com/analytics/company/sz/001296/1296/detail</t>
  </si>
  <si>
    <t>翔鹭钨业</t>
  </si>
  <si>
    <t>钨</t>
  </si>
  <si>
    <t>www.lixinger.com/analytics/company/sz/002842/2842/detail</t>
  </si>
  <si>
    <t>佳力图</t>
  </si>
  <si>
    <t>www.lixinger.com/analytics/company/sh/603912/603912/detail</t>
  </si>
  <si>
    <t>川网传媒</t>
  </si>
  <si>
    <t>www.lixinger.com/analytics/company/sz/300987/300987/detail</t>
  </si>
  <si>
    <t>克来机电</t>
  </si>
  <si>
    <t>www.lixinger.com/analytics/company/sh/603960/603960/detail</t>
  </si>
  <si>
    <t>金时科技</t>
  </si>
  <si>
    <t>www.lixinger.com/analytics/company/sz/002951/2951/detail</t>
  </si>
  <si>
    <t>东江环保</t>
  </si>
  <si>
    <t>www.lixinger.com/analytics/company/sz/002672/2672/detail</t>
  </si>
  <si>
    <t>南大光电</t>
  </si>
  <si>
    <t>www.lixinger.com/analytics/company/sz/300346/300346/detail</t>
  </si>
  <si>
    <t>众信旅游</t>
  </si>
  <si>
    <t>www.lixinger.com/analytics/company/sz/002707/2707/detail</t>
  </si>
  <si>
    <t>蔚蓝生物</t>
  </si>
  <si>
    <t>www.lixinger.com/analytics/company/sh/603739/603739/detail</t>
  </si>
  <si>
    <t>秀强股份</t>
  </si>
  <si>
    <t>www.lixinger.com/analytics/company/sz/300160/300160/detail</t>
  </si>
  <si>
    <t>炬申股份</t>
  </si>
  <si>
    <t>原材料供应链服务</t>
  </si>
  <si>
    <t>www.lixinger.com/analytics/company/sz/001202/1202/detail</t>
  </si>
  <si>
    <t>万里马</t>
  </si>
  <si>
    <t>www.lixinger.com/analytics/company/sz/300591/300591/detail</t>
  </si>
  <si>
    <t>可立克</t>
  </si>
  <si>
    <t>www.lixinger.com/analytics/company/sz/002782/2782/detail</t>
  </si>
  <si>
    <t>欣天科技</t>
  </si>
  <si>
    <t>www.lixinger.com/analytics/company/sz/300615/300615/detail</t>
  </si>
  <si>
    <t>拉芳家化</t>
  </si>
  <si>
    <t>www.lixinger.com/analytics/company/sh/603630/603630/detail</t>
  </si>
  <si>
    <t>长江通信</t>
  </si>
  <si>
    <t>www.lixinger.com/analytics/company/sh/600345/600345/detail</t>
  </si>
  <si>
    <t>宇顺电子</t>
  </si>
  <si>
    <t>www.lixinger.com/analytics/company/sz/002289/2289/detail</t>
  </si>
  <si>
    <t>和顺科技</t>
  </si>
  <si>
    <t>www.lixinger.com/analytics/company/sz/301237/301237/detail</t>
  </si>
  <si>
    <t>华鹏飞</t>
  </si>
  <si>
    <t>www.lixinger.com/analytics/company/sz/300350/300350/detail</t>
  </si>
  <si>
    <t>天威视讯</t>
  </si>
  <si>
    <t>www.lixinger.com/analytics/company/sz/002238/2238/detail</t>
  </si>
  <si>
    <t>新兴装备</t>
  </si>
  <si>
    <t>www.lixinger.com/analytics/company/sz/002933/2933/detail</t>
  </si>
  <si>
    <t>康斯特</t>
  </si>
  <si>
    <t>www.lixinger.com/analytics/company/sz/300445/300445/detail</t>
  </si>
  <si>
    <t>邵阳液压</t>
  </si>
  <si>
    <t>www.lixinger.com/analytics/company/sz/301079/301079/detail</t>
  </si>
  <si>
    <t>新华联</t>
  </si>
  <si>
    <t>www.lixinger.com/analytics/company/sz/000620/620/detail</t>
  </si>
  <si>
    <t>海汽集团</t>
  </si>
  <si>
    <t>www.lixinger.com/analytics/company/sh/603069/603069/detail</t>
  </si>
  <si>
    <t>*ST景谷</t>
  </si>
  <si>
    <t>www.lixinger.com/analytics/company/sh/600265/600265/detail</t>
  </si>
  <si>
    <t>兆威机电</t>
  </si>
  <si>
    <t>www.lixinger.com/analytics/company/sz/003021/3021/detail</t>
  </si>
  <si>
    <t>泛海控股</t>
  </si>
  <si>
    <t>www.lixinger.com/analytics/company/sz/000046/46/detail</t>
  </si>
  <si>
    <t>三特索道</t>
  </si>
  <si>
    <t>自然景区</t>
  </si>
  <si>
    <t>www.lixinger.com/analytics/company/sz/002159/2159/detail</t>
  </si>
  <si>
    <t>恒盛能源</t>
  </si>
  <si>
    <t>www.lixinger.com/analytics/company/sh/605580/605580/detail</t>
  </si>
  <si>
    <t>青木股份</t>
  </si>
  <si>
    <t>www.lixinger.com/analytics/company/sz/301110/301110/detail</t>
  </si>
  <si>
    <t>*ST百花</t>
  </si>
  <si>
    <t>www.lixinger.com/analytics/company/sh/600721/600721/detail</t>
  </si>
  <si>
    <t>莱美药业</t>
  </si>
  <si>
    <t>www.lixinger.com/analytics/company/sz/300006/300006/detail</t>
  </si>
  <si>
    <t>泰坦股份</t>
  </si>
  <si>
    <t>www.lixinger.com/analytics/company/sz/003036/3036/detail</t>
  </si>
  <si>
    <t>和顺电气</t>
  </si>
  <si>
    <t>www.lixinger.com/analytics/company/sz/300141/300141/detail</t>
  </si>
  <si>
    <t>*ST西域</t>
  </si>
  <si>
    <t>www.lixinger.com/analytics/company/sz/300859/300859/detail</t>
  </si>
  <si>
    <t>读客文化</t>
  </si>
  <si>
    <t>www.lixinger.com/analytics/company/sz/301025/301025/detail</t>
  </si>
  <si>
    <t>*ST明科</t>
  </si>
  <si>
    <t>www.lixinger.com/analytics/company/sh/600091/600091/detail</t>
  </si>
  <si>
    <t>同兴环保</t>
  </si>
  <si>
    <t>www.lixinger.com/analytics/company/sz/003027/3027/detail</t>
  </si>
  <si>
    <t>宜安科技</t>
  </si>
  <si>
    <t>www.lixinger.com/analytics/company/sz/300328/300328/detail</t>
  </si>
  <si>
    <t>德林海</t>
  </si>
  <si>
    <t>www.lixinger.com/analytics/company/sh/688069/688069/detail</t>
  </si>
  <si>
    <t>腾信股份</t>
  </si>
  <si>
    <t>www.lixinger.com/analytics/company/sz/300392/300392/detail</t>
  </si>
  <si>
    <t>广哈通信</t>
  </si>
  <si>
    <t>www.lixinger.com/analytics/company/sz/300711/300711/detail</t>
  </si>
  <si>
    <t>ST新城</t>
  </si>
  <si>
    <t>www.lixinger.com/analytics/company/sz/000809/809/detail</t>
  </si>
  <si>
    <t>恒润股份</t>
  </si>
  <si>
    <t>www.lixinger.com/analytics/company/sh/603985/603985/detail</t>
  </si>
  <si>
    <t>金利华电</t>
  </si>
  <si>
    <t>www.lixinger.com/analytics/company/sz/300069/300069/detail</t>
  </si>
  <si>
    <t>爱科科技</t>
  </si>
  <si>
    <t>www.lixinger.com/analytics/company/sh/688092/688092/detail</t>
  </si>
  <si>
    <t>立方数科</t>
  </si>
  <si>
    <t>www.lixinger.com/analytics/company/sz/300344/300344/detail</t>
  </si>
  <si>
    <t>泰嘉股份</t>
  </si>
  <si>
    <t>www.lixinger.com/analytics/company/sz/002843/2843/detail</t>
  </si>
  <si>
    <t>奥福环保</t>
  </si>
  <si>
    <t>www.lixinger.com/analytics/company/sh/688021/688021/detail</t>
  </si>
  <si>
    <t>麦趣尔</t>
  </si>
  <si>
    <t>www.lixinger.com/analytics/company/sz/002719/2719/detail</t>
  </si>
  <si>
    <t>景业智能</t>
  </si>
  <si>
    <t>www.lixinger.com/analytics/company/sh/688290/688290/detail</t>
  </si>
  <si>
    <t>阿石创</t>
  </si>
  <si>
    <t>www.lixinger.com/analytics/company/sz/300706/300706/detail</t>
  </si>
  <si>
    <t>嘉欣丝绸</t>
  </si>
  <si>
    <t>www.lixinger.com/analytics/company/sz/002404/2404/detail</t>
  </si>
  <si>
    <t>*ST中潜</t>
  </si>
  <si>
    <t>www.lixinger.com/analytics/company/sz/300526/300526/detail</t>
  </si>
  <si>
    <t>协和电子</t>
  </si>
  <si>
    <t>www.lixinger.com/analytics/company/sh/605258/605258/detail</t>
  </si>
  <si>
    <t>大地海洋</t>
  </si>
  <si>
    <t>www.lixinger.com/analytics/company/sz/301068/301068/detail</t>
  </si>
  <si>
    <t>格林达</t>
  </si>
  <si>
    <t>www.lixinger.com/analytics/company/sh/603931/603931/detail</t>
  </si>
  <si>
    <t>大富科技</t>
  </si>
  <si>
    <t>www.lixinger.com/analytics/company/sz/300134/300134/detail</t>
  </si>
  <si>
    <t>汇金科技</t>
  </si>
  <si>
    <t>www.lixinger.com/analytics/company/sz/300561/300561/detail</t>
  </si>
  <si>
    <t>成飞集成</t>
  </si>
  <si>
    <t>www.lixinger.com/analytics/company/sz/002190/2190/detail</t>
  </si>
  <si>
    <t>恒宇信通</t>
  </si>
  <si>
    <t>www.lixinger.com/analytics/company/sz/300965/300965/detail</t>
  </si>
  <si>
    <t>长江投资</t>
  </si>
  <si>
    <t>www.lixinger.com/analytics/company/sh/600119/600119/detail</t>
  </si>
  <si>
    <t>国星光电</t>
  </si>
  <si>
    <t>www.lixinger.com/analytics/company/sz/002449/2449/detail</t>
  </si>
  <si>
    <t>瀚川智能</t>
  </si>
  <si>
    <t>www.lixinger.com/analytics/company/sh/688022/688022/detail</t>
  </si>
  <si>
    <t>镇洋发展</t>
  </si>
  <si>
    <t>www.lixinger.com/analytics/company/sh/603213/603213/detail</t>
  </si>
  <si>
    <t>ST星源</t>
  </si>
  <si>
    <t>www.lixinger.com/analytics/company/sz/000005/5/detail</t>
  </si>
  <si>
    <t>新元科技</t>
  </si>
  <si>
    <t>www.lixinger.com/analytics/company/sz/300472/300472/detail</t>
  </si>
  <si>
    <t>科思股份</t>
  </si>
  <si>
    <t>www.lixinger.com/analytics/company/sz/300856/300856/detail</t>
  </si>
  <si>
    <t>康强电子</t>
  </si>
  <si>
    <t>www.lixinger.com/analytics/company/sz/002119/2119/detail</t>
  </si>
  <si>
    <t>方直科技</t>
  </si>
  <si>
    <t>www.lixinger.com/analytics/company/sz/300235/300235/detail</t>
  </si>
  <si>
    <t>坤恒顺维</t>
  </si>
  <si>
    <t>www.lixinger.com/analytics/company/sh/688283/688283/detail</t>
  </si>
  <si>
    <t>棒杰股份</t>
  </si>
  <si>
    <t>www.lixinger.com/analytics/company/sz/002634/2634/detail</t>
  </si>
  <si>
    <t>阿拉丁</t>
  </si>
  <si>
    <t>www.lixinger.com/analytics/company/sh/688179/688179/detail</t>
  </si>
  <si>
    <t>华辰装备</t>
  </si>
  <si>
    <t>www.lixinger.com/analytics/company/sz/300809/300809/detail</t>
  </si>
  <si>
    <t>盛路通信</t>
  </si>
  <si>
    <t>www.lixinger.com/analytics/company/sz/002446/2446/detail</t>
  </si>
  <si>
    <t>智云股份</t>
  </si>
  <si>
    <t>www.lixinger.com/analytics/company/sz/300097/300097/detail</t>
  </si>
  <si>
    <t>*ST游久</t>
  </si>
  <si>
    <t>www.lixinger.com/analytics/company/sh/600652/600652/detail</t>
  </si>
  <si>
    <t>兴图新科</t>
  </si>
  <si>
    <t>www.lixinger.com/analytics/company/sh/688081/688081/detail</t>
  </si>
  <si>
    <t>华阳新材</t>
  </si>
  <si>
    <t>www.lixinger.com/analytics/company/sh/600281/600281/detail</t>
  </si>
  <si>
    <t>金沃股份</t>
  </si>
  <si>
    <t>www.lixinger.com/analytics/company/sz/300984/300984/detail</t>
  </si>
  <si>
    <t>三利谱</t>
  </si>
  <si>
    <t>www.lixinger.com/analytics/company/sz/002876/2876/detail</t>
  </si>
  <si>
    <t>双象股份</t>
  </si>
  <si>
    <t>www.lixinger.com/analytics/company/sz/002395/2395/detail</t>
  </si>
  <si>
    <t>锦江在线</t>
  </si>
  <si>
    <t>www.lixinger.com/analytics/company/sh/600650/600650/detail</t>
  </si>
  <si>
    <t>凯马Ｂ</t>
  </si>
  <si>
    <t>www.lixinger.com/analytics/company/sh/900953/900953/detail</t>
  </si>
  <si>
    <t>天房发展</t>
  </si>
  <si>
    <t>www.lixinger.com/analytics/company/sh/600322/600322/detail</t>
  </si>
  <si>
    <t>东亚药业</t>
  </si>
  <si>
    <t>www.lixinger.com/analytics/company/sh/605177/605177/detail</t>
  </si>
  <si>
    <t>开勒股份</t>
  </si>
  <si>
    <t>www.lixinger.com/analytics/company/sz/301070/301070/detail</t>
  </si>
  <si>
    <t>迪森股份</t>
  </si>
  <si>
    <t>www.lixinger.com/analytics/company/sz/300335/300335/detail</t>
  </si>
  <si>
    <t>博瑞传播</t>
  </si>
  <si>
    <t>学历教育</t>
  </si>
  <si>
    <t>www.lixinger.com/analytics/company/sh/600880/600880/detail</t>
  </si>
  <si>
    <t>香雪制药</t>
  </si>
  <si>
    <t>www.lixinger.com/analytics/company/sz/300147/300147/detail</t>
  </si>
  <si>
    <t>亿利达</t>
  </si>
  <si>
    <t>www.lixinger.com/analytics/company/sz/002686/2686/detail</t>
  </si>
  <si>
    <t>ST九有</t>
  </si>
  <si>
    <t>www.lixinger.com/analytics/company/sh/600462/600462/detail</t>
  </si>
  <si>
    <t>智洋创新</t>
  </si>
  <si>
    <t>www.lixinger.com/analytics/company/sh/688191/688191/detail</t>
  </si>
  <si>
    <t>金百泽</t>
  </si>
  <si>
    <t>www.lixinger.com/analytics/company/sz/301041/301041/detail</t>
  </si>
  <si>
    <t>东华测试</t>
  </si>
  <si>
    <t>www.lixinger.com/analytics/company/sz/300354/300354/detail</t>
  </si>
  <si>
    <t>新国脉</t>
  </si>
  <si>
    <t>视频媒体</t>
  </si>
  <si>
    <t>www.lixinger.com/analytics/company/sh/600640/600640/detail</t>
  </si>
  <si>
    <t>云涌科技</t>
  </si>
  <si>
    <t>www.lixinger.com/analytics/company/sh/688060/688060/detail</t>
  </si>
  <si>
    <t>*ST威尔</t>
  </si>
  <si>
    <t>www.lixinger.com/analytics/company/sz/002058/2058/detail</t>
  </si>
  <si>
    <t>双成药业</t>
  </si>
  <si>
    <t>www.lixinger.com/analytics/company/sz/002693/2693/detail</t>
  </si>
  <si>
    <t>耀皮玻璃</t>
  </si>
  <si>
    <t>www.lixinger.com/analytics/company/sh/600819/600819/detail</t>
  </si>
  <si>
    <t>合兴股份</t>
  </si>
  <si>
    <t>www.lixinger.com/analytics/company/sh/605005/605005/detail</t>
  </si>
  <si>
    <t>朝阳科技</t>
  </si>
  <si>
    <t>www.lixinger.com/analytics/company/sz/002981/2981/detail</t>
  </si>
  <si>
    <t>亚世光电</t>
  </si>
  <si>
    <t>www.lixinger.com/analytics/company/sz/002952/2952/detail</t>
  </si>
  <si>
    <t>银河磁体</t>
  </si>
  <si>
    <t>www.lixinger.com/analytics/company/sz/300127/300127/detail</t>
  </si>
  <si>
    <t>科威尔</t>
  </si>
  <si>
    <t>www.lixinger.com/analytics/company/sh/688551/688551/detail</t>
  </si>
  <si>
    <t>广联航空</t>
  </si>
  <si>
    <t>www.lixinger.com/analytics/company/sz/300900/300900/detail</t>
  </si>
  <si>
    <t>榕基软件</t>
  </si>
  <si>
    <t>www.lixinger.com/analytics/company/sz/002474/2474/detail</t>
  </si>
  <si>
    <t>多瑞医药</t>
  </si>
  <si>
    <t>www.lixinger.com/analytics/company/sz/301075/301075/detail</t>
  </si>
  <si>
    <t>仁智股份</t>
  </si>
  <si>
    <t>www.lixinger.com/analytics/company/sz/002629/2629/detail</t>
  </si>
  <si>
    <t>天地数码</t>
  </si>
  <si>
    <t>www.lixinger.com/analytics/company/sz/300743/300743/detail</t>
  </si>
  <si>
    <t>宁波富邦</t>
  </si>
  <si>
    <t>www.lixinger.com/analytics/company/sh/600768/600768/detail</t>
  </si>
  <si>
    <t>移远通信</t>
  </si>
  <si>
    <t>www.lixinger.com/analytics/company/sh/603236/603236/detail</t>
  </si>
  <si>
    <t>特力Ａ</t>
  </si>
  <si>
    <t>www.lixinger.com/analytics/company/sz/000025/25/detail</t>
  </si>
  <si>
    <t>乐歌股份</t>
  </si>
  <si>
    <t>www.lixinger.com/analytics/company/sz/300729/300729/detail</t>
  </si>
  <si>
    <t>三夫户外</t>
  </si>
  <si>
    <t>运动服装</t>
  </si>
  <si>
    <t>www.lixinger.com/analytics/company/sz/002780/2780/detail</t>
  </si>
  <si>
    <t>红墙股份</t>
  </si>
  <si>
    <t>www.lixinger.com/analytics/company/sz/002809/2809/detail</t>
  </si>
  <si>
    <t>鲁泰Ａ</t>
  </si>
  <si>
    <t>www.lixinger.com/analytics/company/sz/000726/726/detail</t>
  </si>
  <si>
    <t>回盛生物</t>
  </si>
  <si>
    <t>www.lixinger.com/analytics/company/sz/300871/300871/detail</t>
  </si>
  <si>
    <t>浙矿股份</t>
  </si>
  <si>
    <t>www.lixinger.com/analytics/company/sz/300837/300837/detail</t>
  </si>
  <si>
    <t>证通电子</t>
  </si>
  <si>
    <t>www.lixinger.com/analytics/company/sz/002197/2197/detail</t>
  </si>
  <si>
    <t>退市拉夏</t>
  </si>
  <si>
    <t>www.lixinger.com/analytics/company/sh/603157/603157/detail</t>
  </si>
  <si>
    <t>百利科技</t>
  </si>
  <si>
    <t>www.lixinger.com/analytics/company/sh/603959/603959/detail</t>
  </si>
  <si>
    <t>迪威尔</t>
  </si>
  <si>
    <t>www.lixinger.com/analytics/company/sh/688377/688377/detail</t>
  </si>
  <si>
    <t>中洲特材</t>
  </si>
  <si>
    <t>www.lixinger.com/analytics/company/sz/300963/300963/detail</t>
  </si>
  <si>
    <t>美力科技</t>
  </si>
  <si>
    <t>www.lixinger.com/analytics/company/sz/300611/300611/detail</t>
  </si>
  <si>
    <t>*ST天成</t>
  </si>
  <si>
    <t>www.lixinger.com/analytics/company/sh/600112/600112/detail</t>
  </si>
  <si>
    <t>宝通科技</t>
  </si>
  <si>
    <t>www.lixinger.com/analytics/company/sz/300031/300031/detail</t>
  </si>
  <si>
    <t>蔚蓝锂芯</t>
  </si>
  <si>
    <t>www.lixinger.com/analytics/company/sz/002245/2245/detail</t>
  </si>
  <si>
    <t>科大智能</t>
  </si>
  <si>
    <t>www.lixinger.com/analytics/company/sz/300222/300222/detail</t>
  </si>
  <si>
    <t>喜悦智行</t>
  </si>
  <si>
    <t>www.lixinger.com/analytics/company/sz/301198/301198/detail</t>
  </si>
  <si>
    <t>三德科技</t>
  </si>
  <si>
    <t>www.lixinger.com/analytics/company/sz/300515/300515/detail</t>
  </si>
  <si>
    <t>新余国科</t>
  </si>
  <si>
    <t>www.lixinger.com/analytics/company/sz/300722/300722/detail</t>
  </si>
  <si>
    <t>保力新</t>
  </si>
  <si>
    <t>www.lixinger.com/analytics/company/sz/300116/300116/detail</t>
  </si>
  <si>
    <t>坤彩科技</t>
  </si>
  <si>
    <t>www.lixinger.com/analytics/company/sh/603826/603826/detail</t>
  </si>
  <si>
    <t>泰禾智能</t>
  </si>
  <si>
    <t>www.lixinger.com/analytics/company/sh/603656/603656/detail</t>
  </si>
  <si>
    <t>敦煌种业</t>
  </si>
  <si>
    <t>www.lixinger.com/analytics/company/sh/600354/600354/detail</t>
  </si>
  <si>
    <t>微光股份</t>
  </si>
  <si>
    <t>www.lixinger.com/analytics/company/sz/002801/2801/detail</t>
  </si>
  <si>
    <t>森赫股份</t>
  </si>
  <si>
    <t>www.lixinger.com/analytics/company/sz/301056/301056/detail</t>
  </si>
  <si>
    <t>*ST西水</t>
  </si>
  <si>
    <t>www.lixinger.com/analytics/company/sh/600291/600291/detail</t>
  </si>
  <si>
    <t>百胜智能</t>
  </si>
  <si>
    <t>www.lixinger.com/analytics/company/sz/301083/301083/detail</t>
  </si>
  <si>
    <t>安妮股份</t>
  </si>
  <si>
    <t>www.lixinger.com/analytics/company/sz/002235/2235/detail</t>
  </si>
  <si>
    <t>鸥玛软件</t>
  </si>
  <si>
    <t>www.lixinger.com/analytics/company/sz/301185/301185/detail</t>
  </si>
  <si>
    <t>复旦张江</t>
  </si>
  <si>
    <t>www.lixinger.com/analytics/company/sh/688505/688505/detail</t>
  </si>
  <si>
    <t>华生科技</t>
  </si>
  <si>
    <t>www.lixinger.com/analytics/company/sh/605180/605180/detail</t>
  </si>
  <si>
    <t>西王食品</t>
  </si>
  <si>
    <t>www.lixinger.com/analytics/company/sz/000639/639/detail</t>
  </si>
  <si>
    <t>开开实业</t>
  </si>
  <si>
    <t>www.lixinger.com/analytics/company/sh/600272/600272/detail</t>
  </si>
  <si>
    <t>正帆科技</t>
  </si>
  <si>
    <t>www.lixinger.com/analytics/company/sh/688596/688596/detail</t>
  </si>
  <si>
    <t>林海股份</t>
  </si>
  <si>
    <t>www.lixinger.com/analytics/company/sh/600099/600099/detail</t>
  </si>
  <si>
    <t>*ST中房</t>
  </si>
  <si>
    <t>www.lixinger.com/analytics/company/sh/600890/600890/detail</t>
  </si>
  <si>
    <t>春晖智控</t>
  </si>
  <si>
    <t>www.lixinger.com/analytics/company/sz/300943/300943/detail</t>
  </si>
  <si>
    <t>摩恩电气</t>
  </si>
  <si>
    <t>www.lixinger.com/analytics/company/sz/002451/2451/detail</t>
  </si>
  <si>
    <t>华立股份</t>
  </si>
  <si>
    <t>www.lixinger.com/analytics/company/sh/603038/603038/detail</t>
  </si>
  <si>
    <t>呈和科技</t>
  </si>
  <si>
    <t>www.lixinger.com/analytics/company/sh/688625/688625/detail</t>
  </si>
  <si>
    <t>会稽山</t>
  </si>
  <si>
    <t>www.lixinger.com/analytics/company/sh/601579/601579/detail</t>
  </si>
  <si>
    <t>润欣科技</t>
  </si>
  <si>
    <t>www.lixinger.com/analytics/company/sz/300493/300493/detail</t>
  </si>
  <si>
    <t>新华制药</t>
  </si>
  <si>
    <t>www.lixinger.com/analytics/company/sz/000756/756/detail</t>
  </si>
  <si>
    <t>纽泰格</t>
  </si>
  <si>
    <t>www.lixinger.com/analytics/company/sz/301229/301229/detail</t>
  </si>
  <si>
    <t>东亚机械</t>
  </si>
  <si>
    <t>www.lixinger.com/analytics/company/sz/301028/301028/detail</t>
  </si>
  <si>
    <t>戴维医疗</t>
  </si>
  <si>
    <t>www.lixinger.com/analytics/company/sz/300314/300314/detail</t>
  </si>
  <si>
    <t>ST新研</t>
  </si>
  <si>
    <t>www.lixinger.com/analytics/company/sz/300159/300159/detail</t>
  </si>
  <si>
    <t>明冠新材</t>
  </si>
  <si>
    <t>www.lixinger.com/analytics/company/sh/688560/688560/detail</t>
  </si>
  <si>
    <t>如意集团</t>
  </si>
  <si>
    <t>www.lixinger.com/analytics/company/sz/002193/2193/detail</t>
  </si>
  <si>
    <t>上海洗霸</t>
  </si>
  <si>
    <t>www.lixinger.com/analytics/company/sh/603200/603200/detail</t>
  </si>
  <si>
    <t>睿能科技</t>
  </si>
  <si>
    <t>www.lixinger.com/analytics/company/sh/603933/603933/detail</t>
  </si>
  <si>
    <t>研奥股份</t>
  </si>
  <si>
    <t>www.lixinger.com/analytics/company/sz/300923/300923/detail</t>
  </si>
  <si>
    <t>中南文化</t>
  </si>
  <si>
    <t>www.lixinger.com/analytics/company/sz/002445/2445/detail</t>
  </si>
  <si>
    <t>大烨智能</t>
  </si>
  <si>
    <t>www.lixinger.com/analytics/company/sz/300670/300670/detail</t>
  </si>
  <si>
    <t>创业黑马</t>
  </si>
  <si>
    <t>www.lixinger.com/analytics/company/sz/300688/300688/detail</t>
  </si>
  <si>
    <t>三超新材</t>
  </si>
  <si>
    <t>www.lixinger.com/analytics/company/sz/300554/300554/detail</t>
  </si>
  <si>
    <t>润都股份</t>
  </si>
  <si>
    <t>www.lixinger.com/analytics/company/sz/002923/2923/detail</t>
  </si>
  <si>
    <t>华立科技</t>
  </si>
  <si>
    <t>www.lixinger.com/analytics/company/sz/301011/301011/detail</t>
  </si>
  <si>
    <t>华远地产</t>
  </si>
  <si>
    <t>www.lixinger.com/analytics/company/sh/600743/600743/detail</t>
  </si>
  <si>
    <t>易德龙</t>
  </si>
  <si>
    <t>www.lixinger.com/analytics/company/sh/603380/603380/detail</t>
  </si>
  <si>
    <t>蓝海华腾</t>
  </si>
  <si>
    <t>www.lixinger.com/analytics/company/sz/300484/300484/detail</t>
  </si>
  <si>
    <t>华源控股</t>
  </si>
  <si>
    <t>www.lixinger.com/analytics/company/sz/002787/2787/detail</t>
  </si>
  <si>
    <t>哈森股份</t>
  </si>
  <si>
    <t>www.lixinger.com/analytics/company/sh/603958/603958/detail</t>
  </si>
  <si>
    <t>粤桂股份</t>
  </si>
  <si>
    <t>www.lixinger.com/analytics/company/sz/000833/833/detail</t>
  </si>
  <si>
    <t>中炬高新</t>
  </si>
  <si>
    <t>www.lixinger.com/analytics/company/sh/600872/600872/detail</t>
  </si>
  <si>
    <t>瑞泰科技</t>
  </si>
  <si>
    <t>www.lixinger.com/analytics/company/sz/002066/2066/detail</t>
  </si>
  <si>
    <t>泰和新材</t>
  </si>
  <si>
    <t>www.lixinger.com/analytics/company/sz/002254/2254/detail</t>
  </si>
  <si>
    <t>康众医疗</t>
  </si>
  <si>
    <t>www.lixinger.com/analytics/company/sh/688607/688607/detail</t>
  </si>
  <si>
    <t>西菱动力</t>
  </si>
  <si>
    <t>www.lixinger.com/analytics/company/sz/300733/300733/detail</t>
  </si>
  <si>
    <t>华东重机</t>
  </si>
  <si>
    <t>www.lixinger.com/analytics/company/sz/002685/2685/detail</t>
  </si>
  <si>
    <t>华策影视</t>
  </si>
  <si>
    <t>www.lixinger.com/analytics/company/sz/300133/300133/detail</t>
  </si>
  <si>
    <t>宏盛股份</t>
  </si>
  <si>
    <t>www.lixinger.com/analytics/company/sh/603090/603090/detail</t>
  </si>
  <si>
    <t>晨曦航空</t>
  </si>
  <si>
    <t>www.lixinger.com/analytics/company/sz/300581/300581/detail</t>
  </si>
  <si>
    <t>东微半导</t>
  </si>
  <si>
    <t>www.lixinger.com/analytics/company/sh/688261/688261/detail</t>
  </si>
  <si>
    <t>国能日新</t>
  </si>
  <si>
    <t>www.lixinger.com/analytics/company/sz/301162/301162/detail</t>
  </si>
  <si>
    <t>德龙激光</t>
  </si>
  <si>
    <t>www.lixinger.com/analytics/company/sh/688170/688170/detail</t>
  </si>
  <si>
    <t>石英股份</t>
  </si>
  <si>
    <t>www.lixinger.com/analytics/company/sh/603688/603688/detail</t>
  </si>
  <si>
    <t>雪迪龙</t>
  </si>
  <si>
    <t>www.lixinger.com/analytics/company/sz/002658/2658/detail</t>
  </si>
  <si>
    <t>赛隆药业</t>
  </si>
  <si>
    <t>www.lixinger.com/analytics/company/sz/002898/2898/detail</t>
  </si>
  <si>
    <t>中国高科</t>
  </si>
  <si>
    <t>www.lixinger.com/analytics/company/sh/600730/600730/detail</t>
  </si>
  <si>
    <t>世纪瑞尔</t>
  </si>
  <si>
    <t>www.lixinger.com/analytics/company/sz/300150/300150/detail</t>
  </si>
  <si>
    <t>*ST聚龙</t>
  </si>
  <si>
    <t>www.lixinger.com/analytics/company/sz/300202/300202/detail</t>
  </si>
  <si>
    <t>晓程科技</t>
  </si>
  <si>
    <t>www.lixinger.com/analytics/company/sz/300139/300139/detail</t>
  </si>
  <si>
    <t>兆新股份</t>
  </si>
  <si>
    <t>www.lixinger.com/analytics/company/sz/002256/2256/detail</t>
  </si>
  <si>
    <t>巴比食品</t>
  </si>
  <si>
    <t>www.lixinger.com/analytics/company/sh/605338/605338/detail</t>
  </si>
  <si>
    <t>浙江力诺</t>
  </si>
  <si>
    <t>www.lixinger.com/analytics/company/sz/300838/300838/detail</t>
  </si>
  <si>
    <t>昀冢科技</t>
  </si>
  <si>
    <t>www.lixinger.com/analytics/company/sh/688260/688260/detail</t>
  </si>
  <si>
    <t>维宏股份</t>
  </si>
  <si>
    <t>www.lixinger.com/analytics/company/sz/300508/300508/detail</t>
  </si>
  <si>
    <t>广生堂</t>
  </si>
  <si>
    <t>www.lixinger.com/analytics/company/sz/300436/300436/detail</t>
  </si>
  <si>
    <t>金鹰股份</t>
  </si>
  <si>
    <t>www.lixinger.com/analytics/company/sh/600232/600232/detail</t>
  </si>
  <si>
    <t>特力Ｂ</t>
  </si>
  <si>
    <t>www.lixinger.com/analytics/company/sz/200025/200025/detail</t>
  </si>
  <si>
    <t>英可瑞</t>
  </si>
  <si>
    <t>www.lixinger.com/analytics/company/sz/300713/300713/detail</t>
  </si>
  <si>
    <t>圣济堂</t>
  </si>
  <si>
    <t>www.lixinger.com/analytics/company/sh/600227/600227/detail</t>
  </si>
  <si>
    <t>博深股份</t>
  </si>
  <si>
    <t>www.lixinger.com/analytics/company/sz/002282/2282/detail</t>
  </si>
  <si>
    <t>阳普医疗</t>
  </si>
  <si>
    <t>www.lixinger.com/analytics/company/sz/300030/300030/detail</t>
  </si>
  <si>
    <t>动力源</t>
  </si>
  <si>
    <t>www.lixinger.com/analytics/company/sh/600405/600405/detail</t>
  </si>
  <si>
    <t>江中药业</t>
  </si>
  <si>
    <t>www.lixinger.com/analytics/company/sh/600750/600750/detail</t>
  </si>
  <si>
    <t>东杰智能</t>
  </si>
  <si>
    <t>www.lixinger.com/analytics/company/sz/300486/300486/detail</t>
  </si>
  <si>
    <t>国风新材</t>
  </si>
  <si>
    <t>www.lixinger.com/analytics/company/sz/000859/859/detail</t>
  </si>
  <si>
    <t>中元股份</t>
  </si>
  <si>
    <t>www.lixinger.com/analytics/company/sz/300018/300018/detail</t>
  </si>
  <si>
    <t>海利尔</t>
  </si>
  <si>
    <t>www.lixinger.com/analytics/company/sh/603639/603639/detail</t>
  </si>
  <si>
    <t>天目湖</t>
  </si>
  <si>
    <t>www.lixinger.com/analytics/company/sh/603136/603136/detail</t>
  </si>
  <si>
    <t>鲁泰Ｂ</t>
  </si>
  <si>
    <t>www.lixinger.com/analytics/company/sz/200726/200726/detail</t>
  </si>
  <si>
    <t>莱伯泰科</t>
  </si>
  <si>
    <t>www.lixinger.com/analytics/company/sh/688056/688056/detail</t>
  </si>
  <si>
    <t>保隆科技</t>
  </si>
  <si>
    <t>www.lixinger.com/analytics/company/sh/603197/603197/detail</t>
  </si>
  <si>
    <t>山东华鹏</t>
  </si>
  <si>
    <t>www.lixinger.com/analytics/company/sh/603021/603021/detail</t>
  </si>
  <si>
    <t>航发科技</t>
  </si>
  <si>
    <t>www.lixinger.com/analytics/company/sh/600391/600391/detail</t>
  </si>
  <si>
    <t>直真科技</t>
  </si>
  <si>
    <t>www.lixinger.com/analytics/company/sz/003007/3007/detail</t>
  </si>
  <si>
    <t>春立医疗</t>
  </si>
  <si>
    <t>www.lixinger.com/analytics/company/sh/688236/688236/detail</t>
  </si>
  <si>
    <t>神宇股份</t>
  </si>
  <si>
    <t>www.lixinger.com/analytics/company/sz/300563/300563/detail</t>
  </si>
  <si>
    <t>新天科技</t>
  </si>
  <si>
    <t>www.lixinger.com/analytics/company/sz/300259/300259/detail</t>
  </si>
  <si>
    <t>国盾量子</t>
  </si>
  <si>
    <t>www.lixinger.com/analytics/company/sh/688027/688027/detail</t>
  </si>
  <si>
    <t>国发股份</t>
  </si>
  <si>
    <t>www.lixinger.com/analytics/company/sh/600538/600538/detail</t>
  </si>
  <si>
    <t>亚振家居</t>
  </si>
  <si>
    <t>www.lixinger.com/analytics/company/sh/603389/603389/detail</t>
  </si>
  <si>
    <t>新农股份</t>
  </si>
  <si>
    <t>www.lixinger.com/analytics/company/sz/002942/2942/detail</t>
  </si>
  <si>
    <t>南模生物</t>
  </si>
  <si>
    <t>www.lixinger.com/analytics/company/sh/688265/688265/detail</t>
  </si>
  <si>
    <t>华铭智能</t>
  </si>
  <si>
    <t>www.lixinger.com/analytics/company/sz/300462/300462/detail</t>
  </si>
  <si>
    <t>严牌股份</t>
  </si>
  <si>
    <t>www.lixinger.com/analytics/company/sz/301081/301081/detail</t>
  </si>
  <si>
    <t>松原股份</t>
  </si>
  <si>
    <t>www.lixinger.com/analytics/company/sz/300893/300893/detail</t>
  </si>
  <si>
    <t>宇晶股份</t>
  </si>
  <si>
    <t>www.lixinger.com/analytics/company/sz/002943/2943/detail</t>
  </si>
  <si>
    <t>威创股份</t>
  </si>
  <si>
    <t>www.lixinger.com/analytics/company/sz/002308/2308/detail</t>
  </si>
  <si>
    <t>中环海陆</t>
  </si>
  <si>
    <t>www.lixinger.com/analytics/company/sz/301040/301040/detail</t>
  </si>
  <si>
    <t>*ST海医</t>
  </si>
  <si>
    <t>www.lixinger.com/analytics/company/sh/600896/600896/detail</t>
  </si>
  <si>
    <t>因赛集团</t>
  </si>
  <si>
    <t>www.lixinger.com/analytics/company/sz/300781/300781/detail</t>
  </si>
  <si>
    <t>朗科科技</t>
  </si>
  <si>
    <t>www.lixinger.com/analytics/company/sz/300042/300042/detail</t>
  </si>
  <si>
    <t>华丽家族</t>
  </si>
  <si>
    <t>www.lixinger.com/analytics/company/sh/600503/600503/detail</t>
  </si>
  <si>
    <t>力诺特玻</t>
  </si>
  <si>
    <t>www.lixinger.com/analytics/company/sz/301188/301188/detail</t>
  </si>
  <si>
    <t>电工合金</t>
  </si>
  <si>
    <t>www.lixinger.com/analytics/company/sz/300697/300697/detail</t>
  </si>
  <si>
    <t>三维股份</t>
  </si>
  <si>
    <t>www.lixinger.com/analytics/company/sh/603033/603033/detail</t>
  </si>
  <si>
    <t>*ST腾邦</t>
  </si>
  <si>
    <t>www.lixinger.com/analytics/company/sz/300178/300178/detail</t>
  </si>
  <si>
    <t>大为股份</t>
  </si>
  <si>
    <t>www.lixinger.com/analytics/company/sz/002213/2213/detail</t>
  </si>
  <si>
    <t>高争民爆</t>
  </si>
  <si>
    <t>www.lixinger.com/analytics/company/sz/002827/2827/detail</t>
  </si>
  <si>
    <t>中自科技</t>
  </si>
  <si>
    <t>www.lixinger.com/analytics/company/sh/688737/688737/detail</t>
  </si>
  <si>
    <t>吉华集团</t>
  </si>
  <si>
    <t>www.lixinger.com/analytics/company/sh/603980/603980/detail</t>
  </si>
  <si>
    <t>龙软科技</t>
  </si>
  <si>
    <t>www.lixinger.com/analytics/company/sh/688078/688078/detail</t>
  </si>
  <si>
    <t>青海春天</t>
  </si>
  <si>
    <t>www.lixinger.com/analytics/company/sh/600381/600381/detail</t>
  </si>
  <si>
    <t>派斯林</t>
  </si>
  <si>
    <t>www.lixinger.com/analytics/company/sh/600215/600215/detail</t>
  </si>
  <si>
    <t>开元教育</t>
  </si>
  <si>
    <t>www.lixinger.com/analytics/company/sz/300338/300338/detail</t>
  </si>
  <si>
    <t>渝三峡Ａ</t>
  </si>
  <si>
    <t>www.lixinger.com/analytics/company/sz/000565/565/detail</t>
  </si>
  <si>
    <t>通源石油</t>
  </si>
  <si>
    <t>www.lixinger.com/analytics/company/sz/300164/300164/detail</t>
  </si>
  <si>
    <t>光力科技</t>
  </si>
  <si>
    <t>www.lixinger.com/analytics/company/sz/300480/300480/detail</t>
  </si>
  <si>
    <t>生物股份</t>
  </si>
  <si>
    <t>www.lixinger.com/analytics/company/sh/600201/600201/detail</t>
  </si>
  <si>
    <t>嘉澳环保</t>
  </si>
  <si>
    <t>www.lixinger.com/analytics/company/sh/603822/603822/detail</t>
  </si>
  <si>
    <t>ST安信</t>
  </si>
  <si>
    <t>信托</t>
  </si>
  <si>
    <t>www.lixinger.com/analytics/company/sh/600816/600816/detail</t>
  </si>
  <si>
    <t>汇纳科技</t>
  </si>
  <si>
    <t>www.lixinger.com/analytics/company/sz/300609/300609/detail</t>
  </si>
  <si>
    <t>元成股份</t>
  </si>
  <si>
    <t>www.lixinger.com/analytics/company/sh/603388/603388/detail</t>
  </si>
  <si>
    <t>科新发展</t>
  </si>
  <si>
    <t>www.lixinger.com/analytics/company/sh/600234/600234/detail</t>
  </si>
  <si>
    <t>德固特</t>
  </si>
  <si>
    <t>www.lixinger.com/analytics/company/sz/300950/300950/detail</t>
  </si>
  <si>
    <t>泽达易盛</t>
  </si>
  <si>
    <t>www.lixinger.com/analytics/company/sh/688555/688555/detail</t>
  </si>
  <si>
    <t>海南瑞泽</t>
  </si>
  <si>
    <t>www.lixinger.com/analytics/company/sz/002596/2596/detail</t>
  </si>
  <si>
    <t>东百集团</t>
  </si>
  <si>
    <t>www.lixinger.com/analytics/company/sh/600693/600693/detail</t>
  </si>
  <si>
    <t>长白山</t>
  </si>
  <si>
    <t>www.lixinger.com/analytics/company/sh/603099/603099/detail</t>
  </si>
  <si>
    <t>赛微微电</t>
  </si>
  <si>
    <t>www.lixinger.com/analytics/company/sh/688325/688325/detail</t>
  </si>
  <si>
    <t>三圣股份</t>
  </si>
  <si>
    <t>www.lixinger.com/analytics/company/sz/002742/2742/detail</t>
  </si>
  <si>
    <t>京源环保</t>
  </si>
  <si>
    <t>www.lixinger.com/analytics/company/sh/688096/688096/detail</t>
  </si>
  <si>
    <t>瑞达期货</t>
  </si>
  <si>
    <t>www.lixinger.com/analytics/company/sz/002961/2961/detail</t>
  </si>
  <si>
    <t>泰尔股份</t>
  </si>
  <si>
    <t>www.lixinger.com/analytics/company/sz/002347/2347/detail</t>
  </si>
  <si>
    <t>必创科技</t>
  </si>
  <si>
    <t>www.lixinger.com/analytics/company/sz/300667/300667/detail</t>
  </si>
  <si>
    <t>*ST运盛</t>
  </si>
  <si>
    <t>www.lixinger.com/analytics/company/sh/600767/600767/detail</t>
  </si>
  <si>
    <t>光韵达</t>
  </si>
  <si>
    <t>www.lixinger.com/analytics/company/sz/300227/300227/detail</t>
  </si>
  <si>
    <t>敏芯股份</t>
  </si>
  <si>
    <t>www.lixinger.com/analytics/company/sh/688286/688286/detail</t>
  </si>
  <si>
    <t>路通视信</t>
  </si>
  <si>
    <t>www.lixinger.com/analytics/company/sz/300555/300555/detail</t>
  </si>
  <si>
    <t>能科科技</t>
  </si>
  <si>
    <t>www.lixinger.com/analytics/company/sh/603859/603859/detail</t>
  </si>
  <si>
    <t>永清环保</t>
  </si>
  <si>
    <t>www.lixinger.com/analytics/company/sz/300187/300187/detail</t>
  </si>
  <si>
    <t>怡达股份</t>
  </si>
  <si>
    <t>www.lixinger.com/analytics/company/sz/300721/300721/detail</t>
  </si>
  <si>
    <t>冠石科技</t>
  </si>
  <si>
    <t>www.lixinger.com/analytics/company/sh/605588/605588/detail</t>
  </si>
  <si>
    <t>安居宝</t>
  </si>
  <si>
    <t>www.lixinger.com/analytics/company/sz/300155/300155/detail</t>
  </si>
  <si>
    <t>*ST大集</t>
  </si>
  <si>
    <t>www.lixinger.com/analytics/company/sz/000564/564/detail</t>
  </si>
  <si>
    <t>华天酒店</t>
  </si>
  <si>
    <t>www.lixinger.com/analytics/company/sz/000428/428/detail</t>
  </si>
  <si>
    <t>星期六</t>
  </si>
  <si>
    <t>www.lixinger.com/analytics/company/sz/002291/2291/detail</t>
  </si>
  <si>
    <t>展鹏科技</t>
  </si>
  <si>
    <t>www.lixinger.com/analytics/company/sh/603488/603488/detail</t>
  </si>
  <si>
    <t>徐家汇</t>
  </si>
  <si>
    <t>www.lixinger.com/analytics/company/sz/002561/2561/detail</t>
  </si>
  <si>
    <t>岱勒新材</t>
  </si>
  <si>
    <t>www.lixinger.com/analytics/company/sz/300700/300700/detail</t>
  </si>
  <si>
    <t>凯文教育</t>
  </si>
  <si>
    <t>www.lixinger.com/analytics/company/sz/002659/2659/detail</t>
  </si>
  <si>
    <t>锋龙股份</t>
  </si>
  <si>
    <t>www.lixinger.com/analytics/company/sz/002931/2931/detail</t>
  </si>
  <si>
    <t>三盛教育</t>
  </si>
  <si>
    <t>教育运营及其他</t>
  </si>
  <si>
    <t>www.lixinger.com/analytics/company/sz/300282/300282/detail</t>
  </si>
  <si>
    <t>神农科技</t>
  </si>
  <si>
    <t>www.lixinger.com/analytics/company/sz/300189/300189/detail</t>
  </si>
  <si>
    <t>匠心家居</t>
  </si>
  <si>
    <t>www.lixinger.com/analytics/company/sz/301061/301061/detail</t>
  </si>
  <si>
    <t>读者传媒</t>
  </si>
  <si>
    <t>www.lixinger.com/analytics/company/sh/603999/603999/detail</t>
  </si>
  <si>
    <t>真爱美家</t>
  </si>
  <si>
    <t>www.lixinger.com/analytics/company/sz/003041/3041/detail</t>
  </si>
  <si>
    <t>盛讯达</t>
  </si>
  <si>
    <t>www.lixinger.com/analytics/company/sz/300518/300518/detail</t>
  </si>
  <si>
    <t>*ST实达</t>
  </si>
  <si>
    <t>www.lixinger.com/analytics/company/sh/600734/600734/detail</t>
  </si>
  <si>
    <t>振芯科技</t>
  </si>
  <si>
    <t>www.lixinger.com/analytics/company/sz/300101/300101/detail</t>
  </si>
  <si>
    <t>华特气体</t>
  </si>
  <si>
    <t>www.lixinger.com/analytics/company/sh/688268/688268/detail</t>
  </si>
  <si>
    <t>南微医学</t>
  </si>
  <si>
    <t>www.lixinger.com/analytics/company/sh/688029/688029/detail</t>
  </si>
  <si>
    <t>东来技术</t>
  </si>
  <si>
    <t>www.lixinger.com/analytics/company/sh/688129/688129/detail</t>
  </si>
  <si>
    <t>中电环保</t>
  </si>
  <si>
    <t>www.lixinger.com/analytics/company/sz/300172/300172/detail</t>
  </si>
  <si>
    <t>*ST新光</t>
  </si>
  <si>
    <t>www.lixinger.com/analytics/company/sz/002147/2147/detail</t>
  </si>
  <si>
    <t>迪威迅</t>
  </si>
  <si>
    <t>www.lixinger.com/analytics/company/sz/300167/300167/detail</t>
  </si>
  <si>
    <t>网达软件</t>
  </si>
  <si>
    <t>www.lixinger.com/analytics/company/sh/603189/603189/detail</t>
  </si>
  <si>
    <t>康平科技</t>
  </si>
  <si>
    <t>www.lixinger.com/analytics/company/sz/300907/300907/detail</t>
  </si>
  <si>
    <t>鞍重股份</t>
  </si>
  <si>
    <t>www.lixinger.com/analytics/company/sz/002667/2667/detail</t>
  </si>
  <si>
    <t>兴民智通</t>
  </si>
  <si>
    <t>www.lixinger.com/analytics/company/sz/002355/2355/detail</t>
  </si>
  <si>
    <t>川润股份</t>
  </si>
  <si>
    <t>www.lixinger.com/analytics/company/sz/002272/2272/detail</t>
  </si>
  <si>
    <t>丽江股份</t>
  </si>
  <si>
    <t>www.lixinger.com/analytics/company/sz/002033/2033/detail</t>
  </si>
  <si>
    <t>工大高科</t>
  </si>
  <si>
    <t>www.lixinger.com/analytics/company/sh/688367/688367/detail</t>
  </si>
  <si>
    <t>合众思壮</t>
  </si>
  <si>
    <t>www.lixinger.com/analytics/company/sz/002383/2383/detail</t>
  </si>
  <si>
    <t>翔宇医疗</t>
  </si>
  <si>
    <t>www.lixinger.com/analytics/company/sh/688626/688626/detail</t>
  </si>
  <si>
    <t>东安动力</t>
  </si>
  <si>
    <t>www.lixinger.com/analytics/company/sh/600178/600178/detail</t>
  </si>
  <si>
    <t>安靠智电</t>
  </si>
  <si>
    <t>www.lixinger.com/analytics/company/sz/300617/300617/detail</t>
  </si>
  <si>
    <t>奕东电子</t>
  </si>
  <si>
    <t>www.lixinger.com/analytics/company/sz/301123/301123/detail</t>
  </si>
  <si>
    <t>长城电工</t>
  </si>
  <si>
    <t>www.lixinger.com/analytics/company/sh/600192/600192/detail</t>
  </si>
  <si>
    <t>迈得医疗</t>
  </si>
  <si>
    <t>www.lixinger.com/analytics/company/sh/688310/688310/detail</t>
  </si>
  <si>
    <t>兴业科技</t>
  </si>
  <si>
    <t>www.lixinger.com/analytics/company/sz/002674/2674/detail</t>
  </si>
  <si>
    <t>*ST尤夫</t>
  </si>
  <si>
    <t>www.lixinger.com/analytics/company/sz/002427/2427/detail</t>
  </si>
  <si>
    <t>网宿科技</t>
  </si>
  <si>
    <t>www.lixinger.com/analytics/company/sz/300017/300017/detail</t>
  </si>
  <si>
    <t>金溢科技</t>
  </si>
  <si>
    <t>www.lixinger.com/analytics/company/sz/002869/2869/detail</t>
  </si>
  <si>
    <t>粤海饲料</t>
  </si>
  <si>
    <t>www.lixinger.com/analytics/company/sz/001313/1313/detail</t>
  </si>
  <si>
    <t>华依科技</t>
  </si>
  <si>
    <t>www.lixinger.com/analytics/company/sh/688071/688071/detail</t>
  </si>
  <si>
    <t>思林杰</t>
  </si>
  <si>
    <t>www.lixinger.com/analytics/company/sh/688115/688115/detail</t>
  </si>
  <si>
    <t>聚赛龙</t>
  </si>
  <si>
    <t>www.lixinger.com/analytics/company/sz/301131/301131/detail</t>
  </si>
  <si>
    <t>扬杰科技</t>
  </si>
  <si>
    <t>www.lixinger.com/analytics/company/sz/300373/300373/detail</t>
  </si>
  <si>
    <t>南卫股份</t>
  </si>
  <si>
    <t>www.lixinger.com/analytics/company/sh/603880/603880/detail</t>
  </si>
  <si>
    <t>新联电子</t>
  </si>
  <si>
    <t>www.lixinger.com/analytics/company/sz/002546/2546/detail</t>
  </si>
  <si>
    <t>宏和科技</t>
  </si>
  <si>
    <t>www.lixinger.com/analytics/company/sh/603256/603256/detail</t>
  </si>
  <si>
    <t>富临运业</t>
  </si>
  <si>
    <t>www.lixinger.com/analytics/company/sz/002357/2357/detail</t>
  </si>
  <si>
    <t>昊华科技</t>
  </si>
  <si>
    <t>www.lixinger.com/analytics/company/sh/600378/600378/detail</t>
  </si>
  <si>
    <t>凯盛新材</t>
  </si>
  <si>
    <t>www.lixinger.com/analytics/company/sz/301069/301069/detail</t>
  </si>
  <si>
    <t>万东医疗</t>
  </si>
  <si>
    <t>www.lixinger.com/analytics/company/sh/600055/600055/detail</t>
  </si>
  <si>
    <t>艾迪药业</t>
  </si>
  <si>
    <t>www.lixinger.com/analytics/company/sh/688488/688488/detail</t>
  </si>
  <si>
    <t>*ST网力</t>
  </si>
  <si>
    <t>www.lixinger.com/analytics/company/sz/300367/300367/detail</t>
  </si>
  <si>
    <t>远望谷</t>
  </si>
  <si>
    <t>www.lixinger.com/analytics/company/sz/002161/2161/detail</t>
  </si>
  <si>
    <t>德龙汇能</t>
  </si>
  <si>
    <t>www.lixinger.com/analytics/company/sz/000593/593/detail</t>
  </si>
  <si>
    <t>两面针</t>
  </si>
  <si>
    <t>www.lixinger.com/analytics/company/sh/600249/600249/detail</t>
  </si>
  <si>
    <t>*ST中葡</t>
  </si>
  <si>
    <t>www.lixinger.com/analytics/company/sh/600084/600084/detail</t>
  </si>
  <si>
    <t>正虹科技</t>
  </si>
  <si>
    <t>www.lixinger.com/analytics/company/sz/000702/702/detail</t>
  </si>
  <si>
    <t>药康生物</t>
  </si>
  <si>
    <t>www.lixinger.com/analytics/company/sh/688046/688046/detail</t>
  </si>
  <si>
    <t>大东方</t>
  </si>
  <si>
    <t>www.lixinger.com/analytics/company/sh/600327/600327/detail</t>
  </si>
  <si>
    <t>中瓷电子</t>
  </si>
  <si>
    <t>www.lixinger.com/analytics/company/sz/003031/3031/detail</t>
  </si>
  <si>
    <t>润禾材料</t>
  </si>
  <si>
    <t>www.lixinger.com/analytics/company/sz/300727/300727/detail</t>
  </si>
  <si>
    <t>亿通科技</t>
  </si>
  <si>
    <t>www.lixinger.com/analytics/company/sz/300211/300211/detail</t>
  </si>
  <si>
    <t>容知日新</t>
  </si>
  <si>
    <t>www.lixinger.com/analytics/company/sh/688768/688768/detail</t>
  </si>
  <si>
    <t>天箭科技</t>
  </si>
  <si>
    <t>www.lixinger.com/analytics/company/sz/002977/2977/detail</t>
  </si>
  <si>
    <t>英唐智控</t>
  </si>
  <si>
    <t>www.lixinger.com/analytics/company/sz/300131/300131/detail</t>
  </si>
  <si>
    <t>奥普光电</t>
  </si>
  <si>
    <t>www.lixinger.com/analytics/company/sz/002338/2338/detail</t>
  </si>
  <si>
    <t>华闻集团</t>
  </si>
  <si>
    <t>www.lixinger.com/analytics/company/sz/000793/793/detail</t>
  </si>
  <si>
    <t>茂硕电源</t>
  </si>
  <si>
    <t>www.lixinger.com/analytics/company/sz/002660/2660/detail</t>
  </si>
  <si>
    <t>可靠股份</t>
  </si>
  <si>
    <t>www.lixinger.com/analytics/company/sz/301009/301009/detail</t>
  </si>
  <si>
    <t>博云新材</t>
  </si>
  <si>
    <t>www.lixinger.com/analytics/company/sz/002297/2297/detail</t>
  </si>
  <si>
    <t>超频三</t>
  </si>
  <si>
    <t>www.lixinger.com/analytics/company/sz/300647/300647/detail</t>
  </si>
  <si>
    <t>中源家居</t>
  </si>
  <si>
    <t>www.lixinger.com/analytics/company/sh/603709/603709/detail</t>
  </si>
  <si>
    <t>英集芯</t>
  </si>
  <si>
    <t>www.lixinger.com/analytics/company/sh/688209/688209/detail</t>
  </si>
  <si>
    <t>易尚展示</t>
  </si>
  <si>
    <t>www.lixinger.com/analytics/company/sz/002751/2751/detail</t>
  </si>
  <si>
    <t>顺钠股份</t>
  </si>
  <si>
    <t>www.lixinger.com/analytics/company/sz/000533/533/detail</t>
  </si>
  <si>
    <t>联环药业</t>
  </si>
  <si>
    <t>www.lixinger.com/analytics/company/sh/600513/600513/detail</t>
  </si>
  <si>
    <t>易天股份</t>
  </si>
  <si>
    <t>www.lixinger.com/analytics/company/sz/300812/300812/detail</t>
  </si>
  <si>
    <t>湖南发展</t>
  </si>
  <si>
    <t>www.lixinger.com/analytics/company/sz/000722/722/detail</t>
  </si>
  <si>
    <t>狮头股份</t>
  </si>
  <si>
    <t>www.lixinger.com/analytics/company/sh/600539/600539/detail</t>
  </si>
  <si>
    <t>德力股份</t>
  </si>
  <si>
    <t>www.lixinger.com/analytics/company/sz/002571/2571/detail</t>
  </si>
  <si>
    <t>风光股份</t>
  </si>
  <si>
    <t>www.lixinger.com/analytics/company/sz/301100/301100/detail</t>
  </si>
  <si>
    <t>豪能股份</t>
  </si>
  <si>
    <t>www.lixinger.com/analytics/company/sh/603809/603809/detail</t>
  </si>
  <si>
    <t>荣泰健康</t>
  </si>
  <si>
    <t>www.lixinger.com/analytics/company/sh/603579/603579/detail</t>
  </si>
  <si>
    <t>盈建科</t>
  </si>
  <si>
    <t>www.lixinger.com/analytics/company/sz/300935/300935/detail</t>
  </si>
  <si>
    <t>博睿数据</t>
  </si>
  <si>
    <t>www.lixinger.com/analytics/company/sh/688229/688229/detail</t>
  </si>
  <si>
    <t>瑞晟智能</t>
  </si>
  <si>
    <t>www.lixinger.com/analytics/company/sh/688215/688215/detail</t>
  </si>
  <si>
    <t>长方集团</t>
  </si>
  <si>
    <t>www.lixinger.com/analytics/company/sz/300301/300301/detail</t>
  </si>
  <si>
    <t>锦富技术</t>
  </si>
  <si>
    <t>www.lixinger.com/analytics/company/sz/300128/300128/detail</t>
  </si>
  <si>
    <t>瑞丰新材</t>
  </si>
  <si>
    <t>www.lixinger.com/analytics/company/sz/300910/300910/detail</t>
  </si>
  <si>
    <t>远信工业</t>
  </si>
  <si>
    <t>www.lixinger.com/analytics/company/sz/301053/301053/detail</t>
  </si>
  <si>
    <t>美吉姆</t>
  </si>
  <si>
    <t>www.lixinger.com/analytics/company/sz/002621/2621/detail</t>
  </si>
  <si>
    <t>健之佳</t>
  </si>
  <si>
    <t>www.lixinger.com/analytics/company/sh/605266/605266/detail</t>
  </si>
  <si>
    <t>奥佳华</t>
  </si>
  <si>
    <t>www.lixinger.com/analytics/company/sz/002614/2614/detail</t>
  </si>
  <si>
    <t>东旭蓝天</t>
  </si>
  <si>
    <t>www.lixinger.com/analytics/company/sz/000040/40/detail</t>
  </si>
  <si>
    <t>鸿博股份</t>
  </si>
  <si>
    <t>www.lixinger.com/analytics/company/sz/002229/2229/detail</t>
  </si>
  <si>
    <t>弘讯科技</t>
  </si>
  <si>
    <t>www.lixinger.com/analytics/company/sh/603015/603015/detail</t>
  </si>
  <si>
    <t>壹石通</t>
  </si>
  <si>
    <t>www.lixinger.com/analytics/company/sh/688733/688733/detail</t>
  </si>
  <si>
    <t>炼石航空</t>
  </si>
  <si>
    <t>www.lixinger.com/analytics/company/sz/000697/697/detail</t>
  </si>
  <si>
    <t>富通信息</t>
  </si>
  <si>
    <t>www.lixinger.com/analytics/company/sz/000836/836/detail</t>
  </si>
  <si>
    <t>三友联众</t>
  </si>
  <si>
    <t>www.lixinger.com/analytics/company/sz/300932/300932/detail</t>
  </si>
  <si>
    <t>天域生态</t>
  </si>
  <si>
    <t>www.lixinger.com/analytics/company/sh/603717/603717/detail</t>
  </si>
  <si>
    <t>万兴科技</t>
  </si>
  <si>
    <t>www.lixinger.com/analytics/company/sz/300624/300624/detail</t>
  </si>
  <si>
    <t>晨光生物</t>
  </si>
  <si>
    <t>www.lixinger.com/analytics/company/sz/300138/300138/detail</t>
  </si>
  <si>
    <t>国华网安</t>
  </si>
  <si>
    <t>www.lixinger.com/analytics/company/sz/000004/4/detail</t>
  </si>
  <si>
    <t>安记食品</t>
  </si>
  <si>
    <t>www.lixinger.com/analytics/company/sh/603696/603696/detail</t>
  </si>
  <si>
    <t>ST辉丰</t>
  </si>
  <si>
    <t>www.lixinger.com/analytics/company/sz/002496/2496/detail</t>
  </si>
  <si>
    <t>欣龙控股</t>
  </si>
  <si>
    <t>www.lixinger.com/analytics/company/sz/000955/955/detail</t>
  </si>
  <si>
    <t>*ST华昌</t>
  </si>
  <si>
    <t>www.lixinger.com/analytics/company/sz/300278/300278/detail</t>
  </si>
  <si>
    <t>精进电动</t>
  </si>
  <si>
    <t>www.lixinger.com/analytics/company/sh/688280/688280/detail</t>
  </si>
  <si>
    <t>铂科新材</t>
  </si>
  <si>
    <t>www.lixinger.com/analytics/company/sz/300811/300811/detail</t>
  </si>
  <si>
    <t>ST云投</t>
  </si>
  <si>
    <t>www.lixinger.com/analytics/company/sz/002200/2200/detail</t>
  </si>
  <si>
    <t>沃格光电</t>
  </si>
  <si>
    <t>www.lixinger.com/analytics/company/sh/603773/603773/detail</t>
  </si>
  <si>
    <t>飞凯材料</t>
  </si>
  <si>
    <t>www.lixinger.com/analytics/company/sz/300398/300398/detail</t>
  </si>
  <si>
    <t>ST林重</t>
  </si>
  <si>
    <t>www.lixinger.com/analytics/company/sz/002535/2535/detail</t>
  </si>
  <si>
    <t>联赢激光</t>
  </si>
  <si>
    <t>www.lixinger.com/analytics/company/sh/688518/688518/detail</t>
  </si>
  <si>
    <t>博俊科技</t>
  </si>
  <si>
    <t>www.lixinger.com/analytics/company/sz/300926/300926/detail</t>
  </si>
  <si>
    <t>凤竹纺织</t>
  </si>
  <si>
    <t>www.lixinger.com/analytics/company/sh/600493/600493/detail</t>
  </si>
  <si>
    <t>龙源技术</t>
  </si>
  <si>
    <t>www.lixinger.com/analytics/company/sz/300105/300105/detail</t>
  </si>
  <si>
    <t>三维天地</t>
  </si>
  <si>
    <t>www.lixinger.com/analytics/company/sz/301159/301159/detail</t>
  </si>
  <si>
    <t>博杰股份</t>
  </si>
  <si>
    <t>www.lixinger.com/analytics/company/sz/002975/2975/detail</t>
  </si>
  <si>
    <t>麒盛科技</t>
  </si>
  <si>
    <t>www.lixinger.com/analytics/company/sh/603610/603610/detail</t>
  </si>
  <si>
    <t>华帝股份</t>
  </si>
  <si>
    <t>www.lixinger.com/analytics/company/sz/002035/2035/detail</t>
  </si>
  <si>
    <t>万马科技</t>
  </si>
  <si>
    <t>www.lixinger.com/analytics/company/sz/300698/300698/detail</t>
  </si>
  <si>
    <t>天顺风能</t>
  </si>
  <si>
    <t>www.lixinger.com/analytics/company/sz/002531/2531/detail</t>
  </si>
  <si>
    <t>瀛通通讯</t>
  </si>
  <si>
    <t>www.lixinger.com/analytics/company/sz/002861/2861/detail</t>
  </si>
  <si>
    <t>博晖创新</t>
  </si>
  <si>
    <t>www.lixinger.com/analytics/company/sz/300318/300318/detail</t>
  </si>
  <si>
    <t>安诺其</t>
  </si>
  <si>
    <t>www.lixinger.com/analytics/company/sz/300067/300067/detail</t>
  </si>
  <si>
    <t>和元生物</t>
  </si>
  <si>
    <t>www.lixinger.com/analytics/company/sh/688238/688238/detail</t>
  </si>
  <si>
    <t>迪瑞医疗</t>
  </si>
  <si>
    <t>www.lixinger.com/analytics/company/sz/300396/300396/detail</t>
  </si>
  <si>
    <t>曼卡龙</t>
  </si>
  <si>
    <t>www.lixinger.com/analytics/company/sz/300945/300945/detail</t>
  </si>
  <si>
    <t>晶华新材</t>
  </si>
  <si>
    <t>www.lixinger.com/analytics/company/sh/603683/603683/detail</t>
  </si>
  <si>
    <t>扬电科技</t>
  </si>
  <si>
    <t>www.lixinger.com/analytics/company/sz/301012/301012/detail</t>
  </si>
  <si>
    <t>三丰智能</t>
  </si>
  <si>
    <t>www.lixinger.com/analytics/company/sz/300276/300276/detail</t>
  </si>
  <si>
    <t>博瑞医药</t>
  </si>
  <si>
    <t>www.lixinger.com/analytics/company/sh/688166/688166/detail</t>
  </si>
  <si>
    <t>兴瑞科技</t>
  </si>
  <si>
    <t>www.lixinger.com/analytics/company/sz/002937/2937/detail</t>
  </si>
  <si>
    <t>山东海化</t>
  </si>
  <si>
    <t>www.lixinger.com/analytics/company/sz/000822/822/detail</t>
  </si>
  <si>
    <t>宝塔实业</t>
  </si>
  <si>
    <t>www.lixinger.com/analytics/company/sz/000595/595/detail</t>
  </si>
  <si>
    <t>格灵深瞳</t>
  </si>
  <si>
    <t>www.lixinger.com/analytics/company/sh/688207/688207/detail</t>
  </si>
  <si>
    <t>赛特新材</t>
  </si>
  <si>
    <t>www.lixinger.com/analytics/company/sh/688398/688398/detail</t>
  </si>
  <si>
    <t>杰恩设计</t>
  </si>
  <si>
    <t>www.lixinger.com/analytics/company/sz/300668/300668/detail</t>
  </si>
  <si>
    <t>星云股份</t>
  </si>
  <si>
    <t>www.lixinger.com/analytics/company/sz/300648/300648/detail</t>
  </si>
  <si>
    <t>富吉瑞</t>
  </si>
  <si>
    <t>www.lixinger.com/analytics/company/sh/688272/688272/detail</t>
  </si>
  <si>
    <t>民生控股</t>
  </si>
  <si>
    <t>www.lixinger.com/analytics/company/sz/000416/416/detail</t>
  </si>
  <si>
    <t>林洋能源</t>
  </si>
  <si>
    <t>www.lixinger.com/analytics/company/sh/601222/601222/detail</t>
  </si>
  <si>
    <t>元琛科技</t>
  </si>
  <si>
    <t>www.lixinger.com/analytics/company/sh/688659/688659/detail</t>
  </si>
  <si>
    <t>联科科技</t>
  </si>
  <si>
    <t>www.lixinger.com/analytics/company/sz/001207/1207/detail</t>
  </si>
  <si>
    <t>贵州百灵</t>
  </si>
  <si>
    <t>www.lixinger.com/analytics/company/sz/002424/2424/detail</t>
  </si>
  <si>
    <t>高澜股份</t>
  </si>
  <si>
    <t>www.lixinger.com/analytics/company/sz/300499/300499/detail</t>
  </si>
  <si>
    <t>华研精机</t>
  </si>
  <si>
    <t>www.lixinger.com/analytics/company/sz/301138/301138/detail</t>
  </si>
  <si>
    <t>冠龙节能</t>
  </si>
  <si>
    <t>www.lixinger.com/analytics/company/sz/301151/301151/detail</t>
  </si>
  <si>
    <t>中鲁Ｂ</t>
  </si>
  <si>
    <t>www.lixinger.com/analytics/company/sz/200992/200992/detail</t>
  </si>
  <si>
    <t>澳华内镜</t>
  </si>
  <si>
    <t>www.lixinger.com/analytics/company/sh/688212/688212/detail</t>
  </si>
  <si>
    <t>海泰科</t>
  </si>
  <si>
    <t>www.lixinger.com/analytics/company/sz/301022/301022/detail</t>
  </si>
  <si>
    <t>华西能源</t>
  </si>
  <si>
    <t>www.lixinger.com/analytics/company/sz/002630/2630/detail</t>
  </si>
  <si>
    <t>寒锐钴业</t>
  </si>
  <si>
    <t>www.lixinger.com/analytics/company/sz/300618/300618/detail</t>
  </si>
  <si>
    <t>科远智慧</t>
  </si>
  <si>
    <t>www.lixinger.com/analytics/company/sz/002380/2380/detail</t>
  </si>
  <si>
    <t>恒而达</t>
  </si>
  <si>
    <t>www.lixinger.com/analytics/company/sz/300946/300946/detail</t>
  </si>
  <si>
    <t>宣亚国际</t>
  </si>
  <si>
    <t>www.lixinger.com/analytics/company/sz/300612/300612/detail</t>
  </si>
  <si>
    <t>埃斯顿</t>
  </si>
  <si>
    <t>www.lixinger.com/analytics/company/sz/002747/2747/detail</t>
  </si>
  <si>
    <t>南京聚隆</t>
  </si>
  <si>
    <t>www.lixinger.com/analytics/company/sz/300644/300644/detail</t>
  </si>
  <si>
    <t>中科海讯</t>
  </si>
  <si>
    <t>www.lixinger.com/analytics/company/sz/300810/300810/detail</t>
  </si>
  <si>
    <t>耐普矿机</t>
  </si>
  <si>
    <t>www.lixinger.com/analytics/company/sz/300818/300818/detail</t>
  </si>
  <si>
    <t>三诺生物</t>
  </si>
  <si>
    <t>www.lixinger.com/analytics/company/sz/300298/300298/detail</t>
  </si>
  <si>
    <t>锦鸡股份</t>
  </si>
  <si>
    <t>www.lixinger.com/analytics/company/sz/300798/300798/detail</t>
  </si>
  <si>
    <t>美利云</t>
  </si>
  <si>
    <t>www.lixinger.com/analytics/company/sz/000815/815/detail</t>
  </si>
  <si>
    <t>上海沿浦</t>
  </si>
  <si>
    <t>www.lixinger.com/analytics/company/sh/605128/605128/detail</t>
  </si>
  <si>
    <t>铜峰电子</t>
  </si>
  <si>
    <t>www.lixinger.com/analytics/company/sh/600237/600237/detail</t>
  </si>
  <si>
    <t>家联科技</t>
  </si>
  <si>
    <t>www.lixinger.com/analytics/company/sz/301193/301193/detail</t>
  </si>
  <si>
    <t>南极光</t>
  </si>
  <si>
    <t>www.lixinger.com/analytics/company/sz/300940/300940/detail</t>
  </si>
  <si>
    <t>国瓷材料</t>
  </si>
  <si>
    <t>www.lixinger.com/analytics/company/sz/300285/300285/detail</t>
  </si>
  <si>
    <t>首药控股</t>
  </si>
  <si>
    <t>www.lixinger.com/analytics/company/sh/688197/688197/detail</t>
  </si>
  <si>
    <t>迈信林</t>
  </si>
  <si>
    <t>www.lixinger.com/analytics/company/sh/688685/688685/detail</t>
  </si>
  <si>
    <t>西藏旅游</t>
  </si>
  <si>
    <t>www.lixinger.com/analytics/company/sh/600749/600749/detail</t>
  </si>
  <si>
    <t>建工修复</t>
  </si>
  <si>
    <t>www.lixinger.com/analytics/company/sz/300958/300958/detail</t>
  </si>
  <si>
    <t>甘化科工</t>
  </si>
  <si>
    <t>www.lixinger.com/analytics/company/sz/000576/576/detail</t>
  </si>
  <si>
    <t>ST银河</t>
  </si>
  <si>
    <t>www.lixinger.com/analytics/company/sz/000806/806/detail</t>
  </si>
  <si>
    <t>德马科技</t>
  </si>
  <si>
    <t>www.lixinger.com/analytics/company/sh/688360/688360/detail</t>
  </si>
  <si>
    <t>芯碁微装</t>
  </si>
  <si>
    <t>www.lixinger.com/analytics/company/sh/688630/688630/detail</t>
  </si>
  <si>
    <t>融钰集团</t>
  </si>
  <si>
    <t>www.lixinger.com/analytics/company/sz/002622/2622/detail</t>
  </si>
  <si>
    <t>园林股份</t>
  </si>
  <si>
    <t>www.lixinger.com/analytics/company/sh/605303/605303/detail</t>
  </si>
  <si>
    <t>宁波高发</t>
  </si>
  <si>
    <t>www.lixinger.com/analytics/company/sh/603788/603788/detail</t>
  </si>
  <si>
    <t>麦迪科技</t>
  </si>
  <si>
    <t>www.lixinger.com/analytics/company/sh/603990/603990/detail</t>
  </si>
  <si>
    <t>利和兴</t>
  </si>
  <si>
    <t>www.lixinger.com/analytics/company/sz/301013/301013/detail</t>
  </si>
  <si>
    <t>世名科技</t>
  </si>
  <si>
    <t>www.lixinger.com/analytics/company/sz/300522/300522/detail</t>
  </si>
  <si>
    <t>大宏立</t>
  </si>
  <si>
    <t>www.lixinger.com/analytics/company/sz/300865/300865/detail</t>
  </si>
  <si>
    <t>兄弟科技</t>
  </si>
  <si>
    <t>www.lixinger.com/analytics/company/sz/002562/2562/detail</t>
  </si>
  <si>
    <t>熙菱信息</t>
  </si>
  <si>
    <t>www.lixinger.com/analytics/company/sz/300588/300588/detail</t>
  </si>
  <si>
    <t>金诚信</t>
  </si>
  <si>
    <t>www.lixinger.com/analytics/company/sh/603979/603979/detail</t>
  </si>
  <si>
    <t>ST中珠</t>
  </si>
  <si>
    <t>www.lixinger.com/analytics/company/sh/600568/600568/detail</t>
  </si>
  <si>
    <t>西部牧业</t>
  </si>
  <si>
    <t>www.lixinger.com/analytics/company/sz/300106/300106/detail</t>
  </si>
  <si>
    <t>软控股份</t>
  </si>
  <si>
    <t>www.lixinger.com/analytics/company/sz/002073/2073/detail</t>
  </si>
  <si>
    <t>ST步森</t>
  </si>
  <si>
    <t>www.lixinger.com/analytics/company/sz/002569/2569/detail</t>
  </si>
  <si>
    <t>智光电气</t>
  </si>
  <si>
    <t>www.lixinger.com/analytics/company/sz/002169/2169/detail</t>
  </si>
  <si>
    <t>悦康药业</t>
  </si>
  <si>
    <t>www.lixinger.com/analytics/company/sh/688658/688658/detail</t>
  </si>
  <si>
    <t>佳隆股份</t>
  </si>
  <si>
    <t>www.lixinger.com/analytics/company/sz/002495/2495/detail</t>
  </si>
  <si>
    <t>顺威股份</t>
  </si>
  <si>
    <t>www.lixinger.com/analytics/company/sz/002676/2676/detail</t>
  </si>
  <si>
    <t>百诚医药</t>
  </si>
  <si>
    <t>www.lixinger.com/analytics/company/sz/301096/301096/detail</t>
  </si>
  <si>
    <t>实朴检测</t>
  </si>
  <si>
    <t>www.lixinger.com/analytics/company/sz/301228/301228/detail</t>
  </si>
  <si>
    <t>浙海德曼</t>
  </si>
  <si>
    <t>www.lixinger.com/analytics/company/sh/688577/688577/detail</t>
  </si>
  <si>
    <t>丽尚国潮</t>
  </si>
  <si>
    <t>www.lixinger.com/analytics/company/sh/600738/600738/detail</t>
  </si>
  <si>
    <t>万通发展</t>
  </si>
  <si>
    <t>www.lixinger.com/analytics/company/sh/600246/600246/detail</t>
  </si>
  <si>
    <t>川大智胜</t>
  </si>
  <si>
    <t>www.lixinger.com/analytics/company/sz/002253/2253/detail</t>
  </si>
  <si>
    <t>迪生力</t>
  </si>
  <si>
    <t>www.lixinger.com/analytics/company/sh/603335/603335/detail</t>
  </si>
  <si>
    <t>铁流股份</t>
  </si>
  <si>
    <t>www.lixinger.com/analytics/company/sh/603926/603926/detail</t>
  </si>
  <si>
    <t>南京化纤</t>
  </si>
  <si>
    <t>www.lixinger.com/analytics/company/sh/600889/600889/detail</t>
  </si>
  <si>
    <t>杰美特</t>
  </si>
  <si>
    <t>www.lixinger.com/analytics/company/sz/300868/300868/detail</t>
  </si>
  <si>
    <t>盾安环境</t>
  </si>
  <si>
    <t>www.lixinger.com/analytics/company/sz/002011/2011/detail</t>
  </si>
  <si>
    <t>湖南投资</t>
  </si>
  <si>
    <t>www.lixinger.com/analytics/company/sz/000548/548/detail</t>
  </si>
  <si>
    <t>中能电气</t>
  </si>
  <si>
    <t>www.lixinger.com/analytics/company/sz/300062/300062/detail</t>
  </si>
  <si>
    <t>力合微</t>
  </si>
  <si>
    <t>www.lixinger.com/analytics/company/sh/688589/688589/detail</t>
  </si>
  <si>
    <t>普利特</t>
  </si>
  <si>
    <t>www.lixinger.com/analytics/company/sz/002324/2324/detail</t>
  </si>
  <si>
    <t>华升股份</t>
  </si>
  <si>
    <t>www.lixinger.com/analytics/company/sh/600156/600156/detail</t>
  </si>
  <si>
    <t>国中水务</t>
  </si>
  <si>
    <t>www.lixinger.com/analytics/company/sh/600187/600187/detail</t>
  </si>
  <si>
    <t>深南电A</t>
  </si>
  <si>
    <t>www.lixinger.com/analytics/company/sz/000037/37/detail</t>
  </si>
  <si>
    <t>ST花王</t>
  </si>
  <si>
    <t>www.lixinger.com/analytics/company/sh/603007/603007/detail</t>
  </si>
  <si>
    <t>金奥博</t>
  </si>
  <si>
    <t>www.lixinger.com/analytics/company/sz/002917/2917/detail</t>
  </si>
  <si>
    <t>鹏辉能源</t>
  </si>
  <si>
    <t>www.lixinger.com/analytics/company/sz/300438/300438/detail</t>
  </si>
  <si>
    <t>信安世纪</t>
  </si>
  <si>
    <t>www.lixinger.com/analytics/company/sh/688201/688201/detail</t>
  </si>
  <si>
    <t>*ST光一</t>
  </si>
  <si>
    <t>www.lixinger.com/analytics/company/sz/300356/300356/detail</t>
  </si>
  <si>
    <t>前沿生物</t>
  </si>
  <si>
    <t>www.lixinger.com/analytics/company/sh/688221/688221/detail</t>
  </si>
  <si>
    <t>*ST德威</t>
  </si>
  <si>
    <t>www.lixinger.com/analytics/company/sz/300325/300325/detail</t>
  </si>
  <si>
    <t>国盛智科</t>
  </si>
  <si>
    <t>www.lixinger.com/analytics/company/sh/688558/688558/detail</t>
  </si>
  <si>
    <t>通合科技</t>
  </si>
  <si>
    <t>www.lixinger.com/analytics/company/sz/300491/300491/detail</t>
  </si>
  <si>
    <t>中水渔业</t>
  </si>
  <si>
    <t>www.lixinger.com/analytics/company/sz/000798/798/detail</t>
  </si>
  <si>
    <t>佛塑科技</t>
  </si>
  <si>
    <t>www.lixinger.com/analytics/company/sz/000973/973/detail</t>
  </si>
  <si>
    <t>中新集团</t>
  </si>
  <si>
    <t>www.lixinger.com/analytics/company/sh/601512/601512/detail</t>
  </si>
  <si>
    <t>艾迪精密</t>
  </si>
  <si>
    <t>www.lixinger.com/analytics/company/sh/603638/603638/detail</t>
  </si>
  <si>
    <t>哈工智能</t>
  </si>
  <si>
    <t>www.lixinger.com/analytics/company/sz/000584/584/detail</t>
  </si>
  <si>
    <t>ST奥马</t>
  </si>
  <si>
    <t>www.lixinger.com/analytics/company/sz/002668/2668/detail</t>
  </si>
  <si>
    <t>赛摩智能</t>
  </si>
  <si>
    <t>www.lixinger.com/analytics/company/sz/300466/300466/detail</t>
  </si>
  <si>
    <t>新美星</t>
  </si>
  <si>
    <t>www.lixinger.com/analytics/company/sz/300509/300509/detail</t>
  </si>
  <si>
    <t>炬芯科技</t>
  </si>
  <si>
    <t>www.lixinger.com/analytics/company/sh/688049/688049/detail</t>
  </si>
  <si>
    <t>震安科技</t>
  </si>
  <si>
    <t>www.lixinger.com/analytics/company/sz/300767/300767/detail</t>
  </si>
  <si>
    <t>祥和实业</t>
  </si>
  <si>
    <t>www.lixinger.com/analytics/company/sh/603500/603500/detail</t>
  </si>
  <si>
    <t>天禄科技</t>
  </si>
  <si>
    <t>www.lixinger.com/analytics/company/sz/301045/301045/detail</t>
  </si>
  <si>
    <t>理工光科</t>
  </si>
  <si>
    <t>www.lixinger.com/analytics/company/sz/300557/300557/detail</t>
  </si>
  <si>
    <t>零点有数</t>
  </si>
  <si>
    <t>www.lixinger.com/analytics/company/sz/301169/301169/detail</t>
  </si>
  <si>
    <t>ST沪科</t>
  </si>
  <si>
    <t>www.lixinger.com/analytics/company/sh/600608/600608/detail</t>
  </si>
  <si>
    <t>万讯自控</t>
  </si>
  <si>
    <t>www.lixinger.com/analytics/company/sz/300112/300112/detail</t>
  </si>
  <si>
    <t>惠城环保</t>
  </si>
  <si>
    <t>www.lixinger.com/analytics/company/sz/300779/300779/detail</t>
  </si>
  <si>
    <t>中兴商业</t>
  </si>
  <si>
    <t>www.lixinger.com/analytics/company/sz/000715/715/detail</t>
  </si>
  <si>
    <t>和远气体</t>
  </si>
  <si>
    <t>www.lixinger.com/analytics/company/sz/002971/2971/detail</t>
  </si>
  <si>
    <t>红星发展</t>
  </si>
  <si>
    <t>www.lixinger.com/analytics/company/sh/600367/600367/detail</t>
  </si>
  <si>
    <t>冠盛股份</t>
  </si>
  <si>
    <t>www.lixinger.com/analytics/company/sh/605088/605088/detail</t>
  </si>
  <si>
    <t>旗滨集团</t>
  </si>
  <si>
    <t>www.lixinger.com/analytics/company/sh/601636/601636/detail</t>
  </si>
  <si>
    <t>西昌电力</t>
  </si>
  <si>
    <t>www.lixinger.com/analytics/company/sh/600505/600505/detail</t>
  </si>
  <si>
    <t>恒信东方</t>
  </si>
  <si>
    <t>www.lixinger.com/analytics/company/sz/300081/300081/detail</t>
  </si>
  <si>
    <t>世纪鼎利</t>
  </si>
  <si>
    <t>www.lixinger.com/analytics/company/sz/300050/300050/detail</t>
  </si>
  <si>
    <t>大连友谊</t>
  </si>
  <si>
    <t>www.lixinger.com/analytics/company/sz/000679/679/detail</t>
  </si>
  <si>
    <t>行动教育</t>
  </si>
  <si>
    <t>www.lixinger.com/analytics/company/sh/605098/605098/detail</t>
  </si>
  <si>
    <t>方邦股份</t>
  </si>
  <si>
    <t>www.lixinger.com/analytics/company/sh/688020/688020/detail</t>
  </si>
  <si>
    <t>天创时尚</t>
  </si>
  <si>
    <t>www.lixinger.com/analytics/company/sh/603608/603608/detail</t>
  </si>
  <si>
    <t>华骐环保</t>
  </si>
  <si>
    <t>www.lixinger.com/analytics/company/sz/300929/300929/detail</t>
  </si>
  <si>
    <t>中公高科</t>
  </si>
  <si>
    <t>www.lixinger.com/analytics/company/sh/603860/603860/detail</t>
  </si>
  <si>
    <t>天安新材</t>
  </si>
  <si>
    <t>www.lixinger.com/analytics/company/sh/603725/603725/detail</t>
  </si>
  <si>
    <t>海兰信</t>
  </si>
  <si>
    <t>www.lixinger.com/analytics/company/sz/300065/300065/detail</t>
  </si>
  <si>
    <t>兆日科技</t>
  </si>
  <si>
    <t>www.lixinger.com/analytics/company/sz/300333/300333/detail</t>
  </si>
  <si>
    <t>捷强装备</t>
  </si>
  <si>
    <t>www.lixinger.com/analytics/company/sz/300875/300875/detail</t>
  </si>
  <si>
    <t>观想科技</t>
  </si>
  <si>
    <t>www.lixinger.com/analytics/company/sz/301213/301213/detail</t>
  </si>
  <si>
    <t>*ST赫美</t>
  </si>
  <si>
    <t>www.lixinger.com/analytics/company/sz/002356/2356/detail</t>
  </si>
  <si>
    <t>真视通</t>
  </si>
  <si>
    <t>www.lixinger.com/analytics/company/sz/002771/2771/detail</t>
  </si>
  <si>
    <t>共同药业</t>
  </si>
  <si>
    <t>www.lixinger.com/analytics/company/sz/300966/300966/detail</t>
  </si>
  <si>
    <t>华融化学</t>
  </si>
  <si>
    <t>www.lixinger.com/analytics/company/sz/301256/301256/detail</t>
  </si>
  <si>
    <t>鲁信创投</t>
  </si>
  <si>
    <t>www.lixinger.com/analytics/company/sh/600783/600783/detail</t>
  </si>
  <si>
    <t>罗平锌电</t>
  </si>
  <si>
    <t>www.lixinger.com/analytics/company/sz/002114/2114/detail</t>
  </si>
  <si>
    <t>东方银星</t>
  </si>
  <si>
    <t>www.lixinger.com/analytics/company/sh/600753/600753/detail</t>
  </si>
  <si>
    <t>沧州大化</t>
  </si>
  <si>
    <t>www.lixinger.com/analytics/company/sh/600230/600230/detail</t>
  </si>
  <si>
    <t>卓锦股份</t>
  </si>
  <si>
    <t>www.lixinger.com/analytics/company/sh/688701/688701/detail</t>
  </si>
  <si>
    <t>埃夫特</t>
  </si>
  <si>
    <t>www.lixinger.com/analytics/company/sh/688165/688165/detail</t>
  </si>
  <si>
    <t>乐鑫科技</t>
  </si>
  <si>
    <t>www.lixinger.com/analytics/company/sh/688018/688018/detail</t>
  </si>
  <si>
    <t>弘宇股份</t>
  </si>
  <si>
    <t>www.lixinger.com/analytics/company/sz/002890/2890/detail</t>
  </si>
  <si>
    <t>舒泰神</t>
  </si>
  <si>
    <t>www.lixinger.com/analytics/company/sz/300204/300204/detail</t>
  </si>
  <si>
    <t>正业科技</t>
  </si>
  <si>
    <t>www.lixinger.com/analytics/company/sz/300410/300410/detail</t>
  </si>
  <si>
    <t>航亚科技</t>
  </si>
  <si>
    <t>www.lixinger.com/analytics/company/sh/688510/688510/detail</t>
  </si>
  <si>
    <t>宏达电子</t>
  </si>
  <si>
    <t>www.lixinger.com/analytics/company/sz/300726/300726/detail</t>
  </si>
  <si>
    <t>未名医药</t>
  </si>
  <si>
    <t>www.lixinger.com/analytics/company/sz/002581/2581/detail</t>
  </si>
  <si>
    <t>科新机电</t>
  </si>
  <si>
    <t>www.lixinger.com/analytics/company/sz/300092/300092/detail</t>
  </si>
  <si>
    <t>贵绳股份</t>
  </si>
  <si>
    <t>www.lixinger.com/analytics/company/sh/600992/600992/detail</t>
  </si>
  <si>
    <t>先锋电子</t>
  </si>
  <si>
    <t>www.lixinger.com/analytics/company/sz/002767/2767/detail</t>
  </si>
  <si>
    <t>探路者</t>
  </si>
  <si>
    <t>www.lixinger.com/analytics/company/sz/300005/300005/detail</t>
  </si>
  <si>
    <t>纳微科技</t>
  </si>
  <si>
    <t>www.lixinger.com/analytics/company/sh/688690/688690/detail</t>
  </si>
  <si>
    <t>能辉科技</t>
  </si>
  <si>
    <t>www.lixinger.com/analytics/company/sz/301046/301046/detail</t>
  </si>
  <si>
    <t>诚迈科技</t>
  </si>
  <si>
    <t>www.lixinger.com/analytics/company/sz/300598/300598/detail</t>
  </si>
  <si>
    <t>元祖股份</t>
  </si>
  <si>
    <t>www.lixinger.com/analytics/company/sh/603886/603886/detail</t>
  </si>
  <si>
    <t>永东股份</t>
  </si>
  <si>
    <t>www.lixinger.com/analytics/company/sz/002753/2753/detail</t>
  </si>
  <si>
    <t>慧辰股份</t>
  </si>
  <si>
    <t>www.lixinger.com/analytics/company/sh/688500/688500/detail</t>
  </si>
  <si>
    <t>蜀道装备</t>
  </si>
  <si>
    <t>www.lixinger.com/analytics/company/sz/300540/300540/detail</t>
  </si>
  <si>
    <t>启迪药业</t>
  </si>
  <si>
    <t>www.lixinger.com/analytics/company/sz/000590/590/detail</t>
  </si>
  <si>
    <t>龙溪股份</t>
  </si>
  <si>
    <t>www.lixinger.com/analytics/company/sh/600592/600592/detail</t>
  </si>
  <si>
    <t>铜牛信息</t>
  </si>
  <si>
    <t>www.lixinger.com/analytics/company/sz/300895/300895/detail</t>
  </si>
  <si>
    <t>松芝股份</t>
  </si>
  <si>
    <t>www.lixinger.com/analytics/company/sz/002454/2454/detail</t>
  </si>
  <si>
    <t>西安饮食</t>
  </si>
  <si>
    <t>www.lixinger.com/analytics/company/sz/000721/721/detail</t>
  </si>
  <si>
    <t>古越龙山</t>
  </si>
  <si>
    <t>www.lixinger.com/analytics/company/sh/600059/600059/detail</t>
  </si>
  <si>
    <t>恒通股份</t>
  </si>
  <si>
    <t>www.lixinger.com/analytics/company/sh/603223/603223/detail</t>
  </si>
  <si>
    <t>大洋生物</t>
  </si>
  <si>
    <t>www.lixinger.com/analytics/company/sz/003017/3017/detail</t>
  </si>
  <si>
    <t>山东药玻</t>
  </si>
  <si>
    <t>www.lixinger.com/analytics/company/sh/600529/600529/detail</t>
  </si>
  <si>
    <t>人民同泰</t>
  </si>
  <si>
    <t>www.lixinger.com/analytics/company/sh/600829/600829/detail</t>
  </si>
  <si>
    <t>东信和平</t>
  </si>
  <si>
    <t>www.lixinger.com/analytics/company/sz/002017/2017/detail</t>
  </si>
  <si>
    <t>海顺新材</t>
  </si>
  <si>
    <t>www.lixinger.com/analytics/company/sz/300501/300501/detail</t>
  </si>
  <si>
    <t>醋化股份</t>
  </si>
  <si>
    <t>www.lixinger.com/analytics/company/sh/603968/603968/detail</t>
  </si>
  <si>
    <t>初灵信息</t>
  </si>
  <si>
    <t>www.lixinger.com/analytics/company/sz/300250/300250/detail</t>
  </si>
  <si>
    <t>芯海科技</t>
  </si>
  <si>
    <t>www.lixinger.com/analytics/company/sh/688595/688595/detail</t>
  </si>
  <si>
    <t>永和股份</t>
  </si>
  <si>
    <t>www.lixinger.com/analytics/company/sh/605020/605020/detail</t>
  </si>
  <si>
    <t>山石网科</t>
  </si>
  <si>
    <t>www.lixinger.com/analytics/company/sh/688030/688030/detail</t>
  </si>
  <si>
    <t>顾地科技</t>
  </si>
  <si>
    <t>www.lixinger.com/analytics/company/sz/002694/2694/detail</t>
  </si>
  <si>
    <t>音飞储存</t>
  </si>
  <si>
    <t>www.lixinger.com/analytics/company/sh/603066/603066/detail</t>
  </si>
  <si>
    <t>金钟股份</t>
  </si>
  <si>
    <t>www.lixinger.com/analytics/company/sz/301133/301133/detail</t>
  </si>
  <si>
    <t>远方信息</t>
  </si>
  <si>
    <t>www.lixinger.com/analytics/company/sz/300306/300306/detail</t>
  </si>
  <si>
    <t>浙江富润</t>
  </si>
  <si>
    <t>www.lixinger.com/analytics/company/sh/600070/600070/detail</t>
  </si>
  <si>
    <t>神思电子</t>
  </si>
  <si>
    <t>www.lixinger.com/analytics/company/sz/300479/300479/detail</t>
  </si>
  <si>
    <t>海辰药业</t>
  </si>
  <si>
    <t>www.lixinger.com/analytics/company/sz/300584/300584/detail</t>
  </si>
  <si>
    <t>四川九洲</t>
  </si>
  <si>
    <t>www.lixinger.com/analytics/company/sz/000801/801/detail</t>
  </si>
  <si>
    <t>碳元科技</t>
  </si>
  <si>
    <t>www.lixinger.com/analytics/company/sh/603133/603133/detail</t>
  </si>
  <si>
    <t>宝兰德</t>
  </si>
  <si>
    <t>www.lixinger.com/analytics/company/sh/688058/688058/detail</t>
  </si>
  <si>
    <t>凌钢股份</t>
  </si>
  <si>
    <t>www.lixinger.com/analytics/company/sh/600231/600231/detail</t>
  </si>
  <si>
    <t>海特生物</t>
  </si>
  <si>
    <t>www.lixinger.com/analytics/company/sz/300683/300683/detail</t>
  </si>
  <si>
    <t>仲景食品</t>
  </si>
  <si>
    <t>www.lixinger.com/analytics/company/sz/300908/300908/detail</t>
  </si>
  <si>
    <t>五洋停车</t>
  </si>
  <si>
    <t>www.lixinger.com/analytics/company/sz/300420/300420/detail</t>
  </si>
  <si>
    <t>华力创通</t>
  </si>
  <si>
    <t>www.lixinger.com/analytics/company/sz/300045/300045/detail</t>
  </si>
  <si>
    <t>盛通股份</t>
  </si>
  <si>
    <t>www.lixinger.com/analytics/company/sz/002599/2599/detail</t>
  </si>
  <si>
    <t>苏博特</t>
  </si>
  <si>
    <t>www.lixinger.com/analytics/company/sh/603916/603916/detail</t>
  </si>
  <si>
    <t>太极集团</t>
  </si>
  <si>
    <t>www.lixinger.com/analytics/company/sh/600129/600129/detail</t>
  </si>
  <si>
    <t>锐奇股份</t>
  </si>
  <si>
    <t>www.lixinger.com/analytics/company/sz/300126/300126/detail</t>
  </si>
  <si>
    <t>张小泉</t>
  </si>
  <si>
    <t>www.lixinger.com/analytics/company/sz/301055/301055/detail</t>
  </si>
  <si>
    <t>瑞可达</t>
  </si>
  <si>
    <t>www.lixinger.com/analytics/company/sh/688800/688800/detail</t>
  </si>
  <si>
    <t>罗普斯金</t>
  </si>
  <si>
    <t>www.lixinger.com/analytics/company/sz/002333/2333/detail</t>
  </si>
  <si>
    <t>科陆电子</t>
  </si>
  <si>
    <t>www.lixinger.com/analytics/company/sz/002121/2121/detail</t>
  </si>
  <si>
    <t>依米康</t>
  </si>
  <si>
    <t>www.lixinger.com/analytics/company/sz/300249/300249/detail</t>
  </si>
  <si>
    <t>ST中捷</t>
  </si>
  <si>
    <t>www.lixinger.com/analytics/company/sz/002021/2021/detail</t>
  </si>
  <si>
    <t>达华智能</t>
  </si>
  <si>
    <t>www.lixinger.com/analytics/company/sz/002512/2512/detail</t>
  </si>
  <si>
    <t>泰永长征</t>
  </si>
  <si>
    <t>www.lixinger.com/analytics/company/sz/002927/2927/detail</t>
  </si>
  <si>
    <t>华伍股份</t>
  </si>
  <si>
    <t>www.lixinger.com/analytics/company/sz/300095/300095/detail</t>
  </si>
  <si>
    <t>中润资源</t>
  </si>
  <si>
    <t>www.lixinger.com/analytics/company/sz/000506/506/detail</t>
  </si>
  <si>
    <t>德创环保</t>
  </si>
  <si>
    <t>www.lixinger.com/analytics/company/sh/603177/603177/detail</t>
  </si>
  <si>
    <t>海得控制</t>
  </si>
  <si>
    <t>www.lixinger.com/analytics/company/sz/002184/2184/detail</t>
  </si>
  <si>
    <t>立昂微</t>
  </si>
  <si>
    <t>www.lixinger.com/analytics/company/sh/605358/605358/detail</t>
  </si>
  <si>
    <t>康跃科技</t>
  </si>
  <si>
    <t>www.lixinger.com/analytics/company/sz/300391/300391/detail</t>
  </si>
  <si>
    <t>秦川物联</t>
  </si>
  <si>
    <t>www.lixinger.com/analytics/company/sh/688528/688528/detail</t>
  </si>
  <si>
    <t>勤上股份</t>
  </si>
  <si>
    <t>www.lixinger.com/analytics/company/sz/002638/2638/detail</t>
  </si>
  <si>
    <t>英杰电气</t>
  </si>
  <si>
    <t>www.lixinger.com/analytics/company/sz/300820/300820/detail</t>
  </si>
  <si>
    <t>天银机电</t>
  </si>
  <si>
    <t>www.lixinger.com/analytics/company/sz/300342/300342/detail</t>
  </si>
  <si>
    <t>金科环境</t>
  </si>
  <si>
    <t>www.lixinger.com/analytics/company/sh/688466/688466/detail</t>
  </si>
  <si>
    <t>隆华科技</t>
  </si>
  <si>
    <t>www.lixinger.com/analytics/company/sz/300263/300263/detail</t>
  </si>
  <si>
    <t>申联生物</t>
  </si>
  <si>
    <t>www.lixinger.com/analytics/company/sh/688098/688098/detail</t>
  </si>
  <si>
    <t>金马游乐</t>
  </si>
  <si>
    <t>www.lixinger.com/analytics/company/sz/300756/300756/detail</t>
  </si>
  <si>
    <t>京城股份</t>
  </si>
  <si>
    <t>www.lixinger.com/analytics/company/sh/600860/600860/detail</t>
  </si>
  <si>
    <t>恒顺醋业</t>
  </si>
  <si>
    <t>www.lixinger.com/analytics/company/sh/600305/600305/detail</t>
  </si>
  <si>
    <t>名家汇</t>
  </si>
  <si>
    <t>www.lixinger.com/analytics/company/sz/300506/300506/detail</t>
  </si>
  <si>
    <t>九华旅游</t>
  </si>
  <si>
    <t>www.lixinger.com/analytics/company/sh/603199/603199/detail</t>
  </si>
  <si>
    <t>新世界</t>
  </si>
  <si>
    <t>www.lixinger.com/analytics/company/sh/600628/600628/detail</t>
  </si>
  <si>
    <t>实丰文化</t>
  </si>
  <si>
    <t>www.lixinger.com/analytics/company/sz/002862/2862/detail</t>
  </si>
  <si>
    <t>南山智尚</t>
  </si>
  <si>
    <t>www.lixinger.com/analytics/company/sz/300918/300918/detail</t>
  </si>
  <si>
    <t>蓝英装备</t>
  </si>
  <si>
    <t>www.lixinger.com/analytics/company/sz/300293/300293/detail</t>
  </si>
  <si>
    <t>英派斯</t>
  </si>
  <si>
    <t>www.lixinger.com/analytics/company/sz/002899/2899/detail</t>
  </si>
  <si>
    <t>优利德</t>
  </si>
  <si>
    <t>www.lixinger.com/analytics/company/sh/688628/688628/detail</t>
  </si>
  <si>
    <t>深科达</t>
  </si>
  <si>
    <t>www.lixinger.com/analytics/company/sh/688328/688328/detail</t>
  </si>
  <si>
    <t>南都物业</t>
  </si>
  <si>
    <t>www.lixinger.com/analytics/company/sh/603506/603506/detail</t>
  </si>
  <si>
    <t>赛福天</t>
  </si>
  <si>
    <t>www.lixinger.com/analytics/company/sh/603028/603028/detail</t>
  </si>
  <si>
    <t>日海智能</t>
  </si>
  <si>
    <t>www.lixinger.com/analytics/company/sz/002313/2313/detail</t>
  </si>
  <si>
    <t>博敏电子</t>
  </si>
  <si>
    <t>www.lixinger.com/analytics/company/sh/603936/603936/detail</t>
  </si>
  <si>
    <t>运机集团</t>
  </si>
  <si>
    <t>www.lixinger.com/analytics/company/sz/001288/1288/detail</t>
  </si>
  <si>
    <t>浩云科技</t>
  </si>
  <si>
    <t>www.lixinger.com/analytics/company/sz/300448/300448/detail</t>
  </si>
  <si>
    <t>欧林生物</t>
  </si>
  <si>
    <t>www.lixinger.com/analytics/company/sh/688319/688319/detail</t>
  </si>
  <si>
    <t>达意隆</t>
  </si>
  <si>
    <t>www.lixinger.com/analytics/company/sz/002209/2209/detail</t>
  </si>
  <si>
    <t>华虹计通</t>
  </si>
  <si>
    <t>www.lixinger.com/analytics/company/sz/300330/300330/detail</t>
  </si>
  <si>
    <t>昇辉科技</t>
  </si>
  <si>
    <t>www.lixinger.com/analytics/company/sz/300423/300423/detail</t>
  </si>
  <si>
    <t>辰安科技</t>
  </si>
  <si>
    <t>www.lixinger.com/analytics/company/sz/300523/300523/detail</t>
  </si>
  <si>
    <t>百川股份</t>
  </si>
  <si>
    <t>www.lixinger.com/analytics/company/sz/002455/2455/detail</t>
  </si>
  <si>
    <t>力芯微</t>
  </si>
  <si>
    <t>www.lixinger.com/analytics/company/sh/688601/688601/detail</t>
  </si>
  <si>
    <t>九号公司</t>
  </si>
  <si>
    <t>www.lixinger.com/analytics/company/sh/689009/689009/detail</t>
  </si>
  <si>
    <t>*ST绿景</t>
  </si>
  <si>
    <t>www.lixinger.com/analytics/company/sz/000502/502/detail</t>
  </si>
  <si>
    <t>建研设计</t>
  </si>
  <si>
    <t>www.lixinger.com/analytics/company/sz/301167/301167/detail</t>
  </si>
  <si>
    <t>佳士科技</t>
  </si>
  <si>
    <t>www.lixinger.com/analytics/company/sz/300193/300193/detail</t>
  </si>
  <si>
    <t>启明星辰</t>
  </si>
  <si>
    <t>www.lixinger.com/analytics/company/sz/002439/2439/detail</t>
  </si>
  <si>
    <t>赛诺医疗</t>
  </si>
  <si>
    <t>www.lixinger.com/analytics/company/sh/688108/688108/detail</t>
  </si>
  <si>
    <t>康芝药业</t>
  </si>
  <si>
    <t>www.lixinger.com/analytics/company/sz/300086/300086/detail</t>
  </si>
  <si>
    <t>左江科技</t>
  </si>
  <si>
    <t>www.lixinger.com/analytics/company/sz/300799/300799/detail</t>
  </si>
  <si>
    <t>保立佳</t>
  </si>
  <si>
    <t>www.lixinger.com/analytics/company/sz/301037/301037/detail</t>
  </si>
  <si>
    <t>会通股份</t>
  </si>
  <si>
    <t>www.lixinger.com/analytics/company/sh/688219/688219/detail</t>
  </si>
  <si>
    <t>青云科技</t>
  </si>
  <si>
    <t>www.lixinger.com/analytics/company/sh/688316/688316/detail</t>
  </si>
  <si>
    <t>顺网科技</t>
  </si>
  <si>
    <t>www.lixinger.com/analytics/company/sz/300113/300113/detail</t>
  </si>
  <si>
    <t>得利斯</t>
  </si>
  <si>
    <t>www.lixinger.com/analytics/company/sz/002330/2330/detail</t>
  </si>
  <si>
    <t>汉嘉设计</t>
  </si>
  <si>
    <t>www.lixinger.com/analytics/company/sz/300746/300746/detail</t>
  </si>
  <si>
    <t>新劲刚</t>
  </si>
  <si>
    <t>www.lixinger.com/analytics/company/sz/300629/300629/detail</t>
  </si>
  <si>
    <t>海锅股份</t>
  </si>
  <si>
    <t>www.lixinger.com/analytics/company/sz/301063/301063/detail</t>
  </si>
  <si>
    <t>奥拓电子</t>
  </si>
  <si>
    <t>www.lixinger.com/analytics/company/sz/002587/2587/detail</t>
  </si>
  <si>
    <t>亚威股份</t>
  </si>
  <si>
    <t>www.lixinger.com/analytics/company/sz/002559/2559/detail</t>
  </si>
  <si>
    <t>金麒麟</t>
  </si>
  <si>
    <t>www.lixinger.com/analytics/company/sh/603586/603586/detail</t>
  </si>
  <si>
    <t>万集科技</t>
  </si>
  <si>
    <t>www.lixinger.com/analytics/company/sz/300552/300552/detail</t>
  </si>
  <si>
    <t>汇中股份</t>
  </si>
  <si>
    <t>www.lixinger.com/analytics/company/sz/300371/300371/detail</t>
  </si>
  <si>
    <t>奥特迅</t>
  </si>
  <si>
    <t>www.lixinger.com/analytics/company/sz/002227/2227/detail</t>
  </si>
  <si>
    <t>华菱精工</t>
  </si>
  <si>
    <t>www.lixinger.com/analytics/company/sh/603356/603356/detail</t>
  </si>
  <si>
    <t>金陵体育</t>
  </si>
  <si>
    <t>www.lixinger.com/analytics/company/sz/300651/300651/detail</t>
  </si>
  <si>
    <t>同飞股份</t>
  </si>
  <si>
    <t>www.lixinger.com/analytics/company/sz/300990/300990/detail</t>
  </si>
  <si>
    <t>海鸥股份</t>
  </si>
  <si>
    <t>www.lixinger.com/analytics/company/sh/603269/603269/detail</t>
  </si>
  <si>
    <t>天顺股份</t>
  </si>
  <si>
    <t>www.lixinger.com/analytics/company/sz/002800/2800/detail</t>
  </si>
  <si>
    <t>世运电路</t>
  </si>
  <si>
    <t>www.lixinger.com/analytics/company/sh/603920/603920/detail</t>
  </si>
  <si>
    <t>福光股份</t>
  </si>
  <si>
    <t>www.lixinger.com/analytics/company/sh/688010/688010/detail</t>
  </si>
  <si>
    <t>三星新材</t>
  </si>
  <si>
    <t>www.lixinger.com/analytics/company/sh/603578/603578/detail</t>
  </si>
  <si>
    <t>三川智慧</t>
  </si>
  <si>
    <t>www.lixinger.com/analytics/company/sz/300066/300066/detail</t>
  </si>
  <si>
    <t>睿创微纳</t>
  </si>
  <si>
    <t>www.lixinger.com/analytics/company/sh/688002/688002/detail</t>
  </si>
  <si>
    <t>汤臣倍健</t>
  </si>
  <si>
    <t>www.lixinger.com/analytics/company/sz/300146/300146/detail</t>
  </si>
  <si>
    <t>银之杰</t>
  </si>
  <si>
    <t>www.lixinger.com/analytics/company/sz/300085/300085/detail</t>
  </si>
  <si>
    <t>湘邮科技</t>
  </si>
  <si>
    <t>www.lixinger.com/analytics/company/sh/600476/600476/detail</t>
  </si>
  <si>
    <t>科翔股份</t>
  </si>
  <si>
    <t>www.lixinger.com/analytics/company/sz/300903/300903/detail</t>
  </si>
  <si>
    <t>粤宏远Ａ</t>
  </si>
  <si>
    <t>www.lixinger.com/analytics/company/sz/000573/573/detail</t>
  </si>
  <si>
    <t>山科智能</t>
  </si>
  <si>
    <t>www.lixinger.com/analytics/company/sz/300897/300897/detail</t>
  </si>
  <si>
    <t>利通电子</t>
  </si>
  <si>
    <t>www.lixinger.com/analytics/company/sh/603629/603629/detail</t>
  </si>
  <si>
    <t>南宁百货</t>
  </si>
  <si>
    <t>www.lixinger.com/analytics/company/sh/600712/600712/detail</t>
  </si>
  <si>
    <t>莫高股份</t>
  </si>
  <si>
    <t>www.lixinger.com/analytics/company/sh/600543/600543/detail</t>
  </si>
  <si>
    <t>东风股份</t>
  </si>
  <si>
    <t>www.lixinger.com/analytics/company/sh/601515/601515/detail</t>
  </si>
  <si>
    <t>ST宏图</t>
  </si>
  <si>
    <t>www.lixinger.com/analytics/company/sh/600122/600122/detail</t>
  </si>
  <si>
    <t>掌趣科技</t>
  </si>
  <si>
    <t>www.lixinger.com/analytics/company/sz/300315/300315/detail</t>
  </si>
  <si>
    <t>珠江钢琴</t>
  </si>
  <si>
    <t>www.lixinger.com/analytics/company/sz/002678/2678/detail</t>
  </si>
  <si>
    <t>博通股份</t>
  </si>
  <si>
    <t>www.lixinger.com/analytics/company/sh/600455/600455/detail</t>
  </si>
  <si>
    <t>新雷能</t>
  </si>
  <si>
    <t>www.lixinger.com/analytics/company/sz/300593/300593/detail</t>
  </si>
  <si>
    <t>金富科技</t>
  </si>
  <si>
    <t>www.lixinger.com/analytics/company/sz/003018/3018/detail</t>
  </si>
  <si>
    <t>南风股份</t>
  </si>
  <si>
    <t>www.lixinger.com/analytics/company/sz/300004/300004/detail</t>
  </si>
  <si>
    <t>金城医药</t>
  </si>
  <si>
    <t>www.lixinger.com/analytics/company/sz/300233/300233/detail</t>
  </si>
  <si>
    <t>ST通葡</t>
  </si>
  <si>
    <t>www.lixinger.com/analytics/company/sh/600365/600365/detail</t>
  </si>
  <si>
    <t>震有科技</t>
  </si>
  <si>
    <t>www.lixinger.com/analytics/company/sh/688418/688418/detail</t>
  </si>
  <si>
    <t>亿帆医药</t>
  </si>
  <si>
    <t>www.lixinger.com/analytics/company/sz/002019/2019/detail</t>
  </si>
  <si>
    <t>天和防务</t>
  </si>
  <si>
    <t>www.lixinger.com/analytics/company/sz/300397/300397/detail</t>
  </si>
  <si>
    <t>联诚精密</t>
  </si>
  <si>
    <t>www.lixinger.com/analytics/company/sz/002921/2921/detail</t>
  </si>
  <si>
    <t>绿岛风</t>
  </si>
  <si>
    <t>www.lixinger.com/analytics/company/sz/301043/301043/detail</t>
  </si>
  <si>
    <t>高德红外</t>
  </si>
  <si>
    <t>www.lixinger.com/analytics/company/sz/002414/2414/detail</t>
  </si>
  <si>
    <t>曙光股份</t>
  </si>
  <si>
    <t>www.lixinger.com/analytics/company/sh/600303/600303/detail</t>
  </si>
  <si>
    <t>乾景园林</t>
  </si>
  <si>
    <t>www.lixinger.com/analytics/company/sh/603778/603778/detail</t>
  </si>
  <si>
    <t>天亿马</t>
  </si>
  <si>
    <t>www.lixinger.com/analytics/company/sz/301178/301178/detail</t>
  </si>
  <si>
    <t>永贵电器</t>
  </si>
  <si>
    <t>www.lixinger.com/analytics/company/sz/300351/300351/detail</t>
  </si>
  <si>
    <t>高凌信息</t>
  </si>
  <si>
    <t>www.lixinger.com/analytics/company/sh/688175/688175/detail</t>
  </si>
  <si>
    <t>法尔胜</t>
  </si>
  <si>
    <t>www.lixinger.com/analytics/company/sz/000890/890/detail</t>
  </si>
  <si>
    <t>苏常柴Ａ</t>
  </si>
  <si>
    <t>www.lixinger.com/analytics/company/sz/000570/570/detail</t>
  </si>
  <si>
    <t>霍莱沃</t>
  </si>
  <si>
    <t>www.lixinger.com/analytics/company/sh/688682/688682/detail</t>
  </si>
  <si>
    <t>唐源电气</t>
  </si>
  <si>
    <t>www.lixinger.com/analytics/company/sz/300789/300789/detail</t>
  </si>
  <si>
    <t>海波重科</t>
  </si>
  <si>
    <t>www.lixinger.com/analytics/company/sz/300517/300517/detail</t>
  </si>
  <si>
    <t>阳光照明</t>
  </si>
  <si>
    <t>www.lixinger.com/analytics/company/sh/600261/600261/detail</t>
  </si>
  <si>
    <t>太和水</t>
  </si>
  <si>
    <t>www.lixinger.com/analytics/company/sh/605081/605081/detail</t>
  </si>
  <si>
    <t>荣丰控股</t>
  </si>
  <si>
    <t>www.lixinger.com/analytics/company/sz/000668/668/detail</t>
  </si>
  <si>
    <t>嘉戎技术</t>
  </si>
  <si>
    <t>www.lixinger.com/analytics/company/sz/301148/301148/detail</t>
  </si>
  <si>
    <t>中再资环</t>
  </si>
  <si>
    <t>www.lixinger.com/analytics/company/sh/600217/600217/detail</t>
  </si>
  <si>
    <t>梅轮电梯</t>
  </si>
  <si>
    <t>www.lixinger.com/analytics/company/sh/603321/603321/detail</t>
  </si>
  <si>
    <t>胜蓝股份</t>
  </si>
  <si>
    <t>www.lixinger.com/analytics/company/sz/300843/300843/detail</t>
  </si>
  <si>
    <t>雷尔伟</t>
  </si>
  <si>
    <t>www.lixinger.com/analytics/company/sz/301016/301016/detail</t>
  </si>
  <si>
    <t>济南高新</t>
  </si>
  <si>
    <t>www.lixinger.com/analytics/company/sh/600807/600807/detail</t>
  </si>
  <si>
    <t>江苏阳光</t>
  </si>
  <si>
    <t>www.lixinger.com/analytics/company/sh/600220/600220/detail</t>
  </si>
  <si>
    <t>交运股份</t>
  </si>
  <si>
    <t>www.lixinger.com/analytics/company/sh/600676/600676/detail</t>
  </si>
  <si>
    <t>纵横股份</t>
  </si>
  <si>
    <t>www.lixinger.com/analytics/company/sh/688070/688070/detail</t>
  </si>
  <si>
    <t>创元科技</t>
  </si>
  <si>
    <t>www.lixinger.com/analytics/company/sz/000551/551/detail</t>
  </si>
  <si>
    <t>中科微至</t>
  </si>
  <si>
    <t>www.lixinger.com/analytics/company/sh/688211/688211/detail</t>
  </si>
  <si>
    <t>诚益通</t>
  </si>
  <si>
    <t>www.lixinger.com/analytics/company/sz/300430/300430/detail</t>
  </si>
  <si>
    <t>盛弘股份</t>
  </si>
  <si>
    <t>www.lixinger.com/analytics/company/sz/300693/300693/detail</t>
  </si>
  <si>
    <t>滨海能源</t>
  </si>
  <si>
    <t>www.lixinger.com/analytics/company/sz/000695/695/detail</t>
  </si>
  <si>
    <t>科融环境</t>
  </si>
  <si>
    <t>www.lixinger.com/analytics/company/sz/300152/300152/detail</t>
  </si>
  <si>
    <t>第一医药</t>
  </si>
  <si>
    <t>www.lixinger.com/analytics/company/sh/600833/600833/detail</t>
  </si>
  <si>
    <t>同大股份</t>
  </si>
  <si>
    <t>www.lixinger.com/analytics/company/sz/300321/300321/detail</t>
  </si>
  <si>
    <t>派克新材</t>
  </si>
  <si>
    <t>www.lixinger.com/analytics/company/sh/605123/605123/detail</t>
  </si>
  <si>
    <t>美瑞新材</t>
  </si>
  <si>
    <t>www.lixinger.com/analytics/company/sz/300848/300848/detail</t>
  </si>
  <si>
    <t>富祥药业</t>
  </si>
  <si>
    <t>www.lixinger.com/analytics/company/sz/300497/300497/detail</t>
  </si>
  <si>
    <t>国新文化</t>
  </si>
  <si>
    <t>www.lixinger.com/analytics/company/sh/600636/600636/detail</t>
  </si>
  <si>
    <t>*ST圣莱</t>
  </si>
  <si>
    <t>www.lixinger.com/analytics/company/sz/002473/2473/detail</t>
  </si>
  <si>
    <t>金轮股份</t>
  </si>
  <si>
    <t>www.lixinger.com/analytics/company/sz/002722/2722/detail</t>
  </si>
  <si>
    <t>桂林旅游</t>
  </si>
  <si>
    <t>www.lixinger.com/analytics/company/sz/000978/978/detail</t>
  </si>
  <si>
    <t>*ST博信</t>
  </si>
  <si>
    <t>www.lixinger.com/analytics/company/sh/600083/600083/detail</t>
  </si>
  <si>
    <t>光华科技</t>
  </si>
  <si>
    <t>www.lixinger.com/analytics/company/sz/002741/2741/detail</t>
  </si>
  <si>
    <t>艾为电子</t>
  </si>
  <si>
    <t>www.lixinger.com/analytics/company/sh/688798/688798/detail</t>
  </si>
  <si>
    <t>*ST亚星</t>
  </si>
  <si>
    <t>www.lixinger.com/analytics/company/sh/600319/600319/detail</t>
  </si>
  <si>
    <t>正源股份</t>
  </si>
  <si>
    <t>www.lixinger.com/analytics/company/sh/600321/600321/detail</t>
  </si>
  <si>
    <t>新城市</t>
  </si>
  <si>
    <t>www.lixinger.com/analytics/company/sz/300778/300778/detail</t>
  </si>
  <si>
    <t>立昂技术</t>
  </si>
  <si>
    <t>www.lixinger.com/analytics/company/sz/300603/300603/detail</t>
  </si>
  <si>
    <t>国光电气</t>
  </si>
  <si>
    <t>www.lixinger.com/analytics/company/sh/688776/688776/detail</t>
  </si>
  <si>
    <t>天智航</t>
  </si>
  <si>
    <t>www.lixinger.com/analytics/company/sh/688277/688277/detail</t>
  </si>
  <si>
    <t>天润乳业</t>
  </si>
  <si>
    <t>www.lixinger.com/analytics/company/sh/600419/600419/detail</t>
  </si>
  <si>
    <t>通源环境</t>
  </si>
  <si>
    <t>www.lixinger.com/analytics/company/sh/688679/688679/detail</t>
  </si>
  <si>
    <t>张家界</t>
  </si>
  <si>
    <t>www.lixinger.com/analytics/company/sz/000430/430/detail</t>
  </si>
  <si>
    <t>全聚德</t>
  </si>
  <si>
    <t>www.lixinger.com/analytics/company/sz/002186/2186/detail</t>
  </si>
  <si>
    <t>天喻信息</t>
  </si>
  <si>
    <t>www.lixinger.com/analytics/company/sz/300205/300205/detail</t>
  </si>
  <si>
    <t>贝瑞基因</t>
  </si>
  <si>
    <t>www.lixinger.com/analytics/company/sz/000710/710/detail</t>
  </si>
  <si>
    <t>国美通讯</t>
  </si>
  <si>
    <t>www.lixinger.com/analytics/company/sh/600898/600898/detail</t>
  </si>
  <si>
    <t>云煤能源</t>
  </si>
  <si>
    <t>www.lixinger.com/analytics/company/sh/600792/600792/detail</t>
  </si>
  <si>
    <t>飞马国际</t>
  </si>
  <si>
    <t>www.lixinger.com/analytics/company/sz/002210/2210/detail</t>
  </si>
  <si>
    <t>永安行</t>
  </si>
  <si>
    <t>www.lixinger.com/analytics/company/sh/603776/603776/detail</t>
  </si>
  <si>
    <t>新风光</t>
  </si>
  <si>
    <t>www.lixinger.com/analytics/company/sh/688663/688663/detail</t>
  </si>
  <si>
    <t>美迪西</t>
  </si>
  <si>
    <t>www.lixinger.com/analytics/company/sh/688202/688202/detail</t>
  </si>
  <si>
    <t>神农集团</t>
  </si>
  <si>
    <t>www.lixinger.com/analytics/company/sh/605296/605296/detail</t>
  </si>
  <si>
    <t>光云科技</t>
  </si>
  <si>
    <t>www.lixinger.com/analytics/company/sh/688365/688365/detail</t>
  </si>
  <si>
    <t>山大地纬</t>
  </si>
  <si>
    <t>www.lixinger.com/analytics/company/sh/688579/688579/detail</t>
  </si>
  <si>
    <t>易瑞生物</t>
  </si>
  <si>
    <t>www.lixinger.com/analytics/company/sz/300942/300942/detail</t>
  </si>
  <si>
    <t>佳缘科技</t>
  </si>
  <si>
    <t>www.lixinger.com/analytics/company/sz/301117/301117/detail</t>
  </si>
  <si>
    <t>华录百纳</t>
  </si>
  <si>
    <t>www.lixinger.com/analytics/company/sz/300291/300291/detail</t>
  </si>
  <si>
    <t>艾力斯</t>
  </si>
  <si>
    <t>www.lixinger.com/analytics/company/sh/688578/688578/detail</t>
  </si>
  <si>
    <t>海利生物</t>
  </si>
  <si>
    <t>www.lixinger.com/analytics/company/sh/603718/603718/detail</t>
  </si>
  <si>
    <t>合诚股份</t>
  </si>
  <si>
    <t>www.lixinger.com/analytics/company/sh/603909/603909/detail</t>
  </si>
  <si>
    <t>恒立实业</t>
  </si>
  <si>
    <t>www.lixinger.com/analytics/company/sz/000622/622/detail</t>
  </si>
  <si>
    <t>中兰环保</t>
  </si>
  <si>
    <t>www.lixinger.com/analytics/company/sz/300854/300854/detail</t>
  </si>
  <si>
    <t>宝利国际</t>
  </si>
  <si>
    <t>www.lixinger.com/analytics/company/sz/300135/300135/detail</t>
  </si>
  <si>
    <t>东瑞股份</t>
  </si>
  <si>
    <t>www.lixinger.com/analytics/company/sz/001201/1201/detail</t>
  </si>
  <si>
    <t>华兰疫苗</t>
  </si>
  <si>
    <t>www.lixinger.com/analytics/company/sz/301207/301207/detail</t>
  </si>
  <si>
    <t>永吉股份</t>
  </si>
  <si>
    <t>www.lixinger.com/analytics/company/sh/603058/603058/detail</t>
  </si>
  <si>
    <t>江龙船艇</t>
  </si>
  <si>
    <t>www.lixinger.com/analytics/company/sz/300589/300589/detail</t>
  </si>
  <si>
    <t>斯莱克</t>
  </si>
  <si>
    <t>www.lixinger.com/analytics/company/sz/300382/300382/detail</t>
  </si>
  <si>
    <t>大亚圣象</t>
  </si>
  <si>
    <t>www.lixinger.com/analytics/company/sz/000910/910/detail</t>
  </si>
  <si>
    <t>雄帝科技</t>
  </si>
  <si>
    <t>www.lixinger.com/analytics/company/sz/300546/300546/detail</t>
  </si>
  <si>
    <t>岳阳兴长</t>
  </si>
  <si>
    <t>www.lixinger.com/analytics/company/sz/000819/819/detail</t>
  </si>
  <si>
    <t>广博股份</t>
  </si>
  <si>
    <t>www.lixinger.com/analytics/company/sz/002103/2103/detail</t>
  </si>
  <si>
    <t>华是科技</t>
  </si>
  <si>
    <t>www.lixinger.com/analytics/company/sz/301218/301218/detail</t>
  </si>
  <si>
    <t>佳发教育</t>
  </si>
  <si>
    <t>www.lixinger.com/analytics/company/sz/300559/300559/detail</t>
  </si>
  <si>
    <t>通达股份</t>
  </si>
  <si>
    <t>www.lixinger.com/analytics/company/sz/002560/2560/detail</t>
  </si>
  <si>
    <t>武汉凡谷</t>
  </si>
  <si>
    <t>www.lixinger.com/analytics/company/sz/002194/2194/detail</t>
  </si>
  <si>
    <t>*ST厦华</t>
  </si>
  <si>
    <t>www.lixinger.com/analytics/company/sh/600870/600870/detail</t>
  </si>
  <si>
    <t>联合光电</t>
  </si>
  <si>
    <t>www.lixinger.com/analytics/company/sz/300691/300691/detail</t>
  </si>
  <si>
    <t>新华网</t>
  </si>
  <si>
    <t>www.lixinger.com/analytics/company/sh/603888/603888/detail</t>
  </si>
  <si>
    <t>宝丽迪</t>
  </si>
  <si>
    <t>www.lixinger.com/analytics/company/sz/300905/300905/detail</t>
  </si>
  <si>
    <t>舒华体育</t>
  </si>
  <si>
    <t>www.lixinger.com/analytics/company/sh/605299/605299/detail</t>
  </si>
  <si>
    <t>双乐股份</t>
  </si>
  <si>
    <t>www.lixinger.com/analytics/company/sz/301036/301036/detail</t>
  </si>
  <si>
    <t>四方股份</t>
  </si>
  <si>
    <t>www.lixinger.com/analytics/company/sh/601126/601126/detail</t>
  </si>
  <si>
    <t>正川股份</t>
  </si>
  <si>
    <t>www.lixinger.com/analytics/company/sh/603976/603976/detail</t>
  </si>
  <si>
    <t>中天火箭</t>
  </si>
  <si>
    <t>www.lixinger.com/analytics/company/sz/003009/3009/detail</t>
  </si>
  <si>
    <t>百合花</t>
  </si>
  <si>
    <t>www.lixinger.com/analytics/company/sh/603823/603823/detail</t>
  </si>
  <si>
    <t>奥康国际</t>
  </si>
  <si>
    <t>www.lixinger.com/analytics/company/sh/603001/603001/detail</t>
  </si>
  <si>
    <t>春雪食品</t>
  </si>
  <si>
    <t>www.lixinger.com/analytics/company/sh/605567/605567/detail</t>
  </si>
  <si>
    <t>天瑞仪器</t>
  </si>
  <si>
    <t>www.lixinger.com/analytics/company/sz/300165/300165/detail</t>
  </si>
  <si>
    <t>法兰泰克</t>
  </si>
  <si>
    <t>www.lixinger.com/analytics/company/sh/603966/603966/detail</t>
  </si>
  <si>
    <t>瑞普生物</t>
  </si>
  <si>
    <t>www.lixinger.com/analytics/company/sz/300119/300119/detail</t>
  </si>
  <si>
    <t>金信诺</t>
  </si>
  <si>
    <t>www.lixinger.com/analytics/company/sz/300252/300252/detail</t>
  </si>
  <si>
    <t>唐德影视</t>
  </si>
  <si>
    <t>www.lixinger.com/analytics/company/sz/300426/300426/detail</t>
  </si>
  <si>
    <t>新华文轩</t>
  </si>
  <si>
    <t>www.lixinger.com/analytics/company/sh/601811/601811/detail</t>
  </si>
  <si>
    <t>*ST万方</t>
  </si>
  <si>
    <t>www.lixinger.com/analytics/company/sz/000638/638/detail</t>
  </si>
  <si>
    <t>中恒集团</t>
  </si>
  <si>
    <t>www.lixinger.com/analytics/company/sh/600252/600252/detail</t>
  </si>
  <si>
    <t>万和电气</t>
  </si>
  <si>
    <t>卫浴电器</t>
  </si>
  <si>
    <t>www.lixinger.com/analytics/company/sz/002543/2543/detail</t>
  </si>
  <si>
    <t>四方精创</t>
  </si>
  <si>
    <t>www.lixinger.com/analytics/company/sz/300468/300468/detail</t>
  </si>
  <si>
    <t>豪尔赛</t>
  </si>
  <si>
    <t>www.lixinger.com/analytics/company/sz/002963/2963/detail</t>
  </si>
  <si>
    <t>菲林格尔</t>
  </si>
  <si>
    <t>www.lixinger.com/analytics/company/sh/603226/603226/detail</t>
  </si>
  <si>
    <t>鸿泉物联</t>
  </si>
  <si>
    <t>www.lixinger.com/analytics/company/sh/688288/688288/detail</t>
  </si>
  <si>
    <t>雄塑科技</t>
  </si>
  <si>
    <t>www.lixinger.com/analytics/company/sz/300599/300599/detail</t>
  </si>
  <si>
    <t>南大环境</t>
  </si>
  <si>
    <t>www.lixinger.com/analytics/company/sz/300864/300864/detail</t>
  </si>
  <si>
    <t>皖仪科技</t>
  </si>
  <si>
    <t>www.lixinger.com/analytics/company/sh/688600/688600/detail</t>
  </si>
  <si>
    <t>瑞丰光电</t>
  </si>
  <si>
    <t>www.lixinger.com/analytics/company/sz/300241/300241/detail</t>
  </si>
  <si>
    <t>广州酒家</t>
  </si>
  <si>
    <t>www.lixinger.com/analytics/company/sh/603043/603043/detail</t>
  </si>
  <si>
    <t>天正电气</t>
  </si>
  <si>
    <t>www.lixinger.com/analytics/company/sh/605066/605066/detail</t>
  </si>
  <si>
    <t>国脉科技</t>
  </si>
  <si>
    <t>www.lixinger.com/analytics/company/sz/002093/2093/detail</t>
  </si>
  <si>
    <t>重庆港</t>
  </si>
  <si>
    <t>www.lixinger.com/analytics/company/sh/600279/600279/detail</t>
  </si>
  <si>
    <t>中铁装配</t>
  </si>
  <si>
    <t>www.lixinger.com/analytics/company/sz/300374/300374/detail</t>
  </si>
  <si>
    <t>生意宝</t>
  </si>
  <si>
    <t>www.lixinger.com/analytics/company/sz/002095/2095/detail</t>
  </si>
  <si>
    <t>廊坊发展</t>
  </si>
  <si>
    <t>www.lixinger.com/analytics/company/sh/600149/600149/detail</t>
  </si>
  <si>
    <t>中原高速</t>
  </si>
  <si>
    <t>www.lixinger.com/analytics/company/sh/600020/600020/detail</t>
  </si>
  <si>
    <t>*ST凯瑞</t>
  </si>
  <si>
    <t>www.lixinger.com/analytics/company/sz/002072/2072/detail</t>
  </si>
  <si>
    <t>百奥泰</t>
  </si>
  <si>
    <t>www.lixinger.com/analytics/company/sh/688177/688177/detail</t>
  </si>
  <si>
    <t>熊猫乳品</t>
  </si>
  <si>
    <t>www.lixinger.com/analytics/company/sz/300898/300898/detail</t>
  </si>
  <si>
    <t>全通教育</t>
  </si>
  <si>
    <t>www.lixinger.com/analytics/company/sz/300359/300359/detail</t>
  </si>
  <si>
    <t>合力泰</t>
  </si>
  <si>
    <t>www.lixinger.com/analytics/company/sz/002217/2217/detail</t>
  </si>
  <si>
    <t>中电电机</t>
  </si>
  <si>
    <t>www.lixinger.com/analytics/company/sh/603988/603988/detail</t>
  </si>
  <si>
    <t>佳禾智能</t>
  </si>
  <si>
    <t>www.lixinger.com/analytics/company/sz/300793/300793/detail</t>
  </si>
  <si>
    <t>东土科技</t>
  </si>
  <si>
    <t>www.lixinger.com/analytics/company/sz/300353/300353/detail</t>
  </si>
  <si>
    <t>药易购</t>
  </si>
  <si>
    <t>www.lixinger.com/analytics/company/sz/300937/300937/detail</t>
  </si>
  <si>
    <t>旭光电子</t>
  </si>
  <si>
    <t>www.lixinger.com/analytics/company/sh/600353/600353/detail</t>
  </si>
  <si>
    <t>大湖股份</t>
  </si>
  <si>
    <t>www.lixinger.com/analytics/company/sh/600257/600257/detail</t>
  </si>
  <si>
    <t>京运通</t>
  </si>
  <si>
    <t>www.lixinger.com/analytics/company/sh/601908/601908/detail</t>
  </si>
  <si>
    <t>瑞松科技</t>
  </si>
  <si>
    <t>www.lixinger.com/analytics/company/sh/688090/688090/detail</t>
  </si>
  <si>
    <t>长盛轴承</t>
  </si>
  <si>
    <t>www.lixinger.com/analytics/company/sz/300718/300718/detail</t>
  </si>
  <si>
    <t>捷安高科</t>
  </si>
  <si>
    <t>www.lixinger.com/analytics/company/sz/300845/300845/detail</t>
  </si>
  <si>
    <t>中简科技</t>
  </si>
  <si>
    <t>www.lixinger.com/analytics/company/sz/300777/300777/detail</t>
  </si>
  <si>
    <t>牧原股份</t>
  </si>
  <si>
    <t>www.lixinger.com/analytics/company/sz/002714/2714/detail</t>
  </si>
  <si>
    <t>洛凯股份</t>
  </si>
  <si>
    <t>www.lixinger.com/analytics/company/sh/603829/603829/detail</t>
  </si>
  <si>
    <t>苏常柴Ｂ</t>
  </si>
  <si>
    <t>www.lixinger.com/analytics/company/sz/200570/200570/detail</t>
  </si>
  <si>
    <t>南亚新材</t>
  </si>
  <si>
    <t>www.lixinger.com/analytics/company/sh/688519/688519/detail</t>
  </si>
  <si>
    <t>建科院</t>
  </si>
  <si>
    <t>www.lixinger.com/analytics/company/sz/300675/300675/detail</t>
  </si>
  <si>
    <t>富满微</t>
  </si>
  <si>
    <t>www.lixinger.com/analytics/company/sz/300671/300671/detail</t>
  </si>
  <si>
    <t>金冠股份</t>
  </si>
  <si>
    <t>www.lixinger.com/analytics/company/sz/300510/300510/detail</t>
  </si>
  <si>
    <t>旗天科技</t>
  </si>
  <si>
    <t>www.lixinger.com/analytics/company/sz/300061/300061/detail</t>
  </si>
  <si>
    <t>爱朋医疗</t>
  </si>
  <si>
    <t>www.lixinger.com/analytics/company/sz/300753/300753/detail</t>
  </si>
  <si>
    <t>大西洋</t>
  </si>
  <si>
    <t>www.lixinger.com/analytics/company/sh/600558/600558/detail</t>
  </si>
  <si>
    <t>通达电气</t>
  </si>
  <si>
    <t>www.lixinger.com/analytics/company/sh/603390/603390/detail</t>
  </si>
  <si>
    <t>苏大维格</t>
  </si>
  <si>
    <t>www.lixinger.com/analytics/company/sz/300331/300331/detail</t>
  </si>
  <si>
    <t>南纺股份</t>
  </si>
  <si>
    <t>www.lixinger.com/analytics/company/sh/600250/600250/detail</t>
  </si>
  <si>
    <t>海伦钢琴</t>
  </si>
  <si>
    <t>www.lixinger.com/analytics/company/sz/300329/300329/detail</t>
  </si>
  <si>
    <t>泽璟制药</t>
  </si>
  <si>
    <t>www.lixinger.com/analytics/company/sh/688266/688266/detail</t>
  </si>
  <si>
    <t>狄耐克</t>
  </si>
  <si>
    <t>www.lixinger.com/analytics/company/sz/300884/300884/detail</t>
  </si>
  <si>
    <t>科泰电源</t>
  </si>
  <si>
    <t>www.lixinger.com/analytics/company/sz/300153/300153/detail</t>
  </si>
  <si>
    <t>中科通达</t>
  </si>
  <si>
    <t>www.lixinger.com/analytics/company/sh/688038/688038/detail</t>
  </si>
  <si>
    <t>海南椰岛</t>
  </si>
  <si>
    <t>www.lixinger.com/analytics/company/sh/600238/600238/detail</t>
  </si>
  <si>
    <t>智明达</t>
  </si>
  <si>
    <t>www.lixinger.com/analytics/company/sh/688636/688636/detail</t>
  </si>
  <si>
    <t>瑞鹄模具</t>
  </si>
  <si>
    <t>www.lixinger.com/analytics/company/sz/002997/2997/detail</t>
  </si>
  <si>
    <t>卡倍亿</t>
  </si>
  <si>
    <t>www.lixinger.com/analytics/company/sz/300863/300863/detail</t>
  </si>
  <si>
    <t>穗恒运Ａ</t>
  </si>
  <si>
    <t>www.lixinger.com/analytics/company/sz/000531/531/detail</t>
  </si>
  <si>
    <t>健麾信息</t>
  </si>
  <si>
    <t>www.lixinger.com/analytics/company/sh/605186/605186/detail</t>
  </si>
  <si>
    <t>鸣志电器</t>
  </si>
  <si>
    <t>www.lixinger.com/analytics/company/sh/603728/603728/detail</t>
  </si>
  <si>
    <t>钢研纳克</t>
  </si>
  <si>
    <t>www.lixinger.com/analytics/company/sz/300797/300797/detail</t>
  </si>
  <si>
    <t>康泰生物</t>
  </si>
  <si>
    <t>www.lixinger.com/analytics/company/sz/300601/300601/detail</t>
  </si>
  <si>
    <t>吉大通信</t>
  </si>
  <si>
    <t>www.lixinger.com/analytics/company/sz/300597/300597/detail</t>
  </si>
  <si>
    <t>东软载波</t>
  </si>
  <si>
    <t>www.lixinger.com/analytics/company/sz/300183/300183/detail</t>
  </si>
  <si>
    <t>深赛格</t>
  </si>
  <si>
    <t>www.lixinger.com/analytics/company/sz/000058/58/detail</t>
  </si>
  <si>
    <t>南新制药</t>
  </si>
  <si>
    <t>www.lixinger.com/analytics/company/sh/688189/688189/detail</t>
  </si>
  <si>
    <t>汇金通</t>
  </si>
  <si>
    <t>www.lixinger.com/analytics/company/sh/603577/603577/detail</t>
  </si>
  <si>
    <t>电声股份</t>
  </si>
  <si>
    <t>www.lixinger.com/analytics/company/sz/300805/300805/detail</t>
  </si>
  <si>
    <t>信息发展</t>
  </si>
  <si>
    <t>www.lixinger.com/analytics/company/sz/300469/300469/detail</t>
  </si>
  <si>
    <t>中广核技</t>
  </si>
  <si>
    <t>www.lixinger.com/analytics/company/sz/000881/881/detail</t>
  </si>
  <si>
    <t>开普云</t>
  </si>
  <si>
    <t>www.lixinger.com/analytics/company/sh/688228/688228/detail</t>
  </si>
  <si>
    <t>岭南股份</t>
  </si>
  <si>
    <t>www.lixinger.com/analytics/company/sz/002717/2717/detail</t>
  </si>
  <si>
    <t>品高股份</t>
  </si>
  <si>
    <t>www.lixinger.com/analytics/company/sh/688227/688227/detail</t>
  </si>
  <si>
    <t>上海沪工</t>
  </si>
  <si>
    <t>www.lixinger.com/analytics/company/sh/603131/603131/detail</t>
  </si>
  <si>
    <t>安科瑞</t>
  </si>
  <si>
    <t>www.lixinger.com/analytics/company/sz/300286/300286/detail</t>
  </si>
  <si>
    <t>国泰集团</t>
  </si>
  <si>
    <t>www.lixinger.com/analytics/company/sh/603977/603977/detail</t>
  </si>
  <si>
    <t>集泰股份</t>
  </si>
  <si>
    <t>www.lixinger.com/analytics/company/sz/002909/2909/detail</t>
  </si>
  <si>
    <t>银江技术</t>
  </si>
  <si>
    <t>www.lixinger.com/analytics/company/sz/300020/300020/detail</t>
  </si>
  <si>
    <t>恒大高新</t>
  </si>
  <si>
    <t>www.lixinger.com/analytics/company/sz/002591/2591/detail</t>
  </si>
  <si>
    <t>德石股份</t>
  </si>
  <si>
    <t>www.lixinger.com/analytics/company/sz/301158/301158/detail</t>
  </si>
  <si>
    <t>科隆股份</t>
  </si>
  <si>
    <t>www.lixinger.com/analytics/company/sz/300405/300405/detail</t>
  </si>
  <si>
    <t>维业股份</t>
  </si>
  <si>
    <t>www.lixinger.com/analytics/company/sz/300621/300621/detail</t>
  </si>
  <si>
    <t>海兴电力</t>
  </si>
  <si>
    <t>www.lixinger.com/analytics/company/sh/603556/603556/detail</t>
  </si>
  <si>
    <t>和顺石油</t>
  </si>
  <si>
    <t>www.lixinger.com/analytics/company/sh/603353/603353/detail</t>
  </si>
  <si>
    <t>华联控股</t>
  </si>
  <si>
    <t>www.lixinger.com/analytics/company/sz/000036/36/detail</t>
  </si>
  <si>
    <t>长光华芯</t>
  </si>
  <si>
    <t>www.lixinger.com/analytics/company/sh/688048/688048/detail</t>
  </si>
  <si>
    <t>*ST云城</t>
  </si>
  <si>
    <t>www.lixinger.com/analytics/company/sh/600239/600239/detail</t>
  </si>
  <si>
    <t>七彩化学</t>
  </si>
  <si>
    <t>www.lixinger.com/analytics/company/sz/300758/300758/detail</t>
  </si>
  <si>
    <t>博彦科技</t>
  </si>
  <si>
    <t>www.lixinger.com/analytics/company/sz/002649/2649/detail</t>
  </si>
  <si>
    <t>中宠股份</t>
  </si>
  <si>
    <t>宠物食品</t>
  </si>
  <si>
    <t>www.lixinger.com/analytics/company/sz/002891/2891/detail</t>
  </si>
  <si>
    <t>华凯创意</t>
  </si>
  <si>
    <t>www.lixinger.com/analytics/company/sz/300592/300592/detail</t>
  </si>
  <si>
    <t>嘉化能源</t>
  </si>
  <si>
    <t>www.lixinger.com/analytics/company/sh/600273/600273/detail</t>
  </si>
  <si>
    <t>博世科</t>
  </si>
  <si>
    <t>www.lixinger.com/analytics/company/sz/300422/300422/detail</t>
  </si>
  <si>
    <t>华菱钢铁</t>
  </si>
  <si>
    <t>www.lixinger.com/analytics/company/sz/000932/932/detail</t>
  </si>
  <si>
    <t>天迈科技</t>
  </si>
  <si>
    <t>www.lixinger.com/analytics/company/sz/300807/300807/detail</t>
  </si>
  <si>
    <t>武进不锈</t>
  </si>
  <si>
    <t>钢铁管材</t>
  </si>
  <si>
    <t>www.lixinger.com/analytics/company/sh/603878/603878/detail</t>
  </si>
  <si>
    <t>中粮科技</t>
  </si>
  <si>
    <t>www.lixinger.com/analytics/company/sz/000930/930/detail</t>
  </si>
  <si>
    <t>优博讯</t>
  </si>
  <si>
    <t>www.lixinger.com/analytics/company/sz/300531/300531/detail</t>
  </si>
  <si>
    <t>峨眉山Ａ</t>
  </si>
  <si>
    <t>www.lixinger.com/analytics/company/sz/000888/888/detail</t>
  </si>
  <si>
    <t>通宇通讯</t>
  </si>
  <si>
    <t>www.lixinger.com/analytics/company/sz/002792/2792/detail</t>
  </si>
  <si>
    <t>智能自控</t>
  </si>
  <si>
    <t>www.lixinger.com/analytics/company/sz/002877/2877/detail</t>
  </si>
  <si>
    <t>博汇科技</t>
  </si>
  <si>
    <t>www.lixinger.com/analytics/company/sh/688004/688004/detail</t>
  </si>
  <si>
    <t>万控智造</t>
  </si>
  <si>
    <t>www.lixinger.com/analytics/company/sh/603070/603070/detail</t>
  </si>
  <si>
    <t>华康股份</t>
  </si>
  <si>
    <t>www.lixinger.com/analytics/company/sh/605077/605077/detail</t>
  </si>
  <si>
    <t>晶雪节能</t>
  </si>
  <si>
    <t>www.lixinger.com/analytics/company/sz/301010/301010/detail</t>
  </si>
  <si>
    <t>锋尚文化</t>
  </si>
  <si>
    <t>www.lixinger.com/analytics/company/sz/300860/300860/detail</t>
  </si>
  <si>
    <t>玉禾田</t>
  </si>
  <si>
    <t>www.lixinger.com/analytics/company/sz/300815/300815/detail</t>
  </si>
  <si>
    <t>东方通</t>
  </si>
  <si>
    <t>www.lixinger.com/analytics/company/sz/300379/300379/detail</t>
  </si>
  <si>
    <t>清水源</t>
  </si>
  <si>
    <t>www.lixinger.com/analytics/company/sz/300437/300437/detail</t>
  </si>
  <si>
    <t>鼎龙文化</t>
  </si>
  <si>
    <t>www.lixinger.com/analytics/company/sz/002502/2502/detail</t>
  </si>
  <si>
    <t>金浦钛业</t>
  </si>
  <si>
    <t>www.lixinger.com/analytics/company/sz/000545/545/detail</t>
  </si>
  <si>
    <t>奥园美谷</t>
  </si>
  <si>
    <t>医美服务</t>
  </si>
  <si>
    <t>www.lixinger.com/analytics/company/sz/000615/615/detail</t>
  </si>
  <si>
    <t>*ST巴士</t>
  </si>
  <si>
    <t>www.lixinger.com/analytics/company/sz/002188/2188/detail</t>
  </si>
  <si>
    <t>恒基达鑫</t>
  </si>
  <si>
    <t>www.lixinger.com/analytics/company/sz/002492/2492/detail</t>
  </si>
  <si>
    <t>奥雅设计</t>
  </si>
  <si>
    <t>www.lixinger.com/analytics/company/sz/300949/300949/detail</t>
  </si>
  <si>
    <t>斯迪克</t>
  </si>
  <si>
    <t>www.lixinger.com/analytics/company/sz/300806/300806/detail</t>
  </si>
  <si>
    <t>安奈儿</t>
  </si>
  <si>
    <t>www.lixinger.com/analytics/company/sz/002875/2875/detail</t>
  </si>
  <si>
    <t>名雕股份</t>
  </si>
  <si>
    <t>www.lixinger.com/analytics/company/sz/002830/2830/detail</t>
  </si>
  <si>
    <t>中山公用</t>
  </si>
  <si>
    <t>www.lixinger.com/analytics/company/sz/000685/685/detail</t>
  </si>
  <si>
    <t>万胜智能</t>
  </si>
  <si>
    <t>www.lixinger.com/analytics/company/sz/300882/300882/detail</t>
  </si>
  <si>
    <t>中科信息</t>
  </si>
  <si>
    <t>www.lixinger.com/analytics/company/sz/300678/300678/detail</t>
  </si>
  <si>
    <t>上纬新材</t>
  </si>
  <si>
    <t>www.lixinger.com/analytics/company/sh/688585/688585/detail</t>
  </si>
  <si>
    <t>华脉科技</t>
  </si>
  <si>
    <t>www.lixinger.com/analytics/company/sh/603042/603042/detail</t>
  </si>
  <si>
    <t>创识科技</t>
  </si>
  <si>
    <t>www.lixinger.com/analytics/company/sz/300941/300941/detail</t>
  </si>
  <si>
    <t>中恒电气</t>
  </si>
  <si>
    <t>www.lixinger.com/analytics/company/sz/002364/2364/detail</t>
  </si>
  <si>
    <t>深纺织Ａ</t>
  </si>
  <si>
    <t>www.lixinger.com/analytics/company/sz/000045/45/detail</t>
  </si>
  <si>
    <t>神马电力</t>
  </si>
  <si>
    <t>www.lixinger.com/analytics/company/sh/603530/603530/detail</t>
  </si>
  <si>
    <t>铜冠铜箔</t>
  </si>
  <si>
    <t>www.lixinger.com/analytics/company/sz/301217/301217/detail</t>
  </si>
  <si>
    <t>福莱新材</t>
  </si>
  <si>
    <t>www.lixinger.com/analytics/company/sh/605488/605488/detail</t>
  </si>
  <si>
    <t>晶科科技</t>
  </si>
  <si>
    <t>www.lixinger.com/analytics/company/sh/601778/601778/detail</t>
  </si>
  <si>
    <t>华正新材</t>
  </si>
  <si>
    <t>www.lixinger.com/analytics/company/sh/603186/603186/detail</t>
  </si>
  <si>
    <t>丸美股份</t>
  </si>
  <si>
    <t>www.lixinger.com/analytics/company/sh/603983/603983/detail</t>
  </si>
  <si>
    <t>恒为科技</t>
  </si>
  <si>
    <t>www.lixinger.com/analytics/company/sh/603496/603496/detail</t>
  </si>
  <si>
    <t>佛山照明</t>
  </si>
  <si>
    <t>www.lixinger.com/analytics/company/sz/000541/541/detail</t>
  </si>
  <si>
    <t>合富中国</t>
  </si>
  <si>
    <t>www.lixinger.com/analytics/company/sh/603122/603122/detail</t>
  </si>
  <si>
    <t>松炀资源</t>
  </si>
  <si>
    <t>www.lixinger.com/analytics/company/sh/603863/603863/detail</t>
  </si>
  <si>
    <t>江丰电子</t>
  </si>
  <si>
    <t>www.lixinger.com/analytics/company/sz/300666/300666/detail</t>
  </si>
  <si>
    <t>赛意信息</t>
  </si>
  <si>
    <t>www.lixinger.com/analytics/company/sz/300687/300687/detail</t>
  </si>
  <si>
    <t>北方股份</t>
  </si>
  <si>
    <t>www.lixinger.com/analytics/company/sh/600262/600262/detail</t>
  </si>
  <si>
    <t>神开股份</t>
  </si>
  <si>
    <t>www.lixinger.com/analytics/company/sz/002278/2278/detail</t>
  </si>
  <si>
    <t>新锐股份</t>
  </si>
  <si>
    <t>www.lixinger.com/analytics/company/sh/688257/688257/detail</t>
  </si>
  <si>
    <t>禾川科技</t>
  </si>
  <si>
    <t>www.lixinger.com/analytics/company/sh/688320/688320/detail</t>
  </si>
  <si>
    <t>安达维尔</t>
  </si>
  <si>
    <t>www.lixinger.com/analytics/company/sz/300719/300719/detail</t>
  </si>
  <si>
    <t>光峰科技</t>
  </si>
  <si>
    <t>www.lixinger.com/analytics/company/sh/688007/688007/detail</t>
  </si>
  <si>
    <t>福莱蒽特</t>
  </si>
  <si>
    <t>www.lixinger.com/analytics/company/sh/605566/605566/detail</t>
  </si>
  <si>
    <t>潍柴重机</t>
  </si>
  <si>
    <t>www.lixinger.com/analytics/company/sz/000880/880/detail</t>
  </si>
  <si>
    <t>广电计量</t>
  </si>
  <si>
    <t>www.lixinger.com/analytics/company/sz/002967/2967/detail</t>
  </si>
  <si>
    <t>宏创控股</t>
  </si>
  <si>
    <t>www.lixinger.com/analytics/company/sz/002379/2379/detail</t>
  </si>
  <si>
    <t>安博通</t>
  </si>
  <si>
    <t>www.lixinger.com/analytics/company/sh/688168/688168/detail</t>
  </si>
  <si>
    <t>乐惠国际</t>
  </si>
  <si>
    <t>www.lixinger.com/analytics/company/sh/603076/603076/detail</t>
  </si>
  <si>
    <t>宁波富达</t>
  </si>
  <si>
    <t>www.lixinger.com/analytics/company/sh/600724/600724/detail</t>
  </si>
  <si>
    <t>亚虹医药</t>
  </si>
  <si>
    <t>www.lixinger.com/analytics/company/sh/688176/688176/detail</t>
  </si>
  <si>
    <t>协创数据</t>
  </si>
  <si>
    <t>www.lixinger.com/analytics/company/sz/300857/300857/detail</t>
  </si>
  <si>
    <t>天岳先进</t>
  </si>
  <si>
    <t>www.lixinger.com/analytics/company/sh/688234/688234/detail</t>
  </si>
  <si>
    <t>中银绒业</t>
  </si>
  <si>
    <t>www.lixinger.com/analytics/company/sz/000982/982/detail</t>
  </si>
  <si>
    <t>中电兴发</t>
  </si>
  <si>
    <t>www.lixinger.com/analytics/company/sz/002298/2298/detail</t>
  </si>
  <si>
    <t>黄山旅游</t>
  </si>
  <si>
    <t>www.lixinger.com/analytics/company/sh/600054/600054/detail</t>
  </si>
  <si>
    <t>伊之密</t>
  </si>
  <si>
    <t>www.lixinger.com/analytics/company/sz/300415/300415/detail</t>
  </si>
  <si>
    <t>伟星股份</t>
  </si>
  <si>
    <t>www.lixinger.com/analytics/company/sz/002003/2003/detail</t>
  </si>
  <si>
    <t>交控科技</t>
  </si>
  <si>
    <t>www.lixinger.com/analytics/company/sh/688015/688015/detail</t>
  </si>
  <si>
    <t>西部材料</t>
  </si>
  <si>
    <t>www.lixinger.com/analytics/company/sz/002149/2149/detail</t>
  </si>
  <si>
    <t>名臣健康</t>
  </si>
  <si>
    <t>www.lixinger.com/analytics/company/sz/002919/2919/detail</t>
  </si>
  <si>
    <t>伟星新材</t>
  </si>
  <si>
    <t>www.lixinger.com/analytics/company/sz/002372/2372/detail</t>
  </si>
  <si>
    <t>力星股份</t>
  </si>
  <si>
    <t>www.lixinger.com/analytics/company/sz/300421/300421/detail</t>
  </si>
  <si>
    <t>迦南科技</t>
  </si>
  <si>
    <t>www.lixinger.com/analytics/company/sz/300412/300412/detail</t>
  </si>
  <si>
    <t>中富通</t>
  </si>
  <si>
    <t>www.lixinger.com/analytics/company/sz/300560/300560/detail</t>
  </si>
  <si>
    <t>华秦科技</t>
  </si>
  <si>
    <t>www.lixinger.com/analytics/company/sh/688281/688281/detail</t>
  </si>
  <si>
    <t>豆神教育</t>
  </si>
  <si>
    <t>www.lixinger.com/analytics/company/sz/300010/300010/detail</t>
  </si>
  <si>
    <t>佳讯飞鸿</t>
  </si>
  <si>
    <t>www.lixinger.com/analytics/company/sz/300213/300213/detail</t>
  </si>
  <si>
    <t>倍轻松</t>
  </si>
  <si>
    <t>www.lixinger.com/analytics/company/sh/688793/688793/detail</t>
  </si>
  <si>
    <t>百利电气</t>
  </si>
  <si>
    <t>www.lixinger.com/analytics/company/sh/600468/600468/detail</t>
  </si>
  <si>
    <t>水星家纺</t>
  </si>
  <si>
    <t>www.lixinger.com/analytics/company/sh/603365/603365/detail</t>
  </si>
  <si>
    <t>测绘股份</t>
  </si>
  <si>
    <t>www.lixinger.com/analytics/company/sz/300826/300826/detail</t>
  </si>
  <si>
    <t>海创药业</t>
  </si>
  <si>
    <t>www.lixinger.com/analytics/company/sh/688302/688302/detail</t>
  </si>
  <si>
    <t>金陵药业</t>
  </si>
  <si>
    <t>www.lixinger.com/analytics/company/sz/000919/919/detail</t>
  </si>
  <si>
    <t>瑞纳智能</t>
  </si>
  <si>
    <t>www.lixinger.com/analytics/company/sz/301129/301129/detail</t>
  </si>
  <si>
    <t>五洲特纸</t>
  </si>
  <si>
    <t>www.lixinger.com/analytics/company/sh/605007/605007/detail</t>
  </si>
  <si>
    <t>亿田智能</t>
  </si>
  <si>
    <t>www.lixinger.com/analytics/company/sz/300911/300911/detail</t>
  </si>
  <si>
    <t>创新医疗</t>
  </si>
  <si>
    <t>www.lixinger.com/analytics/company/sz/002173/2173/detail</t>
  </si>
  <si>
    <t>吴通控股</t>
  </si>
  <si>
    <t>www.lixinger.com/analytics/company/sz/300292/300292/detail</t>
  </si>
  <si>
    <t>欧比特</t>
  </si>
  <si>
    <t>www.lixinger.com/analytics/company/sz/300053/300053/detail</t>
  </si>
  <si>
    <t>山水比德</t>
  </si>
  <si>
    <t>www.lixinger.com/analytics/company/sz/300844/300844/detail</t>
  </si>
  <si>
    <t>苏垦农发</t>
  </si>
  <si>
    <t>www.lixinger.com/analytics/company/sh/601952/601952/detail</t>
  </si>
  <si>
    <t>上海瀚讯</t>
  </si>
  <si>
    <t>www.lixinger.com/analytics/company/sz/300762/300762/detail</t>
  </si>
  <si>
    <t>天娱数科</t>
  </si>
  <si>
    <t>www.lixinger.com/analytics/company/sz/002354/2354/detail</t>
  </si>
  <si>
    <t>青达环保</t>
  </si>
  <si>
    <t>www.lixinger.com/analytics/company/sh/688501/688501/detail</t>
  </si>
  <si>
    <t>山东矿机</t>
  </si>
  <si>
    <t>www.lixinger.com/analytics/company/sz/002526/2526/detail</t>
  </si>
  <si>
    <t>深水规院</t>
  </si>
  <si>
    <t>www.lixinger.com/analytics/company/sz/301038/301038/detail</t>
  </si>
  <si>
    <t>洪兴股份</t>
  </si>
  <si>
    <t>www.lixinger.com/analytics/company/sz/001209/1209/detail</t>
  </si>
  <si>
    <t>值得买</t>
  </si>
  <si>
    <t>www.lixinger.com/analytics/company/sz/300785/300785/detail</t>
  </si>
  <si>
    <t>ST远程</t>
  </si>
  <si>
    <t>www.lixinger.com/analytics/company/sz/002692/2692/detail</t>
  </si>
  <si>
    <t>创世纪</t>
  </si>
  <si>
    <t>www.lixinger.com/analytics/company/sz/300083/300083/detail</t>
  </si>
  <si>
    <t>欢乐家</t>
  </si>
  <si>
    <t>www.lixinger.com/analytics/company/sz/300997/300997/detail</t>
  </si>
  <si>
    <t>深圳瑞捷</t>
  </si>
  <si>
    <t>www.lixinger.com/analytics/company/sz/300977/300977/detail</t>
  </si>
  <si>
    <t>希荻微</t>
  </si>
  <si>
    <t>www.lixinger.com/analytics/company/sh/688173/688173/detail</t>
  </si>
  <si>
    <t>上海新阳</t>
  </si>
  <si>
    <t>www.lixinger.com/analytics/company/sz/300236/300236/detail</t>
  </si>
  <si>
    <t>宝明科技</t>
  </si>
  <si>
    <t>www.lixinger.com/analytics/company/sz/002992/2992/detail</t>
  </si>
  <si>
    <t>深赛格B</t>
  </si>
  <si>
    <t>www.lixinger.com/analytics/company/sz/200058/200058/detail</t>
  </si>
  <si>
    <t>吉视传媒</t>
  </si>
  <si>
    <t>www.lixinger.com/analytics/company/sh/601929/601929/detail</t>
  </si>
  <si>
    <t>谱尼测试</t>
  </si>
  <si>
    <t>www.lixinger.com/analytics/company/sz/300887/300887/detail</t>
  </si>
  <si>
    <t>重庆燃气</t>
  </si>
  <si>
    <t>www.lixinger.com/analytics/company/sh/600917/600917/detail</t>
  </si>
  <si>
    <t>康达新材</t>
  </si>
  <si>
    <t>www.lixinger.com/analytics/company/sz/002669/2669/detail</t>
  </si>
  <si>
    <t>锐科激光</t>
  </si>
  <si>
    <t>www.lixinger.com/analytics/company/sz/300747/300747/detail</t>
  </si>
  <si>
    <t>欣锐科技</t>
  </si>
  <si>
    <t>www.lixinger.com/analytics/company/sz/300745/300745/detail</t>
  </si>
  <si>
    <t>华谊兄弟</t>
  </si>
  <si>
    <t>www.lixinger.com/analytics/company/sz/300027/300027/detail</t>
  </si>
  <si>
    <t>竞业达</t>
  </si>
  <si>
    <t>www.lixinger.com/analytics/company/sz/003005/3005/detail</t>
  </si>
  <si>
    <t>*ST德奥</t>
  </si>
  <si>
    <t>www.lixinger.com/analytics/company/sz/002260/2260/detail</t>
  </si>
  <si>
    <t>金桥信息</t>
  </si>
  <si>
    <t>www.lixinger.com/analytics/company/sh/603918/603918/detail</t>
  </si>
  <si>
    <t>罗普特</t>
  </si>
  <si>
    <t>www.lixinger.com/analytics/company/sh/688619/688619/detail</t>
  </si>
  <si>
    <t>艾比森</t>
  </si>
  <si>
    <t>www.lixinger.com/analytics/company/sz/300389/300389/detail</t>
  </si>
  <si>
    <t>上海天洋</t>
  </si>
  <si>
    <t>www.lixinger.com/analytics/company/sh/603330/603330/detail</t>
  </si>
  <si>
    <t>红相股份</t>
  </si>
  <si>
    <t>www.lixinger.com/analytics/company/sz/300427/300427/detail</t>
  </si>
  <si>
    <t>同有科技</t>
  </si>
  <si>
    <t>www.lixinger.com/analytics/company/sz/300302/300302/detail</t>
  </si>
  <si>
    <t>彩讯股份</t>
  </si>
  <si>
    <t>www.lixinger.com/analytics/company/sz/300634/300634/detail</t>
  </si>
  <si>
    <t>道恩股份</t>
  </si>
  <si>
    <t>www.lixinger.com/analytics/company/sz/002838/2838/detail</t>
  </si>
  <si>
    <t>铂力特</t>
  </si>
  <si>
    <t>www.lixinger.com/analytics/company/sh/688333/688333/detail</t>
  </si>
  <si>
    <t>新澳股份</t>
  </si>
  <si>
    <t>www.lixinger.com/analytics/company/sh/603889/603889/detail</t>
  </si>
  <si>
    <t>云南旅游</t>
  </si>
  <si>
    <t>www.lixinger.com/analytics/company/sz/002059/2059/detail</t>
  </si>
  <si>
    <t>博迁新材</t>
  </si>
  <si>
    <t>www.lixinger.com/analytics/company/sh/605376/605376/detail</t>
  </si>
  <si>
    <t>征和工业</t>
  </si>
  <si>
    <t>www.lixinger.com/analytics/company/sz/003033/3033/detail</t>
  </si>
  <si>
    <t>长春燃气</t>
  </si>
  <si>
    <t>www.lixinger.com/analytics/company/sh/600333/600333/detail</t>
  </si>
  <si>
    <t>普元信息</t>
  </si>
  <si>
    <t>www.lixinger.com/analytics/company/sh/688118/688118/detail</t>
  </si>
  <si>
    <t>航宇科技</t>
  </si>
  <si>
    <t>www.lixinger.com/analytics/company/sh/688239/688239/detail</t>
  </si>
  <si>
    <t>新智认知</t>
  </si>
  <si>
    <t>www.lixinger.com/analytics/company/sh/603869/603869/detail</t>
  </si>
  <si>
    <t>中农联合</t>
  </si>
  <si>
    <t>www.lixinger.com/analytics/company/sz/003042/3042/detail</t>
  </si>
  <si>
    <t>上海物贸</t>
  </si>
  <si>
    <t>www.lixinger.com/analytics/company/sh/600822/600822/detail</t>
  </si>
  <si>
    <t>春风动力</t>
  </si>
  <si>
    <t>www.lixinger.com/analytics/company/sh/603129/603129/detail</t>
  </si>
  <si>
    <t>洽洽食品</t>
  </si>
  <si>
    <t>www.lixinger.com/analytics/company/sz/002557/2557/detail</t>
  </si>
  <si>
    <t>博众精工</t>
  </si>
  <si>
    <t>www.lixinger.com/analytics/company/sh/688097/688097/detail</t>
  </si>
  <si>
    <t>博通集成</t>
  </si>
  <si>
    <t>www.lixinger.com/analytics/company/sh/603068/603068/detail</t>
  </si>
  <si>
    <t>仕净科技</t>
  </si>
  <si>
    <t>www.lixinger.com/analytics/company/sz/301030/301030/detail</t>
  </si>
  <si>
    <t>豪森股份</t>
  </si>
  <si>
    <t>www.lixinger.com/analytics/company/sh/688529/688529/detail</t>
  </si>
  <si>
    <t>斯瑞新材</t>
  </si>
  <si>
    <t>www.lixinger.com/analytics/company/sh/688102/688102/detail</t>
  </si>
  <si>
    <t>汇川技术</t>
  </si>
  <si>
    <t>www.lixinger.com/analytics/company/sz/300124/300124/detail</t>
  </si>
  <si>
    <t>赛伍技术</t>
  </si>
  <si>
    <t>www.lixinger.com/analytics/company/sh/603212/603212/detail</t>
  </si>
  <si>
    <t>怡合达</t>
  </si>
  <si>
    <t>www.lixinger.com/analytics/company/sz/301029/301029/detail</t>
  </si>
  <si>
    <t>航天动力</t>
  </si>
  <si>
    <t>www.lixinger.com/analytics/company/sh/600343/600343/detail</t>
  </si>
  <si>
    <t>杭州园林</t>
  </si>
  <si>
    <t>www.lixinger.com/analytics/company/sz/300649/300649/detail</t>
  </si>
  <si>
    <t>三力士</t>
  </si>
  <si>
    <t>www.lixinger.com/analytics/company/sz/002224/2224/detail</t>
  </si>
  <si>
    <t>和辉光电</t>
  </si>
  <si>
    <t>www.lixinger.com/analytics/company/sh/688538/688538/detail</t>
  </si>
  <si>
    <t>任子行</t>
  </si>
  <si>
    <t>www.lixinger.com/analytics/company/sz/300311/300311/detail</t>
  </si>
  <si>
    <t>上海钢联</t>
  </si>
  <si>
    <t>www.lixinger.com/analytics/company/sz/300226/300226/detail</t>
  </si>
  <si>
    <t>普冉股份</t>
  </si>
  <si>
    <t>www.lixinger.com/analytics/company/sh/688766/688766/detail</t>
  </si>
  <si>
    <t>品茗股份</t>
  </si>
  <si>
    <t>www.lixinger.com/analytics/company/sh/688109/688109/detail</t>
  </si>
  <si>
    <t>温州宏丰</t>
  </si>
  <si>
    <t>www.lixinger.com/analytics/company/sz/300283/300283/detail</t>
  </si>
  <si>
    <t>祥源文化</t>
  </si>
  <si>
    <t>www.lixinger.com/analytics/company/sh/600576/600576/detail</t>
  </si>
  <si>
    <t>建研院</t>
  </si>
  <si>
    <t>www.lixinger.com/analytics/company/sh/603183/603183/detail</t>
  </si>
  <si>
    <t>恒锋信息</t>
  </si>
  <si>
    <t>www.lixinger.com/analytics/company/sz/300605/300605/detail</t>
  </si>
  <si>
    <t>兴蓉环境</t>
  </si>
  <si>
    <t>www.lixinger.com/analytics/company/sz/000598/598/detail</t>
  </si>
  <si>
    <t>锦龙股份</t>
  </si>
  <si>
    <t>www.lixinger.com/analytics/company/sz/000712/712/detail</t>
  </si>
  <si>
    <t>山东墨龙</t>
  </si>
  <si>
    <t>www.lixinger.com/analytics/company/sz/002490/2490/detail</t>
  </si>
  <si>
    <t>天鹅股份</t>
  </si>
  <si>
    <t>www.lixinger.com/analytics/company/sh/603029/603029/detail</t>
  </si>
  <si>
    <t>英威腾</t>
  </si>
  <si>
    <t>www.lixinger.com/analytics/company/sz/002334/2334/detail</t>
  </si>
  <si>
    <t>禾信仪器</t>
  </si>
  <si>
    <t>www.lixinger.com/analytics/company/sh/688622/688622/detail</t>
  </si>
  <si>
    <t>航新科技</t>
  </si>
  <si>
    <t>www.lixinger.com/analytics/company/sz/300424/300424/detail</t>
  </si>
  <si>
    <t>维维股份</t>
  </si>
  <si>
    <t>www.lixinger.com/analytics/company/sh/600300/600300/detail</t>
  </si>
  <si>
    <t>杰创智能</t>
  </si>
  <si>
    <t>www.lixinger.com/analytics/company/sz/301248/301248/detail</t>
  </si>
  <si>
    <t>声光电科</t>
  </si>
  <si>
    <t>www.lixinger.com/analytics/company/sh/600877/600877/detail</t>
  </si>
  <si>
    <t>美芝股份</t>
  </si>
  <si>
    <t>www.lixinger.com/analytics/company/sz/002856/2856/detail</t>
  </si>
  <si>
    <t>天玑科技</t>
  </si>
  <si>
    <t>www.lixinger.com/analytics/company/sz/300245/300245/detail</t>
  </si>
  <si>
    <t>福建金森</t>
  </si>
  <si>
    <t>www.lixinger.com/analytics/company/sz/002679/2679/detail</t>
  </si>
  <si>
    <t>深纺织Ｂ</t>
  </si>
  <si>
    <t>www.lixinger.com/analytics/company/sz/200045/200045/detail</t>
  </si>
  <si>
    <t>信濠光电</t>
  </si>
  <si>
    <t>www.lixinger.com/analytics/company/sz/301051/301051/detail</t>
  </si>
  <si>
    <t>均普智能</t>
  </si>
  <si>
    <t>www.lixinger.com/analytics/company/sh/688306/688306/detail</t>
  </si>
  <si>
    <t>国芯科技</t>
  </si>
  <si>
    <t>www.lixinger.com/analytics/company/sh/688262/688262/detail</t>
  </si>
  <si>
    <t>美邦股份</t>
  </si>
  <si>
    <t>www.lixinger.com/analytics/company/sh/605033/605033/detail</t>
  </si>
  <si>
    <t>百克生物</t>
  </si>
  <si>
    <t>www.lixinger.com/analytics/company/sh/688276/688276/detail</t>
  </si>
  <si>
    <t>华映科技</t>
  </si>
  <si>
    <t>www.lixinger.com/analytics/company/sz/000536/536/detail</t>
  </si>
  <si>
    <t>和达科技</t>
  </si>
  <si>
    <t>www.lixinger.com/analytics/company/sh/688296/688296/detail</t>
  </si>
  <si>
    <t>苏州固锝</t>
  </si>
  <si>
    <t>www.lixinger.com/analytics/company/sz/002079/2079/detail</t>
  </si>
  <si>
    <t>富春染织</t>
  </si>
  <si>
    <t>www.lixinger.com/analytics/company/sh/605189/605189/detail</t>
  </si>
  <si>
    <t>北京利尔</t>
  </si>
  <si>
    <t>www.lixinger.com/analytics/company/sz/002392/2392/detail</t>
  </si>
  <si>
    <t>先惠技术</t>
  </si>
  <si>
    <t>www.lixinger.com/analytics/company/sh/688155/688155/detail</t>
  </si>
  <si>
    <t>齐峰新材</t>
  </si>
  <si>
    <t>www.lixinger.com/analytics/company/sz/002521/2521/detail</t>
  </si>
  <si>
    <t>粤照明Ｂ</t>
  </si>
  <si>
    <t>www.lixinger.com/analytics/company/sz/200541/200541/detail</t>
  </si>
  <si>
    <t>海思科</t>
  </si>
  <si>
    <t>www.lixinger.com/analytics/company/sz/002653/2653/detail</t>
  </si>
  <si>
    <t>恒林股份</t>
  </si>
  <si>
    <t>www.lixinger.com/analytics/company/sh/603661/603661/detail</t>
  </si>
  <si>
    <t>盛视科技</t>
  </si>
  <si>
    <t>www.lixinger.com/analytics/company/sz/002990/2990/detail</t>
  </si>
  <si>
    <t>金莱特</t>
  </si>
  <si>
    <t>www.lixinger.com/analytics/company/sz/002723/2723/detail</t>
  </si>
  <si>
    <t>设研院</t>
  </si>
  <si>
    <t>www.lixinger.com/analytics/company/sz/300732/300732/detail</t>
  </si>
  <si>
    <t>常青股份</t>
  </si>
  <si>
    <t>www.lixinger.com/analytics/company/sh/603768/603768/detail</t>
  </si>
  <si>
    <t>*ST星星</t>
  </si>
  <si>
    <t>www.lixinger.com/analytics/company/sz/300256/300256/detail</t>
  </si>
  <si>
    <t>星网宇达</t>
  </si>
  <si>
    <t>www.lixinger.com/analytics/company/sz/002829/2829/detail</t>
  </si>
  <si>
    <t>人福医药</t>
  </si>
  <si>
    <t>www.lixinger.com/analytics/company/sh/600079/600079/detail</t>
  </si>
  <si>
    <t>*ST沈机</t>
  </si>
  <si>
    <t>www.lixinger.com/analytics/company/sz/000410/410/detail</t>
  </si>
  <si>
    <t>湖南黄金</t>
  </si>
  <si>
    <t>www.lixinger.com/analytics/company/sz/002155/2155/detail</t>
  </si>
  <si>
    <t>正和生态</t>
  </si>
  <si>
    <t>www.lixinger.com/analytics/company/sh/605069/605069/detail</t>
  </si>
  <si>
    <t>大众交通</t>
  </si>
  <si>
    <t>www.lixinger.com/analytics/company/sh/600611/600611/detail</t>
  </si>
  <si>
    <t>轻纺城</t>
  </si>
  <si>
    <t>www.lixinger.com/analytics/company/sh/600790/600790/detail</t>
  </si>
  <si>
    <t>正海磁材</t>
  </si>
  <si>
    <t>www.lixinger.com/analytics/company/sz/300224/300224/detail</t>
  </si>
  <si>
    <t>西安旅游</t>
  </si>
  <si>
    <t>www.lixinger.com/analytics/company/sz/000610/610/detail</t>
  </si>
  <si>
    <t>空港股份</t>
  </si>
  <si>
    <t>www.lixinger.com/analytics/company/sh/600463/600463/detail</t>
  </si>
  <si>
    <t>贵州燃气</t>
  </si>
  <si>
    <t>www.lixinger.com/analytics/company/sh/600903/600903/detail</t>
  </si>
  <si>
    <t>天舟文化</t>
  </si>
  <si>
    <t>www.lixinger.com/analytics/company/sz/300148/300148/detail</t>
  </si>
  <si>
    <t>吉大正元</t>
  </si>
  <si>
    <t>www.lixinger.com/analytics/company/sz/003029/3029/detail</t>
  </si>
  <si>
    <t>美康生物</t>
  </si>
  <si>
    <t>www.lixinger.com/analytics/company/sz/300439/300439/detail</t>
  </si>
  <si>
    <t>万泽股份</t>
  </si>
  <si>
    <t>www.lixinger.com/analytics/company/sz/000534/534/detail</t>
  </si>
  <si>
    <t>鼎汉技术</t>
  </si>
  <si>
    <t>www.lixinger.com/analytics/company/sz/300011/300011/detail</t>
  </si>
  <si>
    <t>万邦德</t>
  </si>
  <si>
    <t>www.lixinger.com/analytics/company/sz/002082/2082/detail</t>
  </si>
  <si>
    <t>长龄液压</t>
  </si>
  <si>
    <t>www.lixinger.com/analytics/company/sh/605389/605389/detail</t>
  </si>
  <si>
    <t>通程控股</t>
  </si>
  <si>
    <t>www.lixinger.com/analytics/company/sz/000419/419/detail</t>
  </si>
  <si>
    <t>博汇股份</t>
  </si>
  <si>
    <t>www.lixinger.com/analytics/company/sz/300839/300839/detail</t>
  </si>
  <si>
    <t>裕兴股份</t>
  </si>
  <si>
    <t>www.lixinger.com/analytics/company/sz/300305/300305/detail</t>
  </si>
  <si>
    <t>新日恒力</t>
  </si>
  <si>
    <t>www.lixinger.com/analytics/company/sh/600165/600165/detail</t>
  </si>
  <si>
    <t>银都股份</t>
  </si>
  <si>
    <t>www.lixinger.com/analytics/company/sh/603277/603277/detail</t>
  </si>
  <si>
    <t>嘉友国际</t>
  </si>
  <si>
    <t>www.lixinger.com/analytics/company/sh/603871/603871/detail</t>
  </si>
  <si>
    <t>开润股份</t>
  </si>
  <si>
    <t>www.lixinger.com/analytics/company/sz/300577/300577/detail</t>
  </si>
  <si>
    <t>鸿路钢构</t>
  </si>
  <si>
    <t>www.lixinger.com/analytics/company/sz/002541/2541/detail</t>
  </si>
  <si>
    <t>聚力文化</t>
  </si>
  <si>
    <t>www.lixinger.com/analytics/company/sz/002247/2247/detail</t>
  </si>
  <si>
    <t>大智慧</t>
  </si>
  <si>
    <t>www.lixinger.com/analytics/company/sh/601519/601519/detail</t>
  </si>
  <si>
    <t>景嘉微</t>
  </si>
  <si>
    <t>www.lixinger.com/analytics/company/sz/300474/300474/detail</t>
  </si>
  <si>
    <t>友讯达</t>
  </si>
  <si>
    <t>www.lixinger.com/analytics/company/sz/300514/300514/detail</t>
  </si>
  <si>
    <t>美晨生态</t>
  </si>
  <si>
    <t>www.lixinger.com/analytics/company/sz/300237/300237/detail</t>
  </si>
  <si>
    <t>宁波东力</t>
  </si>
  <si>
    <t>www.lixinger.com/analytics/company/sz/002164/2164/detail</t>
  </si>
  <si>
    <t>延华智能</t>
  </si>
  <si>
    <t>www.lixinger.com/analytics/company/sz/002178/2178/detail</t>
  </si>
  <si>
    <t>千金药业</t>
  </si>
  <si>
    <t>www.lixinger.com/analytics/company/sh/600479/600479/detail</t>
  </si>
  <si>
    <t>汉钟精机</t>
  </si>
  <si>
    <t>www.lixinger.com/analytics/company/sz/002158/2158/detail</t>
  </si>
  <si>
    <t>金一文化</t>
  </si>
  <si>
    <t>www.lixinger.com/analytics/company/sz/002721/2721/detail</t>
  </si>
  <si>
    <t>好莱客</t>
  </si>
  <si>
    <t>www.lixinger.com/analytics/company/sh/603898/603898/detail</t>
  </si>
  <si>
    <t>汇绿生态</t>
  </si>
  <si>
    <t>www.lixinger.com/analytics/company/sz/001267/1267/detail</t>
  </si>
  <si>
    <t>雅创电子</t>
  </si>
  <si>
    <t>www.lixinger.com/analytics/company/sz/301099/301099/detail</t>
  </si>
  <si>
    <t>益民集团</t>
  </si>
  <si>
    <t>www.lixinger.com/analytics/company/sh/600824/600824/detail</t>
  </si>
  <si>
    <t>全志科技</t>
  </si>
  <si>
    <t>www.lixinger.com/analytics/company/sz/300458/300458/detail</t>
  </si>
  <si>
    <t>巨星农牧</t>
  </si>
  <si>
    <t>www.lixinger.com/analytics/company/sh/603477/603477/detail</t>
  </si>
  <si>
    <t>威腾电气</t>
  </si>
  <si>
    <t>www.lixinger.com/analytics/company/sh/688226/688226/detail</t>
  </si>
  <si>
    <t>大立科技</t>
  </si>
  <si>
    <t>www.lixinger.com/analytics/company/sz/002214/2214/detail</t>
  </si>
  <si>
    <t>中关村</t>
  </si>
  <si>
    <t>www.lixinger.com/analytics/company/sz/000931/931/detail</t>
  </si>
  <si>
    <t>天海防务</t>
  </si>
  <si>
    <t>www.lixinger.com/analytics/company/sz/300008/300008/detail</t>
  </si>
  <si>
    <t>苏试试验</t>
  </si>
  <si>
    <t>www.lixinger.com/analytics/company/sz/300416/300416/detail</t>
  </si>
  <si>
    <t>瑞丰高材</t>
  </si>
  <si>
    <t>www.lixinger.com/analytics/company/sz/300243/300243/detail</t>
  </si>
  <si>
    <t>江苏舜天</t>
  </si>
  <si>
    <t>www.lixinger.com/analytics/company/sh/600287/600287/detail</t>
  </si>
  <si>
    <t>深水海纳</t>
  </si>
  <si>
    <t>www.lixinger.com/analytics/company/sz/300961/300961/detail</t>
  </si>
  <si>
    <t>金现代</t>
  </si>
  <si>
    <t>www.lixinger.com/analytics/company/sz/300830/300830/detail</t>
  </si>
  <si>
    <t>巨力索具</t>
  </si>
  <si>
    <t>www.lixinger.com/analytics/company/sz/002342/2342/detail</t>
  </si>
  <si>
    <t>天邦股份</t>
  </si>
  <si>
    <t>www.lixinger.com/analytics/company/sz/002124/2124/detail</t>
  </si>
  <si>
    <t>振华新材</t>
  </si>
  <si>
    <t>www.lixinger.com/analytics/company/sh/688707/688707/detail</t>
  </si>
  <si>
    <t>哈焊华通</t>
  </si>
  <si>
    <t>www.lixinger.com/analytics/company/sz/301137/301137/detail</t>
  </si>
  <si>
    <t>北清环能</t>
  </si>
  <si>
    <t>www.lixinger.com/analytics/company/sz/000803/803/detail</t>
  </si>
  <si>
    <t>上海贝岭</t>
  </si>
  <si>
    <t>www.lixinger.com/analytics/company/sh/600171/600171/detail</t>
  </si>
  <si>
    <t>通光线缆</t>
  </si>
  <si>
    <t>www.lixinger.com/analytics/company/sz/300265/300265/detail</t>
  </si>
  <si>
    <t>中新赛克</t>
  </si>
  <si>
    <t>www.lixinger.com/analytics/company/sz/002912/2912/detail</t>
  </si>
  <si>
    <t>上工申贝</t>
  </si>
  <si>
    <t>www.lixinger.com/analytics/company/sh/600843/600843/detail</t>
  </si>
  <si>
    <t>凯龙高科</t>
  </si>
  <si>
    <t>www.lixinger.com/analytics/company/sz/300912/300912/detail</t>
  </si>
  <si>
    <t>报喜鸟</t>
  </si>
  <si>
    <t>www.lixinger.com/analytics/company/sz/002154/2154/detail</t>
  </si>
  <si>
    <t>建艺集团</t>
  </si>
  <si>
    <t>www.lixinger.com/analytics/company/sz/002789/2789/detail</t>
  </si>
  <si>
    <t>中海达</t>
  </si>
  <si>
    <t>www.lixinger.com/analytics/company/sz/300177/300177/detail</t>
  </si>
  <si>
    <t>拓尔思</t>
  </si>
  <si>
    <t>www.lixinger.com/analytics/company/sz/300229/300229/detail</t>
  </si>
  <si>
    <t>苏州龙杰</t>
  </si>
  <si>
    <t>www.lixinger.com/analytics/company/sh/603332/603332/detail</t>
  </si>
  <si>
    <t>当虹科技</t>
  </si>
  <si>
    <t>www.lixinger.com/analytics/company/sh/688039/688039/detail</t>
  </si>
  <si>
    <t>明微电子</t>
  </si>
  <si>
    <t>www.lixinger.com/analytics/company/sh/688699/688699/detail</t>
  </si>
  <si>
    <t>联泰环保</t>
  </si>
  <si>
    <t>www.lixinger.com/analytics/company/sh/603797/603797/detail</t>
  </si>
  <si>
    <t>司太立</t>
  </si>
  <si>
    <t>www.lixinger.com/analytics/company/sh/603520/603520/detail</t>
  </si>
  <si>
    <t>武商集团</t>
  </si>
  <si>
    <t>www.lixinger.com/analytics/company/sz/000501/501/detail</t>
  </si>
  <si>
    <t>长久物流</t>
  </si>
  <si>
    <t>www.lixinger.com/analytics/company/sh/603569/603569/detail</t>
  </si>
  <si>
    <t>好太太</t>
  </si>
  <si>
    <t>www.lixinger.com/analytics/company/sh/603848/603848/detail</t>
  </si>
  <si>
    <t>金春股份</t>
  </si>
  <si>
    <t>www.lixinger.com/analytics/company/sz/300877/300877/detail</t>
  </si>
  <si>
    <t>加加食品</t>
  </si>
  <si>
    <t>www.lixinger.com/analytics/company/sz/002650/2650/detail</t>
  </si>
  <si>
    <t>罗博特科</t>
  </si>
  <si>
    <t>www.lixinger.com/analytics/company/sz/300757/300757/detail</t>
  </si>
  <si>
    <t>牧高笛</t>
  </si>
  <si>
    <t>www.lixinger.com/analytics/company/sh/603908/603908/detail</t>
  </si>
  <si>
    <t>英搏尔</t>
  </si>
  <si>
    <t>www.lixinger.com/analytics/company/sz/300681/300681/detail</t>
  </si>
  <si>
    <t>日上集团</t>
  </si>
  <si>
    <t>www.lixinger.com/analytics/company/sz/002593/2593/detail</t>
  </si>
  <si>
    <t>神州细胞</t>
  </si>
  <si>
    <t>www.lixinger.com/analytics/company/sh/688520/688520/detail</t>
  </si>
  <si>
    <t>中信国安</t>
  </si>
  <si>
    <t>www.lixinger.com/analytics/company/sz/000839/839/detail</t>
  </si>
  <si>
    <t>万事利</t>
  </si>
  <si>
    <t>www.lixinger.com/analytics/company/sz/301066/301066/detail</t>
  </si>
  <si>
    <t>中远海科</t>
  </si>
  <si>
    <t>www.lixinger.com/analytics/company/sz/002401/2401/detail</t>
  </si>
  <si>
    <t>天汽模</t>
  </si>
  <si>
    <t>www.lixinger.com/analytics/company/sz/002510/2510/detail</t>
  </si>
  <si>
    <t>宁波联合</t>
  </si>
  <si>
    <t>www.lixinger.com/analytics/company/sh/600051/600051/detail</t>
  </si>
  <si>
    <t>航锦科技</t>
  </si>
  <si>
    <t>www.lixinger.com/analytics/company/sz/000818/818/detail</t>
  </si>
  <si>
    <t>皖通科技</t>
  </si>
  <si>
    <t>www.lixinger.com/analytics/company/sz/002331/2331/detail</t>
  </si>
  <si>
    <t>康欣新材</t>
  </si>
  <si>
    <t>www.lixinger.com/analytics/company/sh/600076/600076/detail</t>
  </si>
  <si>
    <t>*ST达志</t>
  </si>
  <si>
    <t>www.lixinger.com/analytics/company/sz/300530/300530/detail</t>
  </si>
  <si>
    <t>*ST盈方</t>
  </si>
  <si>
    <t>www.lixinger.com/analytics/company/sz/000670/670/detail</t>
  </si>
  <si>
    <t>兴业股份</t>
  </si>
  <si>
    <t>www.lixinger.com/analytics/company/sh/603928/603928/detail</t>
  </si>
  <si>
    <t>高新兴</t>
  </si>
  <si>
    <t>www.lixinger.com/analytics/company/sz/300098/300098/detail</t>
  </si>
  <si>
    <t>ST和佳</t>
  </si>
  <si>
    <t>www.lixinger.com/analytics/company/sz/300273/300273/detail</t>
  </si>
  <si>
    <t>三孚股份</t>
  </si>
  <si>
    <t>www.lixinger.com/analytics/company/sh/603938/603938/detail</t>
  </si>
  <si>
    <t>中胤时尚</t>
  </si>
  <si>
    <t>www.lixinger.com/analytics/company/sz/300901/300901/detail</t>
  </si>
  <si>
    <t>华测检测</t>
  </si>
  <si>
    <t>www.lixinger.com/analytics/company/sz/300012/300012/detail</t>
  </si>
  <si>
    <t>筑博设计</t>
  </si>
  <si>
    <t>www.lixinger.com/analytics/company/sz/300564/300564/detail</t>
  </si>
  <si>
    <t>悦心健康</t>
  </si>
  <si>
    <t>www.lixinger.com/analytics/company/sz/002162/2162/detail</t>
  </si>
  <si>
    <t>金财互联</t>
  </si>
  <si>
    <t>www.lixinger.com/analytics/company/sz/002530/2530/detail</t>
  </si>
  <si>
    <t>中金环境</t>
  </si>
  <si>
    <t>www.lixinger.com/analytics/company/sz/300145/300145/detail</t>
  </si>
  <si>
    <t>华荣股份</t>
  </si>
  <si>
    <t>www.lixinger.com/analytics/company/sh/603855/603855/detail</t>
  </si>
  <si>
    <t>和仁科技</t>
  </si>
  <si>
    <t>www.lixinger.com/analytics/company/sz/300550/300550/detail</t>
  </si>
  <si>
    <t>华光新材</t>
  </si>
  <si>
    <t>www.lixinger.com/analytics/company/sh/688379/688379/detail</t>
  </si>
  <si>
    <t>仁和药业</t>
  </si>
  <si>
    <t>www.lixinger.com/analytics/company/sz/000650/650/detail</t>
  </si>
  <si>
    <t>大连热电</t>
  </si>
  <si>
    <t>www.lixinger.com/analytics/company/sh/600719/600719/detail</t>
  </si>
  <si>
    <t>长缆科技</t>
  </si>
  <si>
    <t>www.lixinger.com/analytics/company/sz/002879/2879/detail</t>
  </si>
  <si>
    <t>卫宁健康</t>
  </si>
  <si>
    <t>www.lixinger.com/analytics/company/sz/300253/300253/detail</t>
  </si>
  <si>
    <t>晋西车轴</t>
  </si>
  <si>
    <t>www.lixinger.com/analytics/company/sh/600495/600495/detail</t>
  </si>
  <si>
    <t>天源环保</t>
  </si>
  <si>
    <t>www.lixinger.com/analytics/company/sz/301127/301127/detail</t>
  </si>
  <si>
    <t>英洛华</t>
  </si>
  <si>
    <t>www.lixinger.com/analytics/company/sz/000795/795/detail</t>
  </si>
  <si>
    <t>爱乐达</t>
  </si>
  <si>
    <t>www.lixinger.com/analytics/company/sz/300696/300696/detail</t>
  </si>
  <si>
    <t>龙头股份</t>
  </si>
  <si>
    <t>www.lixinger.com/analytics/company/sh/600630/600630/detail</t>
  </si>
  <si>
    <t>阿尔特</t>
  </si>
  <si>
    <t>www.lixinger.com/analytics/company/sz/300825/300825/detail</t>
  </si>
  <si>
    <t>天永智能</t>
  </si>
  <si>
    <t>www.lixinger.com/analytics/company/sh/603895/603895/detail</t>
  </si>
  <si>
    <t>法狮龙</t>
  </si>
  <si>
    <t>www.lixinger.com/analytics/company/sh/605318/605318/detail</t>
  </si>
  <si>
    <t>粤传媒</t>
  </si>
  <si>
    <t>www.lixinger.com/analytics/company/sz/002181/2181/detail</t>
  </si>
  <si>
    <t>丝路视觉</t>
  </si>
  <si>
    <t>www.lixinger.com/analytics/company/sz/300556/300556/detail</t>
  </si>
  <si>
    <t>古鳌科技</t>
  </si>
  <si>
    <t>www.lixinger.com/analytics/company/sz/300551/300551/detail</t>
  </si>
  <si>
    <t>海容冷链</t>
  </si>
  <si>
    <t>www.lixinger.com/analytics/company/sh/603187/603187/detail</t>
  </si>
  <si>
    <t>朗进科技</t>
  </si>
  <si>
    <t>www.lixinger.com/analytics/company/sz/300594/300594/detail</t>
  </si>
  <si>
    <t>金辰股份</t>
  </si>
  <si>
    <t>www.lixinger.com/analytics/company/sh/603396/603396/detail</t>
  </si>
  <si>
    <t>罗曼股份</t>
  </si>
  <si>
    <t>www.lixinger.com/analytics/company/sh/605289/605289/detail</t>
  </si>
  <si>
    <t>曲江文旅</t>
  </si>
  <si>
    <t>www.lixinger.com/analytics/company/sh/600706/600706/detail</t>
  </si>
  <si>
    <t>光启技术</t>
  </si>
  <si>
    <t>www.lixinger.com/analytics/company/sz/002625/2625/detail</t>
  </si>
  <si>
    <t>泰达股份</t>
  </si>
  <si>
    <t>www.lixinger.com/analytics/company/sz/000652/652/detail</t>
  </si>
  <si>
    <t>瑞芯微</t>
  </si>
  <si>
    <t>www.lixinger.com/analytics/company/sh/603893/603893/detail</t>
  </si>
  <si>
    <t>国新健康</t>
  </si>
  <si>
    <t>www.lixinger.com/analytics/company/sz/000503/503/detail</t>
  </si>
  <si>
    <t>思特奇</t>
  </si>
  <si>
    <t>www.lixinger.com/analytics/company/sz/300608/300608/detail</t>
  </si>
  <si>
    <t>七一二</t>
  </si>
  <si>
    <t>www.lixinger.com/analytics/company/sh/603712/603712/detail</t>
  </si>
  <si>
    <t>双杰电气</t>
  </si>
  <si>
    <t>www.lixinger.com/analytics/company/sz/300444/300444/detail</t>
  </si>
  <si>
    <t>汉王科技</t>
  </si>
  <si>
    <t>www.lixinger.com/analytics/company/sz/002362/2362/detail</t>
  </si>
  <si>
    <t>中持股份</t>
  </si>
  <si>
    <t>www.lixinger.com/analytics/company/sh/603903/603903/detail</t>
  </si>
  <si>
    <t>上海梅林</t>
  </si>
  <si>
    <t>www.lixinger.com/analytics/company/sh/600073/600073/detail</t>
  </si>
  <si>
    <t>江苏有线</t>
  </si>
  <si>
    <t>www.lixinger.com/analytics/company/sh/600959/600959/detail</t>
  </si>
  <si>
    <t>飞利信</t>
  </si>
  <si>
    <t>www.lixinger.com/analytics/company/sz/300287/300287/detail</t>
  </si>
  <si>
    <t>科创信息</t>
  </si>
  <si>
    <t>www.lixinger.com/analytics/company/sz/300730/300730/detail</t>
  </si>
  <si>
    <t>道森股份</t>
  </si>
  <si>
    <t>www.lixinger.com/analytics/company/sh/603800/603800/detail</t>
  </si>
  <si>
    <t>芯原股份</t>
  </si>
  <si>
    <t>www.lixinger.com/analytics/company/sh/688521/688521/detail</t>
  </si>
  <si>
    <t>新炬网络</t>
  </si>
  <si>
    <t>www.lixinger.com/analytics/company/sh/605398/605398/detail</t>
  </si>
  <si>
    <t>金杯汽车</t>
  </si>
  <si>
    <t>www.lixinger.com/analytics/company/sh/600609/600609/detail</t>
  </si>
  <si>
    <t>外高桥</t>
  </si>
  <si>
    <t>www.lixinger.com/analytics/company/sh/600648/600648/detail</t>
  </si>
  <si>
    <t>ST熊猫</t>
  </si>
  <si>
    <t>www.lixinger.com/analytics/company/sh/600599/600599/detail</t>
  </si>
  <si>
    <t>华强科技</t>
  </si>
  <si>
    <t>www.lixinger.com/analytics/company/sh/688151/688151/detail</t>
  </si>
  <si>
    <t>金智科技</t>
  </si>
  <si>
    <t>www.lixinger.com/analytics/company/sz/002090/2090/detail</t>
  </si>
  <si>
    <t>今创集团</t>
  </si>
  <si>
    <t>www.lixinger.com/analytics/company/sh/603680/603680/detail</t>
  </si>
  <si>
    <t>吉林敖东</t>
  </si>
  <si>
    <t>www.lixinger.com/analytics/company/sz/000623/623/detail</t>
  </si>
  <si>
    <t>德业股份</t>
  </si>
  <si>
    <t>www.lixinger.com/analytics/company/sh/605117/605117/detail</t>
  </si>
  <si>
    <t>广百股份</t>
  </si>
  <si>
    <t>www.lixinger.com/analytics/company/sz/002187/2187/detail</t>
  </si>
  <si>
    <t>理工能科</t>
  </si>
  <si>
    <t>www.lixinger.com/analytics/company/sz/002322/2322/detail</t>
  </si>
  <si>
    <t>农尚环境</t>
  </si>
  <si>
    <t>www.lixinger.com/analytics/company/sz/300536/300536/detail</t>
  </si>
  <si>
    <t>广大特材</t>
  </si>
  <si>
    <t>www.lixinger.com/analytics/company/sh/688186/688186/detail</t>
  </si>
  <si>
    <t>恒星科技</t>
  </si>
  <si>
    <t>www.lixinger.com/analytics/company/sz/002132/2132/detail</t>
  </si>
  <si>
    <t>正元地信</t>
  </si>
  <si>
    <t>www.lixinger.com/analytics/company/sh/688509/688509/detail</t>
  </si>
  <si>
    <t>飞鹿股份</t>
  </si>
  <si>
    <t>www.lixinger.com/analytics/company/sz/300665/300665/detail</t>
  </si>
  <si>
    <t>紫晶存储</t>
  </si>
  <si>
    <t>www.lixinger.com/analytics/company/sh/688086/688086/detail</t>
  </si>
  <si>
    <t>中光学</t>
  </si>
  <si>
    <t>www.lixinger.com/analytics/company/sz/002189/2189/detail</t>
  </si>
  <si>
    <t>天奇股份</t>
  </si>
  <si>
    <t>www.lixinger.com/analytics/company/sz/002009/2009/detail</t>
  </si>
  <si>
    <t>远大智能</t>
  </si>
  <si>
    <t>www.lixinger.com/analytics/company/sz/002689/2689/detail</t>
  </si>
  <si>
    <t>立航科技</t>
  </si>
  <si>
    <t>www.lixinger.com/analytics/company/sh/603261/603261/detail</t>
  </si>
  <si>
    <t>冰山冷热</t>
  </si>
  <si>
    <t>www.lixinger.com/analytics/company/sz/000530/530/detail</t>
  </si>
  <si>
    <t>海宁皮城</t>
  </si>
  <si>
    <t>www.lixinger.com/analytics/company/sz/002344/2344/detail</t>
  </si>
  <si>
    <t>浙江仙通</t>
  </si>
  <si>
    <t>www.lixinger.com/analytics/company/sh/603239/603239/detail</t>
  </si>
  <si>
    <t>梦百合</t>
  </si>
  <si>
    <t>www.lixinger.com/analytics/company/sh/603313/603313/detail</t>
  </si>
  <si>
    <t>佳华科技</t>
  </si>
  <si>
    <t>www.lixinger.com/analytics/company/sh/688051/688051/detail</t>
  </si>
  <si>
    <t>美好置业</t>
  </si>
  <si>
    <t>www.lixinger.com/analytics/company/sz/000667/667/detail</t>
  </si>
  <si>
    <t>阳光城</t>
  </si>
  <si>
    <t>www.lixinger.com/analytics/company/sz/000671/671/detail</t>
  </si>
  <si>
    <t>三维通信</t>
  </si>
  <si>
    <t>www.lixinger.com/analytics/company/sz/002115/2115/detail</t>
  </si>
  <si>
    <t>线上线下</t>
  </si>
  <si>
    <t>www.lixinger.com/analytics/company/sz/300959/300959/detail</t>
  </si>
  <si>
    <t>东材科技</t>
  </si>
  <si>
    <t>www.lixinger.com/analytics/company/sh/601208/601208/detail</t>
  </si>
  <si>
    <t>柯利达</t>
  </si>
  <si>
    <t>www.lixinger.com/analytics/company/sh/603828/603828/detail</t>
  </si>
  <si>
    <t>风范股份</t>
  </si>
  <si>
    <t>www.lixinger.com/analytics/company/sh/601700/601700/detail</t>
  </si>
  <si>
    <t>雅本化学</t>
  </si>
  <si>
    <t>www.lixinger.com/analytics/company/sz/300261/300261/detail</t>
  </si>
  <si>
    <t>漳州发展</t>
  </si>
  <si>
    <t>www.lixinger.com/analytics/company/sz/000753/753/detail</t>
  </si>
  <si>
    <t>引力传媒</t>
  </si>
  <si>
    <t>www.lixinger.com/analytics/company/sh/603598/603598/detail</t>
  </si>
  <si>
    <t>三聚环保</t>
  </si>
  <si>
    <t>www.lixinger.com/analytics/company/sz/300072/300072/detail</t>
  </si>
  <si>
    <t>瑞贝卡</t>
  </si>
  <si>
    <t>www.lixinger.com/analytics/company/sh/600439/600439/detail</t>
  </si>
  <si>
    <t>华兴源创</t>
  </si>
  <si>
    <t>www.lixinger.com/analytics/company/sh/688001/688001/detail</t>
  </si>
  <si>
    <t>陕西金叶</t>
  </si>
  <si>
    <t>www.lixinger.com/analytics/company/sz/000812/812/detail</t>
  </si>
  <si>
    <t>中望软件</t>
  </si>
  <si>
    <t>www.lixinger.com/analytics/company/sh/688083/688083/detail</t>
  </si>
  <si>
    <t>福然德</t>
  </si>
  <si>
    <t>www.lixinger.com/analytics/company/sh/605050/605050/detail</t>
  </si>
  <si>
    <t>大博医疗</t>
  </si>
  <si>
    <t>www.lixinger.com/analytics/company/sz/002901/2901/detail</t>
  </si>
  <si>
    <t>申昊科技</t>
  </si>
  <si>
    <t>www.lixinger.com/analytics/company/sz/300853/300853/detail</t>
  </si>
  <si>
    <t>葫芦娃</t>
  </si>
  <si>
    <t>www.lixinger.com/analytics/company/sh/605199/605199/detail</t>
  </si>
  <si>
    <t>蓝光发展</t>
  </si>
  <si>
    <t>www.lixinger.com/analytics/company/sh/600466/600466/detail</t>
  </si>
  <si>
    <t>*ST围海</t>
  </si>
  <si>
    <t>www.lixinger.com/analytics/company/sz/002586/2586/detail</t>
  </si>
  <si>
    <t>奥飞娱乐</t>
  </si>
  <si>
    <t>www.lixinger.com/analytics/company/sz/002292/2292/detail</t>
  </si>
  <si>
    <t>康拓红外</t>
  </si>
  <si>
    <t>www.lixinger.com/analytics/company/sz/300455/300455/detail</t>
  </si>
  <si>
    <t>康华生物</t>
  </si>
  <si>
    <t>www.lixinger.com/analytics/company/sz/300841/300841/detail</t>
  </si>
  <si>
    <t>国检集团</t>
  </si>
  <si>
    <t>www.lixinger.com/analytics/company/sh/603060/603060/detail</t>
  </si>
  <si>
    <t>光大嘉宝</t>
  </si>
  <si>
    <t>www.lixinger.com/analytics/company/sh/600622/600622/detail</t>
  </si>
  <si>
    <t>瀚蓝环境</t>
  </si>
  <si>
    <t>www.lixinger.com/analytics/company/sh/600323/600323/detail</t>
  </si>
  <si>
    <t>博力威</t>
  </si>
  <si>
    <t>www.lixinger.com/analytics/company/sh/688345/688345/detail</t>
  </si>
  <si>
    <t>艾布鲁</t>
  </si>
  <si>
    <t>www.lixinger.com/analytics/company/sz/301259/301259/detail</t>
  </si>
  <si>
    <t>东港股份</t>
  </si>
  <si>
    <t>www.lixinger.com/analytics/company/sz/002117/2117/detail</t>
  </si>
  <si>
    <t>顶固集创</t>
  </si>
  <si>
    <t>www.lixinger.com/analytics/company/sz/300749/300749/detail</t>
  </si>
  <si>
    <t>利民股份</t>
  </si>
  <si>
    <t>www.lixinger.com/analytics/company/sz/002734/2734/detail</t>
  </si>
  <si>
    <t>壹网壹创</t>
  </si>
  <si>
    <t>www.lixinger.com/analytics/company/sz/300792/300792/detail</t>
  </si>
  <si>
    <t>厚普股份</t>
  </si>
  <si>
    <t>www.lixinger.com/analytics/company/sz/300471/300471/detail</t>
  </si>
  <si>
    <t>皮阿诺</t>
  </si>
  <si>
    <t>www.lixinger.com/analytics/company/sz/002853/2853/detail</t>
  </si>
  <si>
    <t>恒玄科技</t>
  </si>
  <si>
    <t>www.lixinger.com/analytics/company/sh/688608/688608/detail</t>
  </si>
  <si>
    <t>乐山电力</t>
  </si>
  <si>
    <t>www.lixinger.com/analytics/company/sh/600644/600644/detail</t>
  </si>
  <si>
    <t>力合科技</t>
  </si>
  <si>
    <t>www.lixinger.com/analytics/company/sz/300800/300800/detail</t>
  </si>
  <si>
    <t>聚合顺</t>
  </si>
  <si>
    <t>www.lixinger.com/analytics/company/sh/605166/605166/detail</t>
  </si>
  <si>
    <t>佩蒂股份</t>
  </si>
  <si>
    <t>www.lixinger.com/analytics/company/sz/300673/300673/detail</t>
  </si>
  <si>
    <t>飞天诚信</t>
  </si>
  <si>
    <t>www.lixinger.com/analytics/company/sz/300386/300386/detail</t>
  </si>
  <si>
    <t>容百科技</t>
  </si>
  <si>
    <t>www.lixinger.com/analytics/company/sh/688005/688005/detail</t>
  </si>
  <si>
    <t>超讯通信</t>
  </si>
  <si>
    <t>www.lixinger.com/analytics/company/sh/603322/603322/detail</t>
  </si>
  <si>
    <t>大族数控</t>
  </si>
  <si>
    <t>www.lixinger.com/analytics/company/sz/301200/301200/detail</t>
  </si>
  <si>
    <t>海洋王</t>
  </si>
  <si>
    <t>www.lixinger.com/analytics/company/sz/002724/2724/detail</t>
  </si>
  <si>
    <t>镇海股份</t>
  </si>
  <si>
    <t>www.lixinger.com/analytics/company/sh/603637/603637/detail</t>
  </si>
  <si>
    <t>北京科锐</t>
  </si>
  <si>
    <t>www.lixinger.com/analytics/company/sz/002350/2350/detail</t>
  </si>
  <si>
    <t>塞力医疗</t>
  </si>
  <si>
    <t>www.lixinger.com/analytics/company/sh/603716/603716/detail</t>
  </si>
  <si>
    <t>西部黄金</t>
  </si>
  <si>
    <t>www.lixinger.com/analytics/company/sh/601069/601069/detail</t>
  </si>
  <si>
    <t>丰山集团</t>
  </si>
  <si>
    <t>www.lixinger.com/analytics/company/sh/603810/603810/detail</t>
  </si>
  <si>
    <t>中信出版</t>
  </si>
  <si>
    <t>www.lixinger.com/analytics/company/sz/300788/300788/detail</t>
  </si>
  <si>
    <t>天桥起重</t>
  </si>
  <si>
    <t>www.lixinger.com/analytics/company/sz/002523/2523/detail</t>
  </si>
  <si>
    <t>蕾奥规划</t>
  </si>
  <si>
    <t>www.lixinger.com/analytics/company/sz/300989/300989/detail</t>
  </si>
  <si>
    <t>大千生态</t>
  </si>
  <si>
    <t>www.lixinger.com/analytics/company/sh/603955/603955/detail</t>
  </si>
  <si>
    <t>尤安设计</t>
  </si>
  <si>
    <t>www.lixinger.com/analytics/company/sz/300983/300983/detail</t>
  </si>
  <si>
    <t>恒华科技</t>
  </si>
  <si>
    <t>www.lixinger.com/analytics/company/sz/300365/300365/detail</t>
  </si>
  <si>
    <t>火星人</t>
  </si>
  <si>
    <t>www.lixinger.com/analytics/company/sz/300894/300894/detail</t>
  </si>
  <si>
    <t>秦川机床</t>
  </si>
  <si>
    <t>www.lixinger.com/analytics/company/sz/000837/837/detail</t>
  </si>
  <si>
    <t>雪人股份</t>
  </si>
  <si>
    <t>www.lixinger.com/analytics/company/sz/002639/2639/detail</t>
  </si>
  <si>
    <t>百洋医药</t>
  </si>
  <si>
    <t>www.lixinger.com/analytics/company/sz/301015/301015/detail</t>
  </si>
  <si>
    <t>震裕科技</t>
  </si>
  <si>
    <t>www.lixinger.com/analytics/company/sz/300953/300953/detail</t>
  </si>
  <si>
    <t>易事特</t>
  </si>
  <si>
    <t>www.lixinger.com/analytics/company/sz/300376/300376/detail</t>
  </si>
  <si>
    <t>石化机械</t>
  </si>
  <si>
    <t>www.lixinger.com/analytics/company/sz/000852/852/detail</t>
  </si>
  <si>
    <t>威星智能</t>
  </si>
  <si>
    <t>www.lixinger.com/analytics/company/sz/002849/2849/detail</t>
  </si>
  <si>
    <t>运达科技</t>
  </si>
  <si>
    <t>www.lixinger.com/analytics/company/sz/300440/300440/detail</t>
  </si>
  <si>
    <t>荃银高科</t>
  </si>
  <si>
    <t>www.lixinger.com/analytics/company/sz/300087/300087/detail</t>
  </si>
  <si>
    <t>三雄极光</t>
  </si>
  <si>
    <t>www.lixinger.com/analytics/company/sz/300625/300625/detail</t>
  </si>
  <si>
    <t>申达股份</t>
  </si>
  <si>
    <t>www.lixinger.com/analytics/company/sh/600626/600626/detail</t>
  </si>
  <si>
    <t>健民集团</t>
  </si>
  <si>
    <t>www.lixinger.com/analytics/company/sh/600976/600976/detail</t>
  </si>
  <si>
    <t>安路科技</t>
  </si>
  <si>
    <t>www.lixinger.com/analytics/company/sh/688107/688107/detail</t>
  </si>
  <si>
    <t>渤海汽车</t>
  </si>
  <si>
    <t>www.lixinger.com/analytics/company/sh/600960/600960/detail</t>
  </si>
  <si>
    <t>岭南控股</t>
  </si>
  <si>
    <t>www.lixinger.com/analytics/company/sz/000524/524/detail</t>
  </si>
  <si>
    <t>顶点软件</t>
  </si>
  <si>
    <t>www.lixinger.com/analytics/company/sh/603383/603383/detail</t>
  </si>
  <si>
    <t>久之洋</t>
  </si>
  <si>
    <t>www.lixinger.com/analytics/company/sz/300516/300516/detail</t>
  </si>
  <si>
    <t>风华高科</t>
  </si>
  <si>
    <t>www.lixinger.com/analytics/company/sz/000636/636/detail</t>
  </si>
  <si>
    <t>深振业Ａ</t>
  </si>
  <si>
    <t>www.lixinger.com/analytics/company/sz/000006/6/detail</t>
  </si>
  <si>
    <t>大连重工</t>
  </si>
  <si>
    <t>www.lixinger.com/analytics/company/sz/002204/2204/detail</t>
  </si>
  <si>
    <t>仙坛股份</t>
  </si>
  <si>
    <t>www.lixinger.com/analytics/company/sz/002746/2746/detail</t>
  </si>
  <si>
    <t>铭普光磁</t>
  </si>
  <si>
    <t>www.lixinger.com/analytics/company/sz/002902/2902/detail</t>
  </si>
  <si>
    <t>兰生股份</t>
  </si>
  <si>
    <t>www.lixinger.com/analytics/company/sh/600826/600826/detail</t>
  </si>
  <si>
    <t>聚石化学</t>
  </si>
  <si>
    <t>www.lixinger.com/analytics/company/sh/688669/688669/detail</t>
  </si>
  <si>
    <t>优宁维</t>
  </si>
  <si>
    <t>www.lixinger.com/analytics/company/sz/301166/301166/detail</t>
  </si>
  <si>
    <t>中衡设计</t>
  </si>
  <si>
    <t>www.lixinger.com/analytics/company/sh/603017/603017/detail</t>
  </si>
  <si>
    <t>数字政通</t>
  </si>
  <si>
    <t>www.lixinger.com/analytics/company/sz/300075/300075/detail</t>
  </si>
  <si>
    <t>弘业股份</t>
  </si>
  <si>
    <t>www.lixinger.com/analytics/company/sh/600128/600128/detail</t>
  </si>
  <si>
    <t>红豆股份</t>
  </si>
  <si>
    <t>www.lixinger.com/analytics/company/sh/600400/600400/detail</t>
  </si>
  <si>
    <t>欧陆通</t>
  </si>
  <si>
    <t>www.lixinger.com/analytics/company/sz/300870/300870/detail</t>
  </si>
  <si>
    <t>梦天家居</t>
  </si>
  <si>
    <t>www.lixinger.com/analytics/company/sh/603216/603216/detail</t>
  </si>
  <si>
    <t>无锡振华</t>
  </si>
  <si>
    <t>www.lixinger.com/analytics/company/sh/605319/605319/detail</t>
  </si>
  <si>
    <t>新益昌</t>
  </si>
  <si>
    <t>www.lixinger.com/analytics/company/sh/688383/688383/detail</t>
  </si>
  <si>
    <t>先河环保</t>
  </si>
  <si>
    <t>www.lixinger.com/analytics/company/sz/300137/300137/detail</t>
  </si>
  <si>
    <t>青松建化</t>
  </si>
  <si>
    <t>www.lixinger.com/analytics/company/sh/600425/600425/detail</t>
  </si>
  <si>
    <t>盛美上海</t>
  </si>
  <si>
    <t>www.lixinger.com/analytics/company/sh/688082/688082/detail</t>
  </si>
  <si>
    <t>纵横通信</t>
  </si>
  <si>
    <t>www.lixinger.com/analytics/company/sh/603602/603602/detail</t>
  </si>
  <si>
    <t>乐凯胶片</t>
  </si>
  <si>
    <t>www.lixinger.com/analytics/company/sh/600135/600135/detail</t>
  </si>
  <si>
    <t>恒银科技</t>
  </si>
  <si>
    <t>www.lixinger.com/analytics/company/sh/603106/603106/detail</t>
  </si>
  <si>
    <t>蓝盾光电</t>
  </si>
  <si>
    <t>www.lixinger.com/analytics/company/sz/300862/300862/detail</t>
  </si>
  <si>
    <t>爱仕达</t>
  </si>
  <si>
    <t>www.lixinger.com/analytics/company/sz/002403/2403/detail</t>
  </si>
  <si>
    <t>科锐国际</t>
  </si>
  <si>
    <t>人力资源服务</t>
  </si>
  <si>
    <t>www.lixinger.com/analytics/company/sz/300662/300662/detail</t>
  </si>
  <si>
    <t>有研粉材</t>
  </si>
  <si>
    <t>www.lixinger.com/analytics/company/sh/688456/688456/detail</t>
  </si>
  <si>
    <t>新金路</t>
  </si>
  <si>
    <t>www.lixinger.com/analytics/company/sz/000510/510/detail</t>
  </si>
  <si>
    <t>紫江企业</t>
  </si>
  <si>
    <t>www.lixinger.com/analytics/company/sh/600210/600210/detail</t>
  </si>
  <si>
    <t>海天精工</t>
  </si>
  <si>
    <t>www.lixinger.com/analytics/company/sh/601882/601882/detail</t>
  </si>
  <si>
    <t>盟升电子</t>
  </si>
  <si>
    <t>www.lixinger.com/analytics/company/sh/688311/688311/detail</t>
  </si>
  <si>
    <t>我乐家居</t>
  </si>
  <si>
    <t>www.lixinger.com/analytics/company/sh/603326/603326/detail</t>
  </si>
  <si>
    <t>恒宝股份</t>
  </si>
  <si>
    <t>www.lixinger.com/analytics/company/sz/002104/2104/detail</t>
  </si>
  <si>
    <t>神剑股份</t>
  </si>
  <si>
    <t>www.lixinger.com/analytics/company/sz/002361/2361/detail</t>
  </si>
  <si>
    <t>上海雅仕</t>
  </si>
  <si>
    <t>www.lixinger.com/analytics/company/sh/603329/603329/detail</t>
  </si>
  <si>
    <t>国光股份</t>
  </si>
  <si>
    <t>www.lixinger.com/analytics/company/sz/002749/2749/detail</t>
  </si>
  <si>
    <t>民和股份</t>
  </si>
  <si>
    <t>www.lixinger.com/analytics/company/sz/002234/2234/detail</t>
  </si>
  <si>
    <t>佳电股份</t>
  </si>
  <si>
    <t>www.lixinger.com/analytics/company/sz/000922/922/detail</t>
  </si>
  <si>
    <t>汉威科技</t>
  </si>
  <si>
    <t>www.lixinger.com/analytics/company/sz/300007/300007/detail</t>
  </si>
  <si>
    <t>经纬恒润</t>
  </si>
  <si>
    <t>www.lixinger.com/analytics/company/sh/688326/688326/detail</t>
  </si>
  <si>
    <t>美达股份</t>
  </si>
  <si>
    <t>www.lixinger.com/analytics/company/sz/000782/782/detail</t>
  </si>
  <si>
    <t>浙文影业</t>
  </si>
  <si>
    <t>www.lixinger.com/analytics/company/sh/601599/601599/detail</t>
  </si>
  <si>
    <t>亚玛顿</t>
  </si>
  <si>
    <t>www.lixinger.com/analytics/company/sz/002623/2623/detail</t>
  </si>
  <si>
    <t>天地在线</t>
  </si>
  <si>
    <t>www.lixinger.com/analytics/company/sz/002995/2995/detail</t>
  </si>
  <si>
    <t>云维股份</t>
  </si>
  <si>
    <t>www.lixinger.com/analytics/company/sh/600725/600725/detail</t>
  </si>
  <si>
    <t>冰山B</t>
  </si>
  <si>
    <t>www.lixinger.com/analytics/company/sz/200530/200530/detail</t>
  </si>
  <si>
    <t>平高电气</t>
  </si>
  <si>
    <t>www.lixinger.com/analytics/company/sh/600312/600312/detail</t>
  </si>
  <si>
    <t>妙可蓝多</t>
  </si>
  <si>
    <t>www.lixinger.com/analytics/company/sh/600882/600882/detail</t>
  </si>
  <si>
    <t>新柴股份</t>
  </si>
  <si>
    <t>www.lixinger.com/analytics/company/sz/301032/301032/detail</t>
  </si>
  <si>
    <t>长鹰信质</t>
  </si>
  <si>
    <t>www.lixinger.com/analytics/company/sz/002664/2664/detail</t>
  </si>
  <si>
    <t>雷科防务</t>
  </si>
  <si>
    <t>www.lixinger.com/analytics/company/sz/002413/2413/detail</t>
  </si>
  <si>
    <t>格尔软件</t>
  </si>
  <si>
    <t>www.lixinger.com/analytics/company/sh/603232/603232/detail</t>
  </si>
  <si>
    <t>龙泉股份</t>
  </si>
  <si>
    <t>www.lixinger.com/analytics/company/sz/002671/2671/detail</t>
  </si>
  <si>
    <t>华媒控股</t>
  </si>
  <si>
    <t>www.lixinger.com/analytics/company/sz/000607/607/detail</t>
  </si>
  <si>
    <t>航天科技</t>
  </si>
  <si>
    <t>www.lixinger.com/analytics/company/sz/000901/901/detail</t>
  </si>
  <si>
    <t>申通地铁</t>
  </si>
  <si>
    <t>www.lixinger.com/analytics/company/sh/600834/600834/detail</t>
  </si>
  <si>
    <t>翠微股份</t>
  </si>
  <si>
    <t>www.lixinger.com/analytics/company/sh/603123/603123/detail</t>
  </si>
  <si>
    <t>爱克股份</t>
  </si>
  <si>
    <t>www.lixinger.com/analytics/company/sz/300889/300889/detail</t>
  </si>
  <si>
    <t>普联软件</t>
  </si>
  <si>
    <t>www.lixinger.com/analytics/company/sz/300996/300996/detail</t>
  </si>
  <si>
    <t>锦州港</t>
  </si>
  <si>
    <t>www.lixinger.com/analytics/company/sh/600190/600190/detail</t>
  </si>
  <si>
    <t>极米科技</t>
  </si>
  <si>
    <t>www.lixinger.com/analytics/company/sh/688696/688696/detail</t>
  </si>
  <si>
    <t>城市传媒</t>
  </si>
  <si>
    <t>www.lixinger.com/analytics/company/sh/600229/600229/detail</t>
  </si>
  <si>
    <t>保龄宝</t>
  </si>
  <si>
    <t>www.lixinger.com/analytics/company/sz/002286/2286/detail</t>
  </si>
  <si>
    <t>ST鹏博士</t>
  </si>
  <si>
    <t>www.lixinger.com/analytics/company/sh/600804/600804/detail</t>
  </si>
  <si>
    <t>盛剑环境</t>
  </si>
  <si>
    <t>www.lixinger.com/analytics/company/sh/603324/603324/detail</t>
  </si>
  <si>
    <t>华工科技</t>
  </si>
  <si>
    <t>www.lixinger.com/analytics/company/sz/000988/988/detail</t>
  </si>
  <si>
    <t>新开普</t>
  </si>
  <si>
    <t>www.lixinger.com/analytics/company/sz/300248/300248/detail</t>
  </si>
  <si>
    <t>马应龙</t>
  </si>
  <si>
    <t>www.lixinger.com/analytics/company/sh/600993/600993/detail</t>
  </si>
  <si>
    <t>国茂股份</t>
  </si>
  <si>
    <t>www.lixinger.com/analytics/company/sh/603915/603915/detail</t>
  </si>
  <si>
    <t>长青股份</t>
  </si>
  <si>
    <t>www.lixinger.com/analytics/company/sz/002391/2391/detail</t>
  </si>
  <si>
    <t>璞泰来</t>
  </si>
  <si>
    <t>www.lixinger.com/analytics/company/sh/603659/603659/detail</t>
  </si>
  <si>
    <t>伯特利</t>
  </si>
  <si>
    <t>www.lixinger.com/analytics/company/sh/603596/603596/detail</t>
  </si>
  <si>
    <t>蒙娜丽莎</t>
  </si>
  <si>
    <t>www.lixinger.com/analytics/company/sz/002918/2918/detail</t>
  </si>
  <si>
    <t>泛微网络</t>
  </si>
  <si>
    <t>www.lixinger.com/analytics/company/sh/603039/603039/detail</t>
  </si>
  <si>
    <t>天宸股份</t>
  </si>
  <si>
    <t>www.lixinger.com/analytics/company/sh/600620/600620/detail</t>
  </si>
  <si>
    <t>瓦轴B</t>
  </si>
  <si>
    <t>www.lixinger.com/analytics/company/sz/200706/200706/detail</t>
  </si>
  <si>
    <t>水羊股份</t>
  </si>
  <si>
    <t>www.lixinger.com/analytics/company/sz/300740/300740/detail</t>
  </si>
  <si>
    <t>久立特材</t>
  </si>
  <si>
    <t>www.lixinger.com/analytics/company/sz/002318/2318/detail</t>
  </si>
  <si>
    <t>远达环保</t>
  </si>
  <si>
    <t>www.lixinger.com/analytics/company/sh/600292/600292/detail</t>
  </si>
  <si>
    <t>诚邦股份</t>
  </si>
  <si>
    <t>www.lixinger.com/analytics/company/sh/603316/603316/detail</t>
  </si>
  <si>
    <t>德生科技</t>
  </si>
  <si>
    <t>www.lixinger.com/analytics/company/sz/002908/2908/detail</t>
  </si>
  <si>
    <t>上海机场</t>
  </si>
  <si>
    <t>www.lixinger.com/analytics/company/sh/600009/600009/detail</t>
  </si>
  <si>
    <t>ST安泰</t>
  </si>
  <si>
    <t>www.lixinger.com/analytics/company/sh/600408/600408/detail</t>
  </si>
  <si>
    <t>雪浪环境</t>
  </si>
  <si>
    <t>www.lixinger.com/analytics/company/sz/300385/300385/detail</t>
  </si>
  <si>
    <t>中粮工科</t>
  </si>
  <si>
    <t>www.lixinger.com/analytics/company/sz/301058/301058/detail</t>
  </si>
  <si>
    <t>设计总院</t>
  </si>
  <si>
    <t>www.lixinger.com/analytics/company/sh/603357/603357/detail</t>
  </si>
  <si>
    <t>数字认证</t>
  </si>
  <si>
    <t>www.lixinger.com/analytics/company/sz/300579/300579/detail</t>
  </si>
  <si>
    <t>亚星客车</t>
  </si>
  <si>
    <t>www.lixinger.com/analytics/company/sh/600213/600213/detail</t>
  </si>
  <si>
    <t>望变电气</t>
  </si>
  <si>
    <t>www.lixinger.com/analytics/company/sh/603191/603191/detail</t>
  </si>
  <si>
    <t>王力安防</t>
  </si>
  <si>
    <t>www.lixinger.com/analytics/company/sh/605268/605268/detail</t>
  </si>
  <si>
    <t>思创医惠</t>
  </si>
  <si>
    <t>www.lixinger.com/analytics/company/sz/300078/300078/detail</t>
  </si>
  <si>
    <t>天马科技</t>
  </si>
  <si>
    <t>水产饲料</t>
  </si>
  <si>
    <t>www.lixinger.com/analytics/company/sh/603668/603668/detail</t>
  </si>
  <si>
    <t>亚邦股份</t>
  </si>
  <si>
    <t>www.lixinger.com/analytics/company/sh/603188/603188/detail</t>
  </si>
  <si>
    <t>力源信息</t>
  </si>
  <si>
    <t>www.lixinger.com/analytics/company/sz/300184/300184/detail</t>
  </si>
  <si>
    <t>和胜股份</t>
  </si>
  <si>
    <t>www.lixinger.com/analytics/company/sz/002824/2824/detail</t>
  </si>
  <si>
    <t>高测股份</t>
  </si>
  <si>
    <t>www.lixinger.com/analytics/company/sh/688556/688556/detail</t>
  </si>
  <si>
    <t>圣阳股份</t>
  </si>
  <si>
    <t>www.lixinger.com/analytics/company/sz/002580/2580/detail</t>
  </si>
  <si>
    <t>万朗磁塑</t>
  </si>
  <si>
    <t>www.lixinger.com/analytics/company/sh/603150/603150/detail</t>
  </si>
  <si>
    <t>同达创业</t>
  </si>
  <si>
    <t>www.lixinger.com/analytics/company/sh/600647/600647/detail</t>
  </si>
  <si>
    <t>海力风电</t>
  </si>
  <si>
    <t>www.lixinger.com/analytics/company/sz/301155/301155/detail</t>
  </si>
  <si>
    <t>江山欧派</t>
  </si>
  <si>
    <t>www.lixinger.com/analytics/company/sh/603208/603208/detail</t>
  </si>
  <si>
    <t>浙江震元</t>
  </si>
  <si>
    <t>www.lixinger.com/analytics/company/sz/000705/705/detail</t>
  </si>
  <si>
    <t>登海种业</t>
  </si>
  <si>
    <t>www.lixinger.com/analytics/company/sz/002041/2041/detail</t>
  </si>
  <si>
    <t>创意信息</t>
  </si>
  <si>
    <t>www.lixinger.com/analytics/company/sz/300366/300366/detail</t>
  </si>
  <si>
    <t>芭田股份</t>
  </si>
  <si>
    <t>www.lixinger.com/analytics/company/sz/002170/2170/detail</t>
  </si>
  <si>
    <t>节能铁汉</t>
  </si>
  <si>
    <t>www.lixinger.com/analytics/company/sz/300197/300197/detail</t>
  </si>
  <si>
    <t>美亚光电</t>
  </si>
  <si>
    <t>www.lixinger.com/analytics/company/sz/002690/2690/detail</t>
  </si>
  <si>
    <t>北化股份</t>
  </si>
  <si>
    <t>www.lixinger.com/analytics/company/sz/002246/2246/detail</t>
  </si>
  <si>
    <t>杭氧股份</t>
  </si>
  <si>
    <t>www.lixinger.com/analytics/company/sz/002430/2430/detail</t>
  </si>
  <si>
    <t>盛达资源</t>
  </si>
  <si>
    <t>www.lixinger.com/analytics/company/sz/000603/603/detail</t>
  </si>
  <si>
    <t>亚康股份</t>
  </si>
  <si>
    <t>www.lixinger.com/analytics/company/sz/301085/301085/detail</t>
  </si>
  <si>
    <t>航天彩虹</t>
  </si>
  <si>
    <t>www.lixinger.com/analytics/company/sz/002389/2389/detail</t>
  </si>
  <si>
    <t>凯发电气</t>
  </si>
  <si>
    <t>www.lixinger.com/analytics/company/sz/300407/300407/detail</t>
  </si>
  <si>
    <t>胜利股份</t>
  </si>
  <si>
    <t>www.lixinger.com/analytics/company/sz/000407/407/detail</t>
  </si>
  <si>
    <t>海程邦达</t>
  </si>
  <si>
    <t>www.lixinger.com/analytics/company/sh/603836/603836/detail</t>
  </si>
  <si>
    <t>宏力达</t>
  </si>
  <si>
    <t>www.lixinger.com/analytics/company/sh/688330/688330/detail</t>
  </si>
  <si>
    <t>华阳国际</t>
  </si>
  <si>
    <t>www.lixinger.com/analytics/company/sz/002949/2949/detail</t>
  </si>
  <si>
    <t>东易日盛</t>
  </si>
  <si>
    <t>www.lixinger.com/analytics/company/sz/002713/2713/detail</t>
  </si>
  <si>
    <t>万林物流</t>
  </si>
  <si>
    <t>www.lixinger.com/analytics/company/sh/603117/603117/detail</t>
  </si>
  <si>
    <t>启迪设计</t>
  </si>
  <si>
    <t>www.lixinger.com/analytics/company/sz/300500/300500/detail</t>
  </si>
  <si>
    <t>中科金财</t>
  </si>
  <si>
    <t>www.lixinger.com/analytics/company/sz/002657/2657/detail</t>
  </si>
  <si>
    <t>ST贵人</t>
  </si>
  <si>
    <t>www.lixinger.com/analytics/company/sh/603555/603555/detail</t>
  </si>
  <si>
    <t>中工国际</t>
  </si>
  <si>
    <t>国际工程</t>
  </si>
  <si>
    <t>www.lixinger.com/analytics/company/sz/002051/2051/detail</t>
  </si>
  <si>
    <t>科达制造</t>
  </si>
  <si>
    <t>www.lixinger.com/analytics/company/sh/600499/600499/detail</t>
  </si>
  <si>
    <t>高伟达</t>
  </si>
  <si>
    <t>www.lixinger.com/analytics/company/sz/300465/300465/detail</t>
  </si>
  <si>
    <t>福斯特</t>
  </si>
  <si>
    <t>www.lixinger.com/analytics/company/sh/603806/603806/detail</t>
  </si>
  <si>
    <t>太龙药业</t>
  </si>
  <si>
    <t>www.lixinger.com/analytics/company/sh/600222/600222/detail</t>
  </si>
  <si>
    <t>乔治白</t>
  </si>
  <si>
    <t>www.lixinger.com/analytics/company/sz/002687/2687/detail</t>
  </si>
  <si>
    <t>兰卫医学</t>
  </si>
  <si>
    <t>www.lixinger.com/analytics/company/sz/301060/301060/detail</t>
  </si>
  <si>
    <t>天宇股份</t>
  </si>
  <si>
    <t>www.lixinger.com/analytics/company/sz/300702/300702/detail</t>
  </si>
  <si>
    <t>万德斯</t>
  </si>
  <si>
    <t>www.lixinger.com/analytics/company/sh/688178/688178/detail</t>
  </si>
  <si>
    <t>城建发展</t>
  </si>
  <si>
    <t>www.lixinger.com/analytics/company/sh/600266/600266/detail</t>
  </si>
  <si>
    <t>合纵科技</t>
  </si>
  <si>
    <t>www.lixinger.com/analytics/company/sz/300477/300477/detail</t>
  </si>
  <si>
    <t>悦达投资</t>
  </si>
  <si>
    <t>www.lixinger.com/analytics/company/sh/600805/600805/detail</t>
  </si>
  <si>
    <t>康冠科技</t>
  </si>
  <si>
    <t>www.lixinger.com/analytics/company/sz/001308/1308/detail</t>
  </si>
  <si>
    <t>杭汽轮Ｂ</t>
  </si>
  <si>
    <t>www.lixinger.com/analytics/company/sz/200771/200771/detail</t>
  </si>
  <si>
    <t>小康股份</t>
  </si>
  <si>
    <t>www.lixinger.com/analytics/company/sh/601127/601127/detail</t>
  </si>
  <si>
    <t>凯撒旅业</t>
  </si>
  <si>
    <t>www.lixinger.com/analytics/company/sz/000796/796/detail</t>
  </si>
  <si>
    <t>市北高新</t>
  </si>
  <si>
    <t>www.lixinger.com/analytics/company/sh/600604/600604/detail</t>
  </si>
  <si>
    <t>东贝集团</t>
  </si>
  <si>
    <t>www.lixinger.com/analytics/company/sh/601956/601956/detail</t>
  </si>
  <si>
    <t>铭利达</t>
  </si>
  <si>
    <t>www.lixinger.com/analytics/company/sz/301268/301268/detail</t>
  </si>
  <si>
    <t>奥克股份</t>
  </si>
  <si>
    <t>www.lixinger.com/analytics/company/sz/300082/300082/detail</t>
  </si>
  <si>
    <t>华统股份</t>
  </si>
  <si>
    <t>www.lixinger.com/analytics/company/sz/002840/2840/detail</t>
  </si>
  <si>
    <t>大龙地产</t>
  </si>
  <si>
    <t>www.lixinger.com/analytics/company/sh/600159/600159/detail</t>
  </si>
  <si>
    <t>兰剑智能</t>
  </si>
  <si>
    <t>www.lixinger.com/analytics/company/sh/688557/688557/detail</t>
  </si>
  <si>
    <t>大禹节水</t>
  </si>
  <si>
    <t>www.lixinger.com/analytics/company/sz/300021/300021/detail</t>
  </si>
  <si>
    <t>嘉和美康</t>
  </si>
  <si>
    <t>www.lixinger.com/analytics/company/sh/688246/688246/detail</t>
  </si>
  <si>
    <t>中国电研</t>
  </si>
  <si>
    <t>www.lixinger.com/analytics/company/sh/688128/688128/detail</t>
  </si>
  <si>
    <t>金固股份</t>
  </si>
  <si>
    <t>www.lixinger.com/analytics/company/sz/002488/2488/detail</t>
  </si>
  <si>
    <t>长城科技</t>
  </si>
  <si>
    <t>www.lixinger.com/analytics/company/sh/603897/603897/detail</t>
  </si>
  <si>
    <t>思美传媒</t>
  </si>
  <si>
    <t>www.lixinger.com/analytics/company/sz/002712/2712/detail</t>
  </si>
  <si>
    <t>维科技术</t>
  </si>
  <si>
    <t>www.lixinger.com/analytics/company/sh/600152/600152/detail</t>
  </si>
  <si>
    <t>瑞和股份</t>
  </si>
  <si>
    <t>www.lixinger.com/analytics/company/sz/002620/2620/detail</t>
  </si>
  <si>
    <t>科博达</t>
  </si>
  <si>
    <t>www.lixinger.com/analytics/company/sh/603786/603786/detail</t>
  </si>
  <si>
    <t>永茂泰</t>
  </si>
  <si>
    <t>www.lixinger.com/analytics/company/sh/605208/605208/detail</t>
  </si>
  <si>
    <t>常山药业</t>
  </si>
  <si>
    <t>www.lixinger.com/analytics/company/sz/300255/300255/detail</t>
  </si>
  <si>
    <t>荣科科技</t>
  </si>
  <si>
    <t>www.lixinger.com/analytics/company/sz/300290/300290/detail</t>
  </si>
  <si>
    <t>金种子酒</t>
  </si>
  <si>
    <t>www.lixinger.com/analytics/company/sh/600199/600199/detail</t>
  </si>
  <si>
    <t>瑞茂通</t>
  </si>
  <si>
    <t>www.lixinger.com/analytics/company/sh/600180/600180/detail</t>
  </si>
  <si>
    <t>*ST利源</t>
  </si>
  <si>
    <t>www.lixinger.com/analytics/company/sz/002501/2501/detail</t>
  </si>
  <si>
    <t>标准股份</t>
  </si>
  <si>
    <t>www.lixinger.com/analytics/company/sh/600302/600302/detail</t>
  </si>
  <si>
    <t>久远银海</t>
  </si>
  <si>
    <t>www.lixinger.com/analytics/company/sz/002777/2777/detail</t>
  </si>
  <si>
    <t>金房节能</t>
  </si>
  <si>
    <t>www.lixinger.com/analytics/company/sz/001210/1210/detail</t>
  </si>
  <si>
    <t>杭齿前进</t>
  </si>
  <si>
    <t>www.lixinger.com/analytics/company/sh/601177/601177/detail</t>
  </si>
  <si>
    <t>光威复材</t>
  </si>
  <si>
    <t>www.lixinger.com/analytics/company/sz/300699/300699/detail</t>
  </si>
  <si>
    <t>西藏天路</t>
  </si>
  <si>
    <t>www.lixinger.com/analytics/company/sh/600326/600326/detail</t>
  </si>
  <si>
    <t>宝莫股份</t>
  </si>
  <si>
    <t>www.lixinger.com/analytics/company/sz/002476/2476/detail</t>
  </si>
  <si>
    <t>共进股份</t>
  </si>
  <si>
    <t>www.lixinger.com/analytics/company/sh/603118/603118/detail</t>
  </si>
  <si>
    <t>凤凰股份</t>
  </si>
  <si>
    <t>www.lixinger.com/analytics/company/sh/600716/600716/detail</t>
  </si>
  <si>
    <t>均瑶健康</t>
  </si>
  <si>
    <t>www.lixinger.com/analytics/company/sh/605388/605388/detail</t>
  </si>
  <si>
    <t>宝鹰股份</t>
  </si>
  <si>
    <t>www.lixinger.com/analytics/company/sz/002047/2047/detail</t>
  </si>
  <si>
    <t>南岭民爆</t>
  </si>
  <si>
    <t>www.lixinger.com/analytics/company/sz/002096/2096/detail</t>
  </si>
  <si>
    <t>国民技术</t>
  </si>
  <si>
    <t>www.lixinger.com/analytics/company/sz/300077/300077/detail</t>
  </si>
  <si>
    <t>北斗星通</t>
  </si>
  <si>
    <t>www.lixinger.com/analytics/company/sz/002151/2151/detail</t>
  </si>
  <si>
    <t>安硕信息</t>
  </si>
  <si>
    <t>www.lixinger.com/analytics/company/sz/300380/300380/detail</t>
  </si>
  <si>
    <t>科大国创</t>
  </si>
  <si>
    <t>www.lixinger.com/analytics/company/sz/300520/300520/detail</t>
  </si>
  <si>
    <t>*ST雅博</t>
  </si>
  <si>
    <t>www.lixinger.com/analytics/company/sz/002323/2323/detail</t>
  </si>
  <si>
    <t>通富微电</t>
  </si>
  <si>
    <t>www.lixinger.com/analytics/company/sz/002156/2156/detail</t>
  </si>
  <si>
    <t>中岩大地</t>
  </si>
  <si>
    <t>www.lixinger.com/analytics/company/sz/003001/3001/detail</t>
  </si>
  <si>
    <t>鹿山新材</t>
  </si>
  <si>
    <t>www.lixinger.com/analytics/company/sh/603051/603051/detail</t>
  </si>
  <si>
    <t>长城军工</t>
  </si>
  <si>
    <t>www.lixinger.com/analytics/company/sh/601606/601606/detail</t>
  </si>
  <si>
    <t>黑猫股份</t>
  </si>
  <si>
    <t>www.lixinger.com/analytics/company/sz/002068/2068/detail</t>
  </si>
  <si>
    <t>出版传媒</t>
  </si>
  <si>
    <t>www.lixinger.com/analytics/company/sh/601999/601999/detail</t>
  </si>
  <si>
    <t>方大炭素</t>
  </si>
  <si>
    <t>www.lixinger.com/analytics/company/sh/600516/600516/detail</t>
  </si>
  <si>
    <t>贵研铂业</t>
  </si>
  <si>
    <t>www.lixinger.com/analytics/company/sh/600459/600459/detail</t>
  </si>
  <si>
    <t>东富龙</t>
  </si>
  <si>
    <t>www.lixinger.com/analytics/company/sz/300171/300171/detail</t>
  </si>
  <si>
    <t>纳芯微</t>
  </si>
  <si>
    <t>www.lixinger.com/analytics/company/sh/688052/688052/detail</t>
  </si>
  <si>
    <t>科达利</t>
  </si>
  <si>
    <t>www.lixinger.com/analytics/company/sz/002850/2850/detail</t>
  </si>
  <si>
    <t>贝泰妮</t>
  </si>
  <si>
    <t>www.lixinger.com/analytics/company/sz/300957/300957/detail</t>
  </si>
  <si>
    <t>晋亿实业</t>
  </si>
  <si>
    <t>www.lixinger.com/analytics/company/sh/601002/601002/detail</t>
  </si>
  <si>
    <t>科蓝软件</t>
  </si>
  <si>
    <t>www.lixinger.com/analytics/company/sz/300663/300663/detail</t>
  </si>
  <si>
    <t>光智科技</t>
  </si>
  <si>
    <t>www.lixinger.com/analytics/company/sz/300489/300489/detail</t>
  </si>
  <si>
    <t>长鸿高科</t>
  </si>
  <si>
    <t>www.lixinger.com/analytics/company/sh/605008/605008/detail</t>
  </si>
  <si>
    <t>人民网</t>
  </si>
  <si>
    <t>www.lixinger.com/analytics/company/sh/603000/603000/detail</t>
  </si>
  <si>
    <t>东方时尚</t>
  </si>
  <si>
    <t>www.lixinger.com/analytics/company/sh/603377/603377/detail</t>
  </si>
  <si>
    <t>今天国际</t>
  </si>
  <si>
    <t>www.lixinger.com/analytics/company/sz/300532/300532/detail</t>
  </si>
  <si>
    <t>博迈科</t>
  </si>
  <si>
    <t>www.lixinger.com/analytics/company/sh/603727/603727/detail</t>
  </si>
  <si>
    <t>云南白药</t>
  </si>
  <si>
    <t>www.lixinger.com/analytics/company/sz/000538/538/detail</t>
  </si>
  <si>
    <t>新晨科技</t>
  </si>
  <si>
    <t>www.lixinger.com/analytics/company/sz/300542/300542/detail</t>
  </si>
  <si>
    <t>惠天热电</t>
  </si>
  <si>
    <t>www.lixinger.com/analytics/company/sz/000692/692/detail</t>
  </si>
  <si>
    <t>汇得科技</t>
  </si>
  <si>
    <t>www.lixinger.com/analytics/company/sh/603192/603192/detail</t>
  </si>
  <si>
    <t>丰乐种业</t>
  </si>
  <si>
    <t>www.lixinger.com/analytics/company/sz/000713/713/detail</t>
  </si>
  <si>
    <t>安车检测</t>
  </si>
  <si>
    <t>www.lixinger.com/analytics/company/sz/300572/300572/detail</t>
  </si>
  <si>
    <t>合肥城建</t>
  </si>
  <si>
    <t>www.lixinger.com/analytics/company/sz/002208/2208/detail</t>
  </si>
  <si>
    <t>拓维信息</t>
  </si>
  <si>
    <t>www.lixinger.com/analytics/company/sz/002261/2261/detail</t>
  </si>
  <si>
    <t>迪哲医药</t>
  </si>
  <si>
    <t>www.lixinger.com/analytics/company/sh/688192/688192/detail</t>
  </si>
  <si>
    <t>中国汽研</t>
  </si>
  <si>
    <t>www.lixinger.com/analytics/company/sh/601965/601965/detail</t>
  </si>
  <si>
    <t>盛德鑫泰</t>
  </si>
  <si>
    <t>www.lixinger.com/analytics/company/sz/300881/300881/detail</t>
  </si>
  <si>
    <t>正元智慧</t>
  </si>
  <si>
    <t>www.lixinger.com/analytics/company/sz/300645/300645/detail</t>
  </si>
  <si>
    <t>金通灵</t>
  </si>
  <si>
    <t>www.lixinger.com/analytics/company/sz/300091/300091/detail</t>
  </si>
  <si>
    <t>中航电测</t>
  </si>
  <si>
    <t>www.lixinger.com/analytics/company/sz/300114/300114/detail</t>
  </si>
  <si>
    <t>新开源</t>
  </si>
  <si>
    <t>www.lixinger.com/analytics/company/sz/300109/300109/detail</t>
  </si>
  <si>
    <t>财信发展</t>
  </si>
  <si>
    <t>www.lixinger.com/analytics/company/sz/000838/838/detail</t>
  </si>
  <si>
    <t>科林电气</t>
  </si>
  <si>
    <t>www.lixinger.com/analytics/company/sh/603050/603050/detail</t>
  </si>
  <si>
    <t>万顺新材</t>
  </si>
  <si>
    <t>www.lixinger.com/analytics/company/sz/300057/300057/detail</t>
  </si>
  <si>
    <t>*ST广珠</t>
  </si>
  <si>
    <t>www.lixinger.com/analytics/company/sh/600382/600382/detail</t>
  </si>
  <si>
    <t>浙大网新</t>
  </si>
  <si>
    <t>www.lixinger.com/analytics/company/sh/600797/600797/detail</t>
  </si>
  <si>
    <t>天准科技</t>
  </si>
  <si>
    <t>www.lixinger.com/analytics/company/sh/688003/688003/detail</t>
  </si>
  <si>
    <t>宁通信B</t>
  </si>
  <si>
    <t>www.lixinger.com/analytics/company/sz/200468/200468/detail</t>
  </si>
  <si>
    <t>浙江医药</t>
  </si>
  <si>
    <t>www.lixinger.com/analytics/company/sh/600216/600216/detail</t>
  </si>
  <si>
    <t>奥瑞金</t>
  </si>
  <si>
    <t>www.lixinger.com/analytics/company/sz/002701/2701/detail</t>
  </si>
  <si>
    <t>北摩高科</t>
  </si>
  <si>
    <t>www.lixinger.com/analytics/company/sz/002985/2985/detail</t>
  </si>
  <si>
    <t>金卡智能</t>
  </si>
  <si>
    <t>www.lixinger.com/analytics/company/sz/300349/300349/detail</t>
  </si>
  <si>
    <t>高铁电气</t>
  </si>
  <si>
    <t>www.lixinger.com/analytics/company/sh/688285/688285/detail</t>
  </si>
  <si>
    <t>长川科技</t>
  </si>
  <si>
    <t>www.lixinger.com/analytics/company/sz/300604/300604/detail</t>
  </si>
  <si>
    <t>文科园林</t>
  </si>
  <si>
    <t>www.lixinger.com/analytics/company/sz/002775/2775/detail</t>
  </si>
  <si>
    <t>固德威</t>
  </si>
  <si>
    <t>www.lixinger.com/analytics/company/sh/688390/688390/detail</t>
  </si>
  <si>
    <t>新能泰山</t>
  </si>
  <si>
    <t>www.lixinger.com/analytics/company/sz/000720/720/detail</t>
  </si>
  <si>
    <t>宇通重工</t>
  </si>
  <si>
    <t>www.lixinger.com/analytics/company/sh/600817/600817/detail</t>
  </si>
  <si>
    <t>*ST华英</t>
  </si>
  <si>
    <t>www.lixinger.com/analytics/company/sz/002321/2321/detail</t>
  </si>
  <si>
    <t>江航装备</t>
  </si>
  <si>
    <t>www.lixinger.com/analytics/company/sh/688586/688586/detail</t>
  </si>
  <si>
    <t>道通科技</t>
  </si>
  <si>
    <t>www.lixinger.com/analytics/company/sh/688208/688208/detail</t>
  </si>
  <si>
    <t>易联众</t>
  </si>
  <si>
    <t>www.lixinger.com/analytics/company/sz/300096/300096/detail</t>
  </si>
  <si>
    <t>美邦服饰</t>
  </si>
  <si>
    <t>www.lixinger.com/analytics/company/sz/002269/2269/detail</t>
  </si>
  <si>
    <t>章源钨业</t>
  </si>
  <si>
    <t>www.lixinger.com/analytics/company/sz/002378/2378/detail</t>
  </si>
  <si>
    <t>浩丰科技</t>
  </si>
  <si>
    <t>www.lixinger.com/analytics/company/sz/300419/300419/detail</t>
  </si>
  <si>
    <t>利亚德</t>
  </si>
  <si>
    <t>www.lixinger.com/analytics/company/sz/300296/300296/detail</t>
  </si>
  <si>
    <t>金地集团</t>
  </si>
  <si>
    <t>www.lixinger.com/analytics/company/sh/600383/600383/detail</t>
  </si>
  <si>
    <t>鼎捷软件</t>
  </si>
  <si>
    <t>www.lixinger.com/analytics/company/sz/300378/300378/detail</t>
  </si>
  <si>
    <t>新五丰</t>
  </si>
  <si>
    <t>www.lixinger.com/analytics/company/sh/600975/600975/detail</t>
  </si>
  <si>
    <t>新大正</t>
  </si>
  <si>
    <t>www.lixinger.com/analytics/company/sz/002968/2968/detail</t>
  </si>
  <si>
    <t>大恒科技</t>
  </si>
  <si>
    <t>www.lixinger.com/analytics/company/sh/600288/600288/detail</t>
  </si>
  <si>
    <t>三房巷</t>
  </si>
  <si>
    <t>www.lixinger.com/analytics/company/sh/600370/600370/detail</t>
  </si>
  <si>
    <t>诺禾致源</t>
  </si>
  <si>
    <t>www.lixinger.com/analytics/company/sh/688315/688315/detail</t>
  </si>
  <si>
    <t>联络互动</t>
  </si>
  <si>
    <t>www.lixinger.com/analytics/company/sz/002280/2280/detail</t>
  </si>
  <si>
    <t>威派格</t>
  </si>
  <si>
    <t>www.lixinger.com/analytics/company/sh/603956/603956/detail</t>
  </si>
  <si>
    <t>优彩资源</t>
  </si>
  <si>
    <t>www.lixinger.com/analytics/company/sz/002998/2998/detail</t>
  </si>
  <si>
    <t>科士达</t>
  </si>
  <si>
    <t>www.lixinger.com/analytics/company/sz/002518/2518/detail</t>
  </si>
  <si>
    <t>福建水泥</t>
  </si>
  <si>
    <t>www.lixinger.com/analytics/company/sh/600802/600802/detail</t>
  </si>
  <si>
    <t>福龙马</t>
  </si>
  <si>
    <t>www.lixinger.com/analytics/company/sh/603686/603686/detail</t>
  </si>
  <si>
    <t>节能国祯</t>
  </si>
  <si>
    <t>www.lixinger.com/analytics/company/sz/300388/300388/detail</t>
  </si>
  <si>
    <t>奥普家居</t>
  </si>
  <si>
    <t>www.lixinger.com/analytics/company/sh/603551/603551/detail</t>
  </si>
  <si>
    <t>广日股份</t>
  </si>
  <si>
    <t>www.lixinger.com/analytics/company/sh/600894/600894/detail</t>
  </si>
  <si>
    <t>中一科技</t>
  </si>
  <si>
    <t>www.lixinger.com/analytics/company/sz/301150/301150/detail</t>
  </si>
  <si>
    <t>鹏都农牧</t>
  </si>
  <si>
    <t>www.lixinger.com/analytics/company/sz/002505/2505/detail</t>
  </si>
  <si>
    <t>唐人神</t>
  </si>
  <si>
    <t>www.lixinger.com/analytics/company/sz/002567/2567/detail</t>
  </si>
  <si>
    <t>正平股份</t>
  </si>
  <si>
    <t>www.lixinger.com/analytics/company/sh/603843/603843/detail</t>
  </si>
  <si>
    <t>硅宝科技</t>
  </si>
  <si>
    <t>www.lixinger.com/analytics/company/sz/300019/300019/detail</t>
  </si>
  <si>
    <t>德尔未来</t>
  </si>
  <si>
    <t>www.lixinger.com/analytics/company/sz/002631/2631/detail</t>
  </si>
  <si>
    <t>露笑科技</t>
  </si>
  <si>
    <t>www.lixinger.com/analytics/company/sz/002617/2617/detail</t>
  </si>
  <si>
    <t>保税科技</t>
  </si>
  <si>
    <t>www.lixinger.com/analytics/company/sh/600794/600794/detail</t>
  </si>
  <si>
    <t>久其软件</t>
  </si>
  <si>
    <t>www.lixinger.com/analytics/company/sz/002279/2279/detail</t>
  </si>
  <si>
    <t>华西股份</t>
  </si>
  <si>
    <t>www.lixinger.com/analytics/company/sz/000936/936/detail</t>
  </si>
  <si>
    <t>克劳斯</t>
  </si>
  <si>
    <t>www.lixinger.com/analytics/company/sh/600579/600579/detail</t>
  </si>
  <si>
    <t>安克创新</t>
  </si>
  <si>
    <t>www.lixinger.com/analytics/company/sz/300866/300866/detail</t>
  </si>
  <si>
    <t>华康医疗</t>
  </si>
  <si>
    <t>www.lixinger.com/analytics/company/sz/301235/301235/detail</t>
  </si>
  <si>
    <t>南威软件</t>
  </si>
  <si>
    <t>www.lixinger.com/analytics/company/sh/603636/603636/detail</t>
  </si>
  <si>
    <t>京粮控股</t>
  </si>
  <si>
    <t>www.lixinger.com/analytics/company/sz/000505/505/detail</t>
  </si>
  <si>
    <t>传化智联</t>
  </si>
  <si>
    <t>www.lixinger.com/analytics/company/sz/002010/2010/detail</t>
  </si>
  <si>
    <t>新亚制程</t>
  </si>
  <si>
    <t>www.lixinger.com/analytics/company/sz/002388/2388/detail</t>
  </si>
  <si>
    <t>中钢天源</t>
  </si>
  <si>
    <t>www.lixinger.com/analytics/company/sz/002057/2057/detail</t>
  </si>
  <si>
    <t>爱康科技</t>
  </si>
  <si>
    <t>www.lixinger.com/analytics/company/sz/002610/2610/detail</t>
  </si>
  <si>
    <t>内蒙新华</t>
  </si>
  <si>
    <t>www.lixinger.com/analytics/company/sh/603230/603230/detail</t>
  </si>
  <si>
    <t>智慧农业</t>
  </si>
  <si>
    <t>www.lixinger.com/analytics/company/sz/000816/816/detail</t>
  </si>
  <si>
    <t>日出东方</t>
  </si>
  <si>
    <t>www.lixinger.com/analytics/company/sh/603366/603366/detail</t>
  </si>
  <si>
    <t>荣联科技</t>
  </si>
  <si>
    <t>www.lixinger.com/analytics/company/sz/002642/2642/detail</t>
  </si>
  <si>
    <t>宁水集团</t>
  </si>
  <si>
    <t>www.lixinger.com/analytics/company/sh/603700/603700/detail</t>
  </si>
  <si>
    <t>招标股份</t>
  </si>
  <si>
    <t>www.lixinger.com/analytics/company/sz/301136/301136/detail</t>
  </si>
  <si>
    <t>金埔园林</t>
  </si>
  <si>
    <t>www.lixinger.com/analytics/company/sz/301098/301098/detail</t>
  </si>
  <si>
    <t>华扬联众</t>
  </si>
  <si>
    <t>www.lixinger.com/analytics/company/sh/603825/603825/detail</t>
  </si>
  <si>
    <t>*ST康美</t>
  </si>
  <si>
    <t>www.lixinger.com/analytics/company/sh/600518/600518/detail</t>
  </si>
  <si>
    <t>蒙草生态</t>
  </si>
  <si>
    <t>www.lixinger.com/analytics/company/sz/300355/300355/detail</t>
  </si>
  <si>
    <t>康盛股份</t>
  </si>
  <si>
    <t>www.lixinger.com/analytics/company/sz/002418/2418/detail</t>
  </si>
  <si>
    <t>紫光国微</t>
  </si>
  <si>
    <t>www.lixinger.com/analytics/company/sz/002049/2049/detail</t>
  </si>
  <si>
    <t>捷顺科技</t>
  </si>
  <si>
    <t>www.lixinger.com/analytics/company/sz/002609/2609/detail</t>
  </si>
  <si>
    <t>亚太科技</t>
  </si>
  <si>
    <t>www.lixinger.com/analytics/company/sz/002540/2540/detail</t>
  </si>
  <si>
    <t>湘电股份</t>
  </si>
  <si>
    <t>风电整机</t>
  </si>
  <si>
    <t>www.lixinger.com/analytics/company/sh/600416/600416/detail</t>
  </si>
  <si>
    <t>广深铁路</t>
  </si>
  <si>
    <t>www.lixinger.com/analytics/company/sh/601333/601333/detail</t>
  </si>
  <si>
    <t>汉缆股份</t>
  </si>
  <si>
    <t>www.lixinger.com/analytics/company/sz/002498/2498/detail</t>
  </si>
  <si>
    <t>海信家电</t>
  </si>
  <si>
    <t>www.lixinger.com/analytics/company/sz/000921/921/detail</t>
  </si>
  <si>
    <t>飞乐音响</t>
  </si>
  <si>
    <t>www.lixinger.com/analytics/company/sh/600651/600651/detail</t>
  </si>
  <si>
    <t>中视传媒</t>
  </si>
  <si>
    <t>www.lixinger.com/analytics/company/sh/600088/600088/detail</t>
  </si>
  <si>
    <t>积成电子</t>
  </si>
  <si>
    <t>www.lixinger.com/analytics/company/sz/002339/2339/detail</t>
  </si>
  <si>
    <t>凌云股份</t>
  </si>
  <si>
    <t>www.lixinger.com/analytics/company/sh/600480/600480/detail</t>
  </si>
  <si>
    <t>中钨高新</t>
  </si>
  <si>
    <t>www.lixinger.com/analytics/company/sz/000657/657/detail</t>
  </si>
  <si>
    <t>移为通信</t>
  </si>
  <si>
    <t>www.lixinger.com/analytics/company/sz/300590/300590/detail</t>
  </si>
  <si>
    <t>国际医学</t>
  </si>
  <si>
    <t>www.lixinger.com/analytics/company/sz/000516/516/detail</t>
  </si>
  <si>
    <t>益生股份</t>
  </si>
  <si>
    <t>www.lixinger.com/analytics/company/sz/002458/2458/detail</t>
  </si>
  <si>
    <t>浙江鼎力</t>
  </si>
  <si>
    <t>www.lixinger.com/analytics/company/sh/603338/603338/detail</t>
  </si>
  <si>
    <t>信雅达</t>
  </si>
  <si>
    <t>www.lixinger.com/analytics/company/sh/600571/600571/detail</t>
  </si>
  <si>
    <t>鸿远电子</t>
  </si>
  <si>
    <t>www.lixinger.com/analytics/company/sh/603267/603267/detail</t>
  </si>
  <si>
    <t>维尔利</t>
  </si>
  <si>
    <t>www.lixinger.com/analytics/company/sz/300190/300190/detail</t>
  </si>
  <si>
    <t>创业慧康</t>
  </si>
  <si>
    <t>www.lixinger.com/analytics/company/sz/300451/300451/detail</t>
  </si>
  <si>
    <t>天富能源</t>
  </si>
  <si>
    <t>www.lixinger.com/analytics/company/sh/600509/600509/detail</t>
  </si>
  <si>
    <t>合锻智能</t>
  </si>
  <si>
    <t>www.lixinger.com/analytics/company/sh/603011/603011/detail</t>
  </si>
  <si>
    <t>联创光电</t>
  </si>
  <si>
    <t>www.lixinger.com/analytics/company/sh/600363/600363/detail</t>
  </si>
  <si>
    <t>南网科技</t>
  </si>
  <si>
    <t>www.lixinger.com/analytics/company/sh/688248/688248/detail</t>
  </si>
  <si>
    <t>凯伦股份</t>
  </si>
  <si>
    <t>防水材料</t>
  </si>
  <si>
    <t>www.lixinger.com/analytics/company/sz/300715/300715/detail</t>
  </si>
  <si>
    <t>龙腾光电</t>
  </si>
  <si>
    <t>www.lixinger.com/analytics/company/sh/688055/688055/detail</t>
  </si>
  <si>
    <t>华测导航</t>
  </si>
  <si>
    <t>www.lixinger.com/analytics/company/sz/300627/300627/detail</t>
  </si>
  <si>
    <t>王府井</t>
  </si>
  <si>
    <t>www.lixinger.com/analytics/company/sh/600859/600859/detail</t>
  </si>
  <si>
    <t>金龙羽</t>
  </si>
  <si>
    <t>www.lixinger.com/analytics/company/sz/002882/2882/detail</t>
  </si>
  <si>
    <t>数源科技</t>
  </si>
  <si>
    <t>www.lixinger.com/analytics/company/sz/000909/909/detail</t>
  </si>
  <si>
    <t>赢时胜</t>
  </si>
  <si>
    <t>www.lixinger.com/analytics/company/sz/300377/300377/detail</t>
  </si>
  <si>
    <t>良信股份</t>
  </si>
  <si>
    <t>www.lixinger.com/analytics/company/sz/002706/2706/detail</t>
  </si>
  <si>
    <t>洲明科技</t>
  </si>
  <si>
    <t>www.lixinger.com/analytics/company/sz/300232/300232/detail</t>
  </si>
  <si>
    <t>川仪股份</t>
  </si>
  <si>
    <t>www.lixinger.com/analytics/company/sh/603100/603100/detail</t>
  </si>
  <si>
    <t>华熙生物</t>
  </si>
  <si>
    <t>www.lixinger.com/analytics/company/sh/688363/688363/detail</t>
  </si>
  <si>
    <t>国药一致</t>
  </si>
  <si>
    <t>www.lixinger.com/analytics/company/sz/000028/28/detail</t>
  </si>
  <si>
    <t>润和软件</t>
  </si>
  <si>
    <t>www.lixinger.com/analytics/company/sz/300339/300339/detail</t>
  </si>
  <si>
    <t>华峰超纤</t>
  </si>
  <si>
    <t>www.lixinger.com/analytics/company/sz/300180/300180/detail</t>
  </si>
  <si>
    <t>山东威达</t>
  </si>
  <si>
    <t>www.lixinger.com/analytics/company/sz/002026/2026/detail</t>
  </si>
  <si>
    <t>丰元股份</t>
  </si>
  <si>
    <t>www.lixinger.com/analytics/company/sz/002805/2805/detail</t>
  </si>
  <si>
    <t>中科星图</t>
  </si>
  <si>
    <t>www.lixinger.com/analytics/company/sh/688568/688568/detail</t>
  </si>
  <si>
    <t>致远互联</t>
  </si>
  <si>
    <t>www.lixinger.com/analytics/company/sh/688369/688369/detail</t>
  </si>
  <si>
    <t>旋极信息</t>
  </si>
  <si>
    <t>www.lixinger.com/analytics/company/sz/300324/300324/detail</t>
  </si>
  <si>
    <t>清新环境</t>
  </si>
  <si>
    <t>www.lixinger.com/analytics/company/sz/002573/2573/detail</t>
  </si>
  <si>
    <t>金洲管道</t>
  </si>
  <si>
    <t>www.lixinger.com/analytics/company/sz/002443/2443/detail</t>
  </si>
  <si>
    <t>香飘飘</t>
  </si>
  <si>
    <t>www.lixinger.com/analytics/company/sh/603711/603711/detail</t>
  </si>
  <si>
    <t>永鼎股份</t>
  </si>
  <si>
    <t>www.lixinger.com/analytics/company/sh/600105/600105/detail</t>
  </si>
  <si>
    <t>国新能源</t>
  </si>
  <si>
    <t>www.lixinger.com/analytics/company/sh/600617/600617/detail</t>
  </si>
  <si>
    <t>长江传媒</t>
  </si>
  <si>
    <t>www.lixinger.com/analytics/company/sh/600757/600757/detail</t>
  </si>
  <si>
    <t>润丰股份</t>
  </si>
  <si>
    <t>www.lixinger.com/analytics/company/sz/301035/301035/detail</t>
  </si>
  <si>
    <t>浙文互联</t>
  </si>
  <si>
    <t>www.lixinger.com/analytics/company/sh/600986/600986/detail</t>
  </si>
  <si>
    <t>亚信安全</t>
  </si>
  <si>
    <t>www.lixinger.com/analytics/company/sh/688225/688225/detail</t>
  </si>
  <si>
    <t>泰坦科技</t>
  </si>
  <si>
    <t>www.lixinger.com/analytics/company/sh/688133/688133/detail</t>
  </si>
  <si>
    <t>白云电器</t>
  </si>
  <si>
    <t>www.lixinger.com/analytics/company/sh/603861/603861/detail</t>
  </si>
  <si>
    <t>中嘉博创</t>
  </si>
  <si>
    <t>www.lixinger.com/analytics/company/sz/000889/889/detail</t>
  </si>
  <si>
    <t>汇顶科技</t>
  </si>
  <si>
    <t>www.lixinger.com/analytics/company/sh/603160/603160/detail</t>
  </si>
  <si>
    <t>唯捷创芯</t>
  </si>
  <si>
    <t>www.lixinger.com/analytics/company/sh/688153/688153/detail</t>
  </si>
  <si>
    <t>惠而浦</t>
  </si>
  <si>
    <t>www.lixinger.com/analytics/company/sh/600983/600983/detail</t>
  </si>
  <si>
    <t>双汇发展</t>
  </si>
  <si>
    <t>www.lixinger.com/analytics/company/sz/000895/895/detail</t>
  </si>
  <si>
    <t>太平鸟</t>
  </si>
  <si>
    <t>www.lixinger.com/analytics/company/sh/603877/603877/detail</t>
  </si>
  <si>
    <t>中核科技</t>
  </si>
  <si>
    <t>www.lixinger.com/analytics/company/sz/000777/777/detail</t>
  </si>
  <si>
    <t>国睿科技</t>
  </si>
  <si>
    <t>www.lixinger.com/analytics/company/sh/600562/600562/detail</t>
  </si>
  <si>
    <t>宝钛股份</t>
  </si>
  <si>
    <t>www.lixinger.com/analytics/company/sh/600456/600456/detail</t>
  </si>
  <si>
    <t>洛阳玻璃</t>
  </si>
  <si>
    <t>www.lixinger.com/analytics/company/sh/600876/600876/detail</t>
  </si>
  <si>
    <t>国网英大</t>
  </si>
  <si>
    <t>www.lixinger.com/analytics/company/sh/600517/600517/detail</t>
  </si>
  <si>
    <t>联美控股</t>
  </si>
  <si>
    <t>www.lixinger.com/analytics/company/sh/600167/600167/detail</t>
  </si>
  <si>
    <t>东方中科</t>
  </si>
  <si>
    <t>www.lixinger.com/analytics/company/sz/002819/2819/detail</t>
  </si>
  <si>
    <t>大地熊</t>
  </si>
  <si>
    <t>www.lixinger.com/analytics/company/sh/688077/688077/detail</t>
  </si>
  <si>
    <t>中孚信息</t>
  </si>
  <si>
    <t>www.lixinger.com/analytics/company/sz/300659/300659/detail</t>
  </si>
  <si>
    <t>华中数控</t>
  </si>
  <si>
    <t>www.lixinger.com/analytics/company/sz/300161/300161/detail</t>
  </si>
  <si>
    <t>恒实科技</t>
  </si>
  <si>
    <t>www.lixinger.com/analytics/company/sz/300513/300513/detail</t>
  </si>
  <si>
    <t>至纯科技</t>
  </si>
  <si>
    <t>www.lixinger.com/analytics/company/sh/603690/603690/detail</t>
  </si>
  <si>
    <t>濮耐股份</t>
  </si>
  <si>
    <t>www.lixinger.com/analytics/company/sz/002225/2225/detail</t>
  </si>
  <si>
    <t>渤海化学</t>
  </si>
  <si>
    <t>www.lixinger.com/analytics/company/sh/600800/600800/detail</t>
  </si>
  <si>
    <t>中信重工</t>
  </si>
  <si>
    <t>www.lixinger.com/analytics/company/sh/601608/601608/detail</t>
  </si>
  <si>
    <t>青龙管业</t>
  </si>
  <si>
    <t>www.lixinger.com/analytics/company/sz/002457/2457/detail</t>
  </si>
  <si>
    <t>安泰科技</t>
  </si>
  <si>
    <t>www.lixinger.com/analytics/company/sz/000969/969/detail</t>
  </si>
  <si>
    <t>京粮B</t>
  </si>
  <si>
    <t>www.lixinger.com/analytics/company/sz/200505/200505/detail</t>
  </si>
  <si>
    <t>苏州科达</t>
  </si>
  <si>
    <t>www.lixinger.com/analytics/company/sh/603660/603660/detail</t>
  </si>
  <si>
    <t>山推股份</t>
  </si>
  <si>
    <t>www.lixinger.com/analytics/company/sz/000680/680/detail</t>
  </si>
  <si>
    <t>渝开发</t>
  </si>
  <si>
    <t>www.lixinger.com/analytics/company/sz/000514/514/detail</t>
  </si>
  <si>
    <t>深城交</t>
  </si>
  <si>
    <t>www.lixinger.com/analytics/company/sz/301091/301091/detail</t>
  </si>
  <si>
    <t>昂立教育</t>
  </si>
  <si>
    <t>www.lixinger.com/analytics/company/sh/600661/600661/detail</t>
  </si>
  <si>
    <t>东南网架</t>
  </si>
  <si>
    <t>www.lixinger.com/analytics/company/sz/002135/2135/detail</t>
  </si>
  <si>
    <t>永创智能</t>
  </si>
  <si>
    <t>www.lixinger.com/analytics/company/sh/603901/603901/detail</t>
  </si>
  <si>
    <t>益客食品</t>
  </si>
  <si>
    <t>www.lixinger.com/analytics/company/sz/301116/301116/detail</t>
  </si>
  <si>
    <t>钢研高纳</t>
  </si>
  <si>
    <t>www.lixinger.com/analytics/company/sz/300034/300034/detail</t>
  </si>
  <si>
    <t>勘设股份</t>
  </si>
  <si>
    <t>www.lixinger.com/analytics/company/sh/603458/603458/detail</t>
  </si>
  <si>
    <t>华通热力</t>
  </si>
  <si>
    <t>www.lixinger.com/analytics/company/sz/002893/2893/detail</t>
  </si>
  <si>
    <t>富临精工</t>
  </si>
  <si>
    <t>www.lixinger.com/analytics/company/sz/300432/300432/detail</t>
  </si>
  <si>
    <t>新致软件</t>
  </si>
  <si>
    <t>www.lixinger.com/analytics/company/sh/688590/688590/detail</t>
  </si>
  <si>
    <t>烽火电子</t>
  </si>
  <si>
    <t>www.lixinger.com/analytics/company/sz/000561/561/detail</t>
  </si>
  <si>
    <t>西部超导</t>
  </si>
  <si>
    <t>www.lixinger.com/analytics/company/sh/688122/688122/detail</t>
  </si>
  <si>
    <t>新北洋</t>
  </si>
  <si>
    <t>www.lixinger.com/analytics/company/sz/002376/2376/detail</t>
  </si>
  <si>
    <t>鑫铂股份</t>
  </si>
  <si>
    <t>www.lixinger.com/analytics/company/sz/003038/3038/detail</t>
  </si>
  <si>
    <t>兴源环境</t>
  </si>
  <si>
    <t>www.lixinger.com/analytics/company/sz/300266/300266/detail</t>
  </si>
  <si>
    <t>卓郎智能</t>
  </si>
  <si>
    <t>www.lixinger.com/analytics/company/sh/600545/600545/detail</t>
  </si>
  <si>
    <t>中国海诚</t>
  </si>
  <si>
    <t>www.lixinger.com/analytics/company/sz/002116/2116/detail</t>
  </si>
  <si>
    <t>光电股份</t>
  </si>
  <si>
    <t>www.lixinger.com/analytics/company/sh/600184/600184/detail</t>
  </si>
  <si>
    <t>品渥食品</t>
  </si>
  <si>
    <t>www.lixinger.com/analytics/company/sz/300892/300892/detail</t>
  </si>
  <si>
    <t>全信股份</t>
  </si>
  <si>
    <t>www.lixinger.com/analytics/company/sz/300447/300447/detail</t>
  </si>
  <si>
    <t>菲达环保</t>
  </si>
  <si>
    <t>www.lixinger.com/analytics/company/sh/600526/600526/detail</t>
  </si>
  <si>
    <t>金盘科技</t>
  </si>
  <si>
    <t>www.lixinger.com/analytics/company/sh/688676/688676/detail</t>
  </si>
  <si>
    <t>深大通</t>
  </si>
  <si>
    <t>www.lixinger.com/analytics/company/sz/000038/38/detail</t>
  </si>
  <si>
    <t>金证股份</t>
  </si>
  <si>
    <t>www.lixinger.com/analytics/company/sh/600446/600446/detail</t>
  </si>
  <si>
    <t>天虹股份</t>
  </si>
  <si>
    <t>www.lixinger.com/analytics/company/sz/002419/2419/detail</t>
  </si>
  <si>
    <t>双塔食品</t>
  </si>
  <si>
    <t>www.lixinger.com/analytics/company/sz/002481/2481/detail</t>
  </si>
  <si>
    <t>华东医药</t>
  </si>
  <si>
    <t>www.lixinger.com/analytics/company/sz/000963/963/detail</t>
  </si>
  <si>
    <t>迈威生物</t>
  </si>
  <si>
    <t>www.lixinger.com/analytics/company/sh/688062/688062/detail</t>
  </si>
  <si>
    <t>中牧股份</t>
  </si>
  <si>
    <t>www.lixinger.com/analytics/company/sh/600195/600195/detail</t>
  </si>
  <si>
    <t>立达信</t>
  </si>
  <si>
    <t>www.lixinger.com/analytics/company/sh/605365/605365/detail</t>
  </si>
  <si>
    <t>京山轻机</t>
  </si>
  <si>
    <t>www.lixinger.com/analytics/company/sz/000821/821/detail</t>
  </si>
  <si>
    <t>外服控股</t>
  </si>
  <si>
    <t>www.lixinger.com/analytics/company/sh/600662/600662/detail</t>
  </si>
  <si>
    <t>长亮科技</t>
  </si>
  <si>
    <t>www.lixinger.com/analytics/company/sz/300348/300348/detail</t>
  </si>
  <si>
    <t>先进数通</t>
  </si>
  <si>
    <t>www.lixinger.com/analytics/company/sz/300541/300541/detail</t>
  </si>
  <si>
    <t>武汉控股</t>
  </si>
  <si>
    <t>www.lixinger.com/analytics/company/sh/600168/600168/detail</t>
  </si>
  <si>
    <t>木林森</t>
  </si>
  <si>
    <t>www.lixinger.com/analytics/company/sz/002745/2745/detail</t>
  </si>
  <si>
    <t>远光软件</t>
  </si>
  <si>
    <t>www.lixinger.com/analytics/company/sz/002063/2063/detail</t>
  </si>
  <si>
    <t>快意电梯</t>
  </si>
  <si>
    <t>www.lixinger.com/analytics/company/sz/002774/2774/detail</t>
  </si>
  <si>
    <t>中国科传</t>
  </si>
  <si>
    <t>www.lixinger.com/analytics/company/sh/601858/601858/detail</t>
  </si>
  <si>
    <t>洪涛股份</t>
  </si>
  <si>
    <t>www.lixinger.com/analytics/company/sz/002325/2325/detail</t>
  </si>
  <si>
    <t>一致Ｂ</t>
  </si>
  <si>
    <t>www.lixinger.com/analytics/company/sz/200028/200028/detail</t>
  </si>
  <si>
    <t>诺德股份</t>
  </si>
  <si>
    <t>www.lixinger.com/analytics/company/sh/600110/600110/detail</t>
  </si>
  <si>
    <t>诺力股份</t>
  </si>
  <si>
    <t>www.lixinger.com/analytics/company/sh/603611/603611/detail</t>
  </si>
  <si>
    <t>www.lixinger.com/analytics/company/sz/300024/300024/detail</t>
  </si>
  <si>
    <t>澳柯玛</t>
  </si>
  <si>
    <t>www.lixinger.com/analytics/company/sh/600336/600336/detail</t>
  </si>
  <si>
    <t>天融信</t>
  </si>
  <si>
    <t>www.lixinger.com/analytics/company/sz/002212/2212/detail</t>
  </si>
  <si>
    <t>博思软件</t>
  </si>
  <si>
    <t>www.lixinger.com/analytics/company/sz/300525/300525/detail</t>
  </si>
  <si>
    <t>达嘉维康</t>
  </si>
  <si>
    <t>www.lixinger.com/analytics/company/sz/301126/301126/detail</t>
  </si>
  <si>
    <t>航发控制</t>
  </si>
  <si>
    <t>www.lixinger.com/analytics/company/sz/000738/738/detail</t>
  </si>
  <si>
    <t>中微公司</t>
  </si>
  <si>
    <t>www.lixinger.com/analytics/company/sh/688012/688012/detail</t>
  </si>
  <si>
    <t>汇通集团</t>
  </si>
  <si>
    <t>www.lixinger.com/analytics/company/sh/603176/603176/detail</t>
  </si>
  <si>
    <t>中化岩土</t>
  </si>
  <si>
    <t>www.lixinger.com/analytics/company/sz/002542/2542/detail</t>
  </si>
  <si>
    <t>长飞光纤</t>
  </si>
  <si>
    <t>www.lixinger.com/analytics/company/sh/601869/601869/detail</t>
  </si>
  <si>
    <t>三木集团</t>
  </si>
  <si>
    <t>www.lixinger.com/analytics/company/sz/000632/632/detail</t>
  </si>
  <si>
    <t>楚天龙</t>
  </si>
  <si>
    <t>www.lixinger.com/analytics/company/sz/003040/3040/detail</t>
  </si>
  <si>
    <t>石基信息</t>
  </si>
  <si>
    <t>www.lixinger.com/analytics/company/sz/002153/2153/detail</t>
  </si>
  <si>
    <t>康力电梯</t>
  </si>
  <si>
    <t>www.lixinger.com/analytics/company/sz/002367/2367/detail</t>
  </si>
  <si>
    <t>宁夏建材</t>
  </si>
  <si>
    <t>www.lixinger.com/analytics/company/sh/600449/600449/detail</t>
  </si>
  <si>
    <t>索菲亚</t>
  </si>
  <si>
    <t>www.lixinger.com/analytics/company/sz/002572/2572/detail</t>
  </si>
  <si>
    <t>精工钢构</t>
  </si>
  <si>
    <t>www.lixinger.com/analytics/company/sh/600496/600496/detail</t>
  </si>
  <si>
    <t>法本信息</t>
  </si>
  <si>
    <t>www.lixinger.com/analytics/company/sz/300925/300925/detail</t>
  </si>
  <si>
    <t>中通客车</t>
  </si>
  <si>
    <t>www.lixinger.com/analytics/company/sz/000957/957/detail</t>
  </si>
  <si>
    <t>纳思达</t>
  </si>
  <si>
    <t>www.lixinger.com/analytics/company/sz/002180/2180/detail</t>
  </si>
  <si>
    <t>中辰股份</t>
  </si>
  <si>
    <t>www.lixinger.com/analytics/company/sz/300933/300933/detail</t>
  </si>
  <si>
    <t>视源股份</t>
  </si>
  <si>
    <t>www.lixinger.com/analytics/company/sz/002841/2841/detail</t>
  </si>
  <si>
    <t>北京君正</t>
  </si>
  <si>
    <t>www.lixinger.com/analytics/company/sz/300223/300223/detail</t>
  </si>
  <si>
    <t>粤水电</t>
  </si>
  <si>
    <t>www.lixinger.com/analytics/company/sz/002060/2060/detail</t>
  </si>
  <si>
    <t>风语筑</t>
  </si>
  <si>
    <t>其他数字媒体</t>
  </si>
  <si>
    <t>www.lixinger.com/analytics/company/sh/603466/603466/detail</t>
  </si>
  <si>
    <t>新宝股份</t>
  </si>
  <si>
    <t>www.lixinger.com/analytics/company/sz/002705/2705/detail</t>
  </si>
  <si>
    <t>时代出版</t>
  </si>
  <si>
    <t>www.lixinger.com/analytics/company/sh/600551/600551/detail</t>
  </si>
  <si>
    <t>金龙汽车</t>
  </si>
  <si>
    <t>www.lixinger.com/analytics/company/sh/600686/600686/detail</t>
  </si>
  <si>
    <t>中船应急</t>
  </si>
  <si>
    <t>www.lixinger.com/analytics/company/sz/300527/300527/detail</t>
  </si>
  <si>
    <t>天阳科技</t>
  </si>
  <si>
    <t>www.lixinger.com/analytics/company/sz/300872/300872/detail</t>
  </si>
  <si>
    <t>士兰微</t>
  </si>
  <si>
    <t>www.lixinger.com/analytics/company/sh/600460/600460/detail</t>
  </si>
  <si>
    <t>保变电气</t>
  </si>
  <si>
    <t>www.lixinger.com/analytics/company/sh/600550/600550/detail</t>
  </si>
  <si>
    <t>美克家居</t>
  </si>
  <si>
    <t>www.lixinger.com/analytics/company/sh/600337/600337/detail</t>
  </si>
  <si>
    <t>天风证券</t>
  </si>
  <si>
    <t>www.lixinger.com/analytics/company/sh/601162/601162/detail</t>
  </si>
  <si>
    <t>志邦家居</t>
  </si>
  <si>
    <t>www.lixinger.com/analytics/company/sh/603801/603801/detail</t>
  </si>
  <si>
    <t>晶丰明源</t>
  </si>
  <si>
    <t>www.lixinger.com/analytics/company/sh/688368/688368/detail</t>
  </si>
  <si>
    <t>汉得信息</t>
  </si>
  <si>
    <t>www.lixinger.com/analytics/company/sz/300170/300170/detail</t>
  </si>
  <si>
    <t>华设集团</t>
  </si>
  <si>
    <t>www.lixinger.com/analytics/company/sh/603018/603018/detail</t>
  </si>
  <si>
    <t>富奥股份</t>
  </si>
  <si>
    <t>www.lixinger.com/analytics/company/sz/000030/30/detail</t>
  </si>
  <si>
    <t>三棵树</t>
  </si>
  <si>
    <t>涂料</t>
  </si>
  <si>
    <t>www.lixinger.com/analytics/company/sh/603737/603737/detail</t>
  </si>
  <si>
    <t>海螺新材</t>
  </si>
  <si>
    <t>www.lixinger.com/analytics/company/sz/000619/619/detail</t>
  </si>
  <si>
    <t>海马汽车</t>
  </si>
  <si>
    <t>www.lixinger.com/analytics/company/sz/000572/572/detail</t>
  </si>
  <si>
    <t>特发信息</t>
  </si>
  <si>
    <t>www.lixinger.com/analytics/company/sz/000070/70/detail</t>
  </si>
  <si>
    <t>冰轮环境</t>
  </si>
  <si>
    <t>www.lixinger.com/analytics/company/sz/000811/811/detail</t>
  </si>
  <si>
    <t>航天长峰</t>
  </si>
  <si>
    <t>www.lixinger.com/analytics/company/sh/600855/600855/detail</t>
  </si>
  <si>
    <t>苏文电能</t>
  </si>
  <si>
    <t>www.lixinger.com/analytics/company/sz/300982/300982/detail</t>
  </si>
  <si>
    <t>*ST美尚</t>
  </si>
  <si>
    <t>www.lixinger.com/analytics/company/sz/300495/300495/detail</t>
  </si>
  <si>
    <t>方大集团</t>
  </si>
  <si>
    <t>www.lixinger.com/analytics/company/sz/000055/55/detail</t>
  </si>
  <si>
    <t>*ST松江</t>
  </si>
  <si>
    <t>www.lixinger.com/analytics/company/sh/600225/600225/detail</t>
  </si>
  <si>
    <t>长园集团</t>
  </si>
  <si>
    <t>www.lixinger.com/analytics/company/sh/600525/600525/detail</t>
  </si>
  <si>
    <t>隆基股份</t>
  </si>
  <si>
    <t>www.lixinger.com/analytics/company/sh/601012/601012/detail</t>
  </si>
  <si>
    <t>天邑股份</t>
  </si>
  <si>
    <t>www.lixinger.com/analytics/company/sz/300504/300504/detail</t>
  </si>
  <si>
    <t>三六零</t>
  </si>
  <si>
    <t>www.lixinger.com/analytics/company/sh/601360/601360/detail</t>
  </si>
  <si>
    <t>泰胜风能</t>
  </si>
  <si>
    <t>www.lixinger.com/analytics/company/sz/300129/300129/detail</t>
  </si>
  <si>
    <t>陕国投Ａ</t>
  </si>
  <si>
    <t>www.lixinger.com/analytics/company/sz/000563/563/detail</t>
  </si>
  <si>
    <t>安琪酵母</t>
  </si>
  <si>
    <t>www.lixinger.com/analytics/company/sh/600298/600298/detail</t>
  </si>
  <si>
    <t>康尼机电</t>
  </si>
  <si>
    <t>www.lixinger.com/analytics/company/sh/603111/603111/detail</t>
  </si>
  <si>
    <t>双良节能</t>
  </si>
  <si>
    <t>www.lixinger.com/analytics/company/sh/600481/600481/detail</t>
  </si>
  <si>
    <t>长盈精密</t>
  </si>
  <si>
    <t>www.lixinger.com/analytics/company/sz/300115/300115/detail</t>
  </si>
  <si>
    <t>可孚医疗</t>
  </si>
  <si>
    <t>www.lixinger.com/analytics/company/sz/301087/301087/detail</t>
  </si>
  <si>
    <t>通用电梯</t>
  </si>
  <si>
    <t>www.lixinger.com/analytics/company/sz/300931/300931/detail</t>
  </si>
  <si>
    <t>华新水泥</t>
  </si>
  <si>
    <t>www.lixinger.com/analytics/company/sh/600801/600801/detail</t>
  </si>
  <si>
    <t>三星医疗</t>
  </si>
  <si>
    <t>www.lixinger.com/analytics/company/sh/601567/601567/detail</t>
  </si>
  <si>
    <t>金钼股份</t>
  </si>
  <si>
    <t>www.lixinger.com/analytics/company/sh/601958/601958/detail</t>
  </si>
  <si>
    <t>澳洋健康</t>
  </si>
  <si>
    <t>www.lixinger.com/analytics/company/sz/002172/2172/detail</t>
  </si>
  <si>
    <t>银信科技</t>
  </si>
  <si>
    <t>www.lixinger.com/analytics/company/sz/300231/300231/detail</t>
  </si>
  <si>
    <t>欧派家居</t>
  </si>
  <si>
    <t>www.lixinger.com/analytics/company/sh/603833/603833/detail</t>
  </si>
  <si>
    <t>大丰实业</t>
  </si>
  <si>
    <t>www.lixinger.com/analytics/company/sh/603081/603081/detail</t>
  </si>
  <si>
    <t>亚光科技</t>
  </si>
  <si>
    <t>www.lixinger.com/analytics/company/sz/300123/300123/detail</t>
  </si>
  <si>
    <t>卧龙地产</t>
  </si>
  <si>
    <t>www.lixinger.com/analytics/company/sh/600173/600173/detail</t>
  </si>
  <si>
    <t>中国海防</t>
  </si>
  <si>
    <t>www.lixinger.com/analytics/company/sh/600764/600764/detail</t>
  </si>
  <si>
    <t>丽人丽妆</t>
  </si>
  <si>
    <t>www.lixinger.com/analytics/company/sh/605136/605136/detail</t>
  </si>
  <si>
    <t>中远海能</t>
  </si>
  <si>
    <t>www.lixinger.com/analytics/company/sh/600026/600026/detail</t>
  </si>
  <si>
    <t>众业达</t>
  </si>
  <si>
    <t>www.lixinger.com/analytics/company/sz/002441/2441/detail</t>
  </si>
  <si>
    <t>天能重工</t>
  </si>
  <si>
    <t>www.lixinger.com/analytics/company/sz/300569/300569/detail</t>
  </si>
  <si>
    <t>*ST跨境</t>
  </si>
  <si>
    <t>www.lixinger.com/analytics/company/sz/002640/2640/detail</t>
  </si>
  <si>
    <t>润达医疗</t>
  </si>
  <si>
    <t>www.lixinger.com/analytics/company/sh/603108/603108/detail</t>
  </si>
  <si>
    <t>东方电子</t>
  </si>
  <si>
    <t>www.lixinger.com/analytics/company/sz/000682/682/detail</t>
  </si>
  <si>
    <t>华自科技</t>
  </si>
  <si>
    <t>www.lixinger.com/analytics/company/sz/300490/300490/detail</t>
  </si>
  <si>
    <t>大悦城</t>
  </si>
  <si>
    <t>www.lixinger.com/analytics/company/sz/000031/31/detail</t>
  </si>
  <si>
    <t>东方国信</t>
  </si>
  <si>
    <t>www.lixinger.com/analytics/company/sz/300166/300166/detail</t>
  </si>
  <si>
    <t>中装建设</t>
  </si>
  <si>
    <t>www.lixinger.com/analytics/company/sz/002822/2822/detail</t>
  </si>
  <si>
    <t>税友股份</t>
  </si>
  <si>
    <t>www.lixinger.com/analytics/company/sh/603171/603171/detail</t>
  </si>
  <si>
    <t>宜通世纪</t>
  </si>
  <si>
    <t>www.lixinger.com/analytics/company/sz/300310/300310/detail</t>
  </si>
  <si>
    <t>杰克股份</t>
  </si>
  <si>
    <t>www.lixinger.com/analytics/company/sh/603337/603337/detail</t>
  </si>
  <si>
    <t>精测电子</t>
  </si>
  <si>
    <t>www.lixinger.com/analytics/company/sz/300567/300567/detail</t>
  </si>
  <si>
    <t>龙净环保</t>
  </si>
  <si>
    <t>www.lixinger.com/analytics/company/sh/600388/600388/detail</t>
  </si>
  <si>
    <t>昆药集团</t>
  </si>
  <si>
    <t>www.lixinger.com/analytics/company/sh/600422/600422/detail</t>
  </si>
  <si>
    <t>甘咨询</t>
  </si>
  <si>
    <t>www.lixinger.com/analytics/company/sz/000779/779/detail</t>
  </si>
  <si>
    <t>中科三环</t>
  </si>
  <si>
    <t>www.lixinger.com/analytics/company/sz/000970/970/detail</t>
  </si>
  <si>
    <t>地铁设计</t>
  </si>
  <si>
    <t>www.lixinger.com/analytics/company/sz/003013/3013/detail</t>
  </si>
  <si>
    <t>长虹华意</t>
  </si>
  <si>
    <t>www.lixinger.com/analytics/company/sz/000404/404/detail</t>
  </si>
  <si>
    <t>骆驼股份</t>
  </si>
  <si>
    <t>www.lixinger.com/analytics/company/sh/601311/601311/detail</t>
  </si>
  <si>
    <t>海南发展</t>
  </si>
  <si>
    <t>www.lixinger.com/analytics/company/sz/002163/2163/detail</t>
  </si>
  <si>
    <t>东鹏控股</t>
  </si>
  <si>
    <t>www.lixinger.com/analytics/company/sz/003012/3012/detail</t>
  </si>
  <si>
    <t>中青旅</t>
  </si>
  <si>
    <t>www.lixinger.com/analytics/company/sh/600138/600138/detail</t>
  </si>
  <si>
    <t>鲁商发展</t>
  </si>
  <si>
    <t>www.lixinger.com/analytics/company/sh/600223/600223/detail</t>
  </si>
  <si>
    <t>三人行</t>
  </si>
  <si>
    <t>www.lixinger.com/analytics/company/sh/605168/605168/detail</t>
  </si>
  <si>
    <t>荣昌生物</t>
  </si>
  <si>
    <t>www.lixinger.com/analytics/company/sh/688331/688331/detail</t>
  </si>
  <si>
    <t>东方财富</t>
  </si>
  <si>
    <t>www.lixinger.com/analytics/company/sz/300059/300059/detail</t>
  </si>
  <si>
    <t>广田集团</t>
  </si>
  <si>
    <t>www.lixinger.com/analytics/company/sz/002482/2482/detail</t>
  </si>
  <si>
    <t>亿晶光电</t>
  </si>
  <si>
    <t>www.lixinger.com/analytics/company/sh/600537/600537/detail</t>
  </si>
  <si>
    <t>青岛中程</t>
  </si>
  <si>
    <t>www.lixinger.com/analytics/company/sz/300208/300208/detail</t>
  </si>
  <si>
    <t>新华医疗</t>
  </si>
  <si>
    <t>www.lixinger.com/analytics/company/sh/600587/600587/detail</t>
  </si>
  <si>
    <t>青鸟消防</t>
  </si>
  <si>
    <t>www.lixinger.com/analytics/company/sz/002960/2960/detail</t>
  </si>
  <si>
    <t>香溢融通</t>
  </si>
  <si>
    <t>www.lixinger.com/analytics/company/sh/600830/600830/detail</t>
  </si>
  <si>
    <t>洪都航空</t>
  </si>
  <si>
    <t>www.lixinger.com/analytics/company/sh/600316/600316/detail</t>
  </si>
  <si>
    <t>广宇集团</t>
  </si>
  <si>
    <t>www.lixinger.com/analytics/company/sz/002133/2133/detail</t>
  </si>
  <si>
    <t>万孚生物</t>
  </si>
  <si>
    <t>www.lixinger.com/analytics/company/sz/300482/300482/detail</t>
  </si>
  <si>
    <t>道道全</t>
  </si>
  <si>
    <t>www.lixinger.com/analytics/company/sz/002852/2852/detail</t>
  </si>
  <si>
    <t>香江控股</t>
  </si>
  <si>
    <t>www.lixinger.com/analytics/company/sh/600162/600162/detail</t>
  </si>
  <si>
    <t>禾丰股份</t>
  </si>
  <si>
    <t>www.lixinger.com/analytics/company/sh/603609/603609/detail</t>
  </si>
  <si>
    <t>中农立华</t>
  </si>
  <si>
    <t>www.lixinger.com/analytics/company/sh/603970/603970/detail</t>
  </si>
  <si>
    <t>江苏国泰</t>
  </si>
  <si>
    <t>www.lixinger.com/analytics/company/sz/002091/2091/detail</t>
  </si>
  <si>
    <t>南极电商</t>
  </si>
  <si>
    <t>www.lixinger.com/analytics/company/sz/002127/2127/detail</t>
  </si>
  <si>
    <t>聚光科技</t>
  </si>
  <si>
    <t>www.lixinger.com/analytics/company/sz/300203/300203/detail</t>
  </si>
  <si>
    <t>隆平高科</t>
  </si>
  <si>
    <t>www.lixinger.com/analytics/company/sz/000998/998/detail</t>
  </si>
  <si>
    <t>新时达</t>
  </si>
  <si>
    <t>www.lixinger.com/analytics/company/sz/002527/2527/detail</t>
  </si>
  <si>
    <t>中贝通信</t>
  </si>
  <si>
    <t>www.lixinger.com/analytics/company/sh/603220/603220/detail</t>
  </si>
  <si>
    <t>许继电气</t>
  </si>
  <si>
    <t>www.lixinger.com/analytics/company/sz/000400/400/detail</t>
  </si>
  <si>
    <t>春秋航空</t>
  </si>
  <si>
    <t>www.lixinger.com/analytics/company/sh/601021/601021/detail</t>
  </si>
  <si>
    <t>广联达</t>
  </si>
  <si>
    <t>www.lixinger.com/analytics/company/sz/002410/2410/detail</t>
  </si>
  <si>
    <t>航天宏图</t>
  </si>
  <si>
    <t>www.lixinger.com/analytics/company/sh/688066/688066/detail</t>
  </si>
  <si>
    <t>中船科技</t>
  </si>
  <si>
    <t>www.lixinger.com/analytics/company/sh/600072/600072/detail</t>
  </si>
  <si>
    <t>腾远钴业</t>
  </si>
  <si>
    <t>www.lixinger.com/analytics/company/sz/301219/301219/detail</t>
  </si>
  <si>
    <t>*ST华源</t>
  </si>
  <si>
    <t>www.lixinger.com/analytics/company/sh/600726/600726/detail</t>
  </si>
  <si>
    <t>兔宝宝</t>
  </si>
  <si>
    <t>www.lixinger.com/analytics/company/sz/002043/2043/detail</t>
  </si>
  <si>
    <t>百川能源</t>
  </si>
  <si>
    <t>www.lixinger.com/analytics/company/sh/600681/600681/detail</t>
  </si>
  <si>
    <t>杭萧钢构</t>
  </si>
  <si>
    <t>www.lixinger.com/analytics/company/sh/600477/600477/detail</t>
  </si>
  <si>
    <t>寒武纪</t>
  </si>
  <si>
    <t>www.lixinger.com/analytics/company/sh/688256/688256/detail</t>
  </si>
  <si>
    <t>新点软件</t>
  </si>
  <si>
    <t>www.lixinger.com/analytics/company/sh/688232/688232/detail</t>
  </si>
  <si>
    <t>亨通光电</t>
  </si>
  <si>
    <t>www.lixinger.com/analytics/company/sh/600487/600487/detail</t>
  </si>
  <si>
    <t>中来股份</t>
  </si>
  <si>
    <t>www.lixinger.com/analytics/company/sz/300393/300393/detail</t>
  </si>
  <si>
    <t>华菱线缆</t>
  </si>
  <si>
    <t>www.lixinger.com/analytics/company/sz/001208/1208/detail</t>
  </si>
  <si>
    <t>上能电气</t>
  </si>
  <si>
    <t>www.lixinger.com/analytics/company/sz/300827/300827/detail</t>
  </si>
  <si>
    <t>中国出版</t>
  </si>
  <si>
    <t>www.lixinger.com/analytics/company/sh/601949/601949/detail</t>
  </si>
  <si>
    <t>鸿合科技</t>
  </si>
  <si>
    <t>www.lixinger.com/analytics/company/sz/002955/2955/detail</t>
  </si>
  <si>
    <t>平治信息</t>
  </si>
  <si>
    <t>www.lixinger.com/analytics/company/sz/300571/300571/detail</t>
  </si>
  <si>
    <t>达实智能</t>
  </si>
  <si>
    <t>www.lixinger.com/analytics/company/sz/002421/2421/detail</t>
  </si>
  <si>
    <t>温氏股份</t>
  </si>
  <si>
    <t>www.lixinger.com/analytics/company/sz/300498/300498/detail</t>
  </si>
  <si>
    <t>苏交科</t>
  </si>
  <si>
    <t>www.lixinger.com/analytics/company/sz/300284/300284/detail</t>
  </si>
  <si>
    <t>海目星</t>
  </si>
  <si>
    <t>www.lixinger.com/analytics/company/sh/688559/688559/detail</t>
  </si>
  <si>
    <t>华宇软件</t>
  </si>
  <si>
    <t>www.lixinger.com/analytics/company/sz/300271/300271/detail</t>
  </si>
  <si>
    <t>海德股份</t>
  </si>
  <si>
    <t>www.lixinger.com/analytics/company/sz/000567/567/detail</t>
  </si>
  <si>
    <t>北新建材</t>
  </si>
  <si>
    <t>www.lixinger.com/analytics/company/sz/000786/786/detail</t>
  </si>
  <si>
    <t>美年健康</t>
  </si>
  <si>
    <t>www.lixinger.com/analytics/company/sz/002044/2044/detail</t>
  </si>
  <si>
    <t>亚士创能</t>
  </si>
  <si>
    <t>www.lixinger.com/analytics/company/sh/603378/603378/detail</t>
  </si>
  <si>
    <t>广州发展</t>
  </si>
  <si>
    <t>www.lixinger.com/analytics/company/sh/600098/600098/detail</t>
  </si>
  <si>
    <t>福日电子</t>
  </si>
  <si>
    <t>www.lixinger.com/analytics/company/sh/600203/600203/detail</t>
  </si>
  <si>
    <t>鹭燕医药</t>
  </si>
  <si>
    <t>www.lixinger.com/analytics/company/sz/002788/2788/detail</t>
  </si>
  <si>
    <t>塔牌集团</t>
  </si>
  <si>
    <t>www.lixinger.com/analytics/company/sz/002233/2233/detail</t>
  </si>
  <si>
    <t>中国天楹</t>
  </si>
  <si>
    <t>www.lixinger.com/analytics/company/sz/000035/35/detail</t>
  </si>
  <si>
    <t>安恒信息</t>
  </si>
  <si>
    <t>www.lixinger.com/analytics/company/sh/688023/688023/detail</t>
  </si>
  <si>
    <t>帝欧家居</t>
  </si>
  <si>
    <t>www.lixinger.com/analytics/company/sz/002798/2798/detail</t>
  </si>
  <si>
    <t>广东宏大</t>
  </si>
  <si>
    <t>www.lixinger.com/analytics/company/sz/002683/2683/detail</t>
  </si>
  <si>
    <t>金力永磁</t>
  </si>
  <si>
    <t>www.lixinger.com/analytics/company/sz/300748/300748/detail</t>
  </si>
  <si>
    <t>超图软件</t>
  </si>
  <si>
    <t>www.lixinger.com/analytics/company/sz/300036/300036/detail</t>
  </si>
  <si>
    <t>世荣兆业</t>
  </si>
  <si>
    <t>www.lixinger.com/analytics/company/sz/002016/2016/detail</t>
  </si>
  <si>
    <t>千方科技</t>
  </si>
  <si>
    <t>www.lixinger.com/analytics/company/sz/002373/2373/detail</t>
  </si>
  <si>
    <t>三和管桩</t>
  </si>
  <si>
    <t>www.lixinger.com/analytics/company/sz/003037/3037/detail</t>
  </si>
  <si>
    <t>众合科技</t>
  </si>
  <si>
    <t>www.lixinger.com/analytics/company/sz/000925/925/detail</t>
  </si>
  <si>
    <t>京北方</t>
  </si>
  <si>
    <t>www.lixinger.com/analytics/company/sz/002987/2987/detail</t>
  </si>
  <si>
    <t>电子城</t>
  </si>
  <si>
    <t>www.lixinger.com/analytics/company/sh/600658/600658/detail</t>
  </si>
  <si>
    <t>云赛智联</t>
  </si>
  <si>
    <t>www.lixinger.com/analytics/company/sh/600602/600602/detail</t>
  </si>
  <si>
    <t>全柴动力</t>
  </si>
  <si>
    <t>www.lixinger.com/analytics/company/sh/600218/600218/detail</t>
  </si>
  <si>
    <t>金发科技</t>
  </si>
  <si>
    <t>www.lixinger.com/analytics/company/sh/600143/600143/detail</t>
  </si>
  <si>
    <t>张江高科</t>
  </si>
  <si>
    <t>www.lixinger.com/analytics/company/sh/600895/600895/detail</t>
  </si>
  <si>
    <t>思源电气</t>
  </si>
  <si>
    <t>www.lixinger.com/analytics/company/sz/002028/2028/detail</t>
  </si>
  <si>
    <t>海格通信</t>
  </si>
  <si>
    <t>www.lixinger.com/analytics/company/sz/002465/2465/detail</t>
  </si>
  <si>
    <t>中国卫星</t>
  </si>
  <si>
    <t>www.lixinger.com/analytics/company/sh/600118/600118/detail</t>
  </si>
  <si>
    <t>朗新科技</t>
  </si>
  <si>
    <t>www.lixinger.com/analytics/company/sz/300682/300682/detail</t>
  </si>
  <si>
    <t>中控技术</t>
  </si>
  <si>
    <t>www.lixinger.com/analytics/company/sh/688777/688777/detail</t>
  </si>
  <si>
    <t>八一钢铁</t>
  </si>
  <si>
    <t>www.lixinger.com/analytics/company/sh/600581/600581/detail</t>
  </si>
  <si>
    <t>中科电气</t>
  </si>
  <si>
    <t>www.lixinger.com/analytics/company/sz/300035/300035/detail</t>
  </si>
  <si>
    <t>中信博</t>
  </si>
  <si>
    <t>www.lixinger.com/analytics/company/sh/688408/688408/detail</t>
  </si>
  <si>
    <t>交建股份</t>
  </si>
  <si>
    <t>www.lixinger.com/analytics/company/sh/603815/603815/detail</t>
  </si>
  <si>
    <t>深深房Ａ</t>
  </si>
  <si>
    <t>www.lixinger.com/analytics/company/sz/000029/29/detail</t>
  </si>
  <si>
    <t>光明地产</t>
  </si>
  <si>
    <t>www.lixinger.com/analytics/company/sh/600708/600708/detail</t>
  </si>
  <si>
    <t>东方明珠</t>
  </si>
  <si>
    <t>www.lixinger.com/analytics/company/sh/600637/600637/detail</t>
  </si>
  <si>
    <t>高新发展</t>
  </si>
  <si>
    <t>www.lixinger.com/analytics/company/sz/000628/628/detail</t>
  </si>
  <si>
    <t>新兴铸管</t>
  </si>
  <si>
    <t>www.lixinger.com/analytics/company/sz/000778/778/detail</t>
  </si>
  <si>
    <t>孚能科技</t>
  </si>
  <si>
    <t>www.lixinger.com/analytics/company/sh/688567/688567/detail</t>
  </si>
  <si>
    <t>桂东电力</t>
  </si>
  <si>
    <t>www.lixinger.com/analytics/company/sh/600310/600310/detail</t>
  </si>
  <si>
    <t>永安期货</t>
  </si>
  <si>
    <t>www.lixinger.com/analytics/company/sh/600927/600927/detail</t>
  </si>
  <si>
    <t>中集车辆</t>
  </si>
  <si>
    <t>www.lixinger.com/analytics/company/sz/301039/301039/detail</t>
  </si>
  <si>
    <t>冠捷科技</t>
  </si>
  <si>
    <t>www.lixinger.com/analytics/company/sz/000727/727/detail</t>
  </si>
  <si>
    <t>中国宝安</t>
  </si>
  <si>
    <t>www.lixinger.com/analytics/company/sz/000009/9/detail</t>
  </si>
  <si>
    <t>中国一重</t>
  </si>
  <si>
    <t>www.lixinger.com/analytics/company/sh/601106/601106/detail</t>
  </si>
  <si>
    <t>长远锂科</t>
  </si>
  <si>
    <t>www.lixinger.com/analytics/company/sh/688779/688779/detail</t>
  </si>
  <si>
    <t>国电南自</t>
  </si>
  <si>
    <t>www.lixinger.com/analytics/company/sh/600268/600268/detail</t>
  </si>
  <si>
    <t>国科微</t>
  </si>
  <si>
    <t>www.lixinger.com/analytics/company/sz/300672/300672/detail</t>
  </si>
  <si>
    <t>美亚柏科</t>
  </si>
  <si>
    <t>www.lixinger.com/analytics/company/sz/300188/300188/detail</t>
  </si>
  <si>
    <t>西子洁能</t>
  </si>
  <si>
    <t>www.lixinger.com/analytics/company/sz/002534/2534/detail</t>
  </si>
  <si>
    <t>赢合科技</t>
  </si>
  <si>
    <t>www.lixinger.com/analytics/company/sz/300457/300457/detail</t>
  </si>
  <si>
    <t>宇信科技</t>
  </si>
  <si>
    <t>www.lixinger.com/analytics/company/sz/300674/300674/detail</t>
  </si>
  <si>
    <t>财达证券</t>
  </si>
  <si>
    <t>www.lixinger.com/analytics/company/sh/600906/600906/detail</t>
  </si>
  <si>
    <t>保利联合</t>
  </si>
  <si>
    <t>www.lixinger.com/analytics/company/sz/002037/2037/detail</t>
  </si>
  <si>
    <t>金牌厨柜</t>
  </si>
  <si>
    <t>www.lixinger.com/analytics/company/sh/603180/603180/detail</t>
  </si>
  <si>
    <t>航天电器</t>
  </si>
  <si>
    <t>www.lixinger.com/analytics/company/sz/002025/2025/detail</t>
  </si>
  <si>
    <t>大金重工</t>
  </si>
  <si>
    <t>www.lixinger.com/analytics/company/sz/002487/2487/detail</t>
  </si>
  <si>
    <t>尚品宅配</t>
  </si>
  <si>
    <t>www.lixinger.com/analytics/company/sz/300616/300616/detail</t>
  </si>
  <si>
    <t>中国黄金</t>
  </si>
  <si>
    <t>www.lixinger.com/analytics/company/sh/600916/600916/detail</t>
  </si>
  <si>
    <t>厦门钨业</t>
  </si>
  <si>
    <t>www.lixinger.com/analytics/company/sh/600549/600549/detail</t>
  </si>
  <si>
    <t>华峰铝业</t>
  </si>
  <si>
    <t>www.lixinger.com/analytics/company/sh/601702/601702/detail</t>
  </si>
  <si>
    <t>时代新材</t>
  </si>
  <si>
    <t>www.lixinger.com/analytics/company/sh/600458/600458/detail</t>
  </si>
  <si>
    <t>宝钢包装</t>
  </si>
  <si>
    <t>www.lixinger.com/analytics/company/sh/601968/601968/detail</t>
  </si>
  <si>
    <t>航天发展</t>
  </si>
  <si>
    <t>www.lixinger.com/analytics/company/sz/000547/547/detail</t>
  </si>
  <si>
    <t>顾家家居</t>
  </si>
  <si>
    <t>www.lixinger.com/analytics/company/sh/603816/603816/detail</t>
  </si>
  <si>
    <t>盈峰环境</t>
  </si>
  <si>
    <t>www.lixinger.com/analytics/company/sz/000967/967/detail</t>
  </si>
  <si>
    <t>四创电子</t>
  </si>
  <si>
    <t>www.lixinger.com/analytics/company/sh/600990/600990/detail</t>
  </si>
  <si>
    <t>厦门港务</t>
  </si>
  <si>
    <t>www.lixinger.com/analytics/company/sz/000905/905/detail</t>
  </si>
  <si>
    <t>特锐德</t>
  </si>
  <si>
    <t>www.lixinger.com/analytics/company/sz/300001/300001/detail</t>
  </si>
  <si>
    <t>东湖高新</t>
  </si>
  <si>
    <t>www.lixinger.com/analytics/company/sh/600133/600133/detail</t>
  </si>
  <si>
    <t>中航光电</t>
  </si>
  <si>
    <t>www.lixinger.com/analytics/company/sz/002179/2179/detail</t>
  </si>
  <si>
    <t>喜临门</t>
  </si>
  <si>
    <t>www.lixinger.com/analytics/company/sh/603008/603008/detail</t>
  </si>
  <si>
    <t>庞大集团</t>
  </si>
  <si>
    <t>www.lixinger.com/analytics/company/sh/601258/601258/detail</t>
  </si>
  <si>
    <t>中兵红箭</t>
  </si>
  <si>
    <t>www.lixinger.com/analytics/company/sz/000519/519/detail</t>
  </si>
  <si>
    <t>高鸿股份</t>
  </si>
  <si>
    <t>www.lixinger.com/analytics/company/sz/000851/851/detail</t>
  </si>
  <si>
    <t>杭电股份</t>
  </si>
  <si>
    <t>www.lixinger.com/analytics/company/sh/603618/603618/detail</t>
  </si>
  <si>
    <t>深深房Ｂ</t>
  </si>
  <si>
    <t>www.lixinger.com/analytics/company/sz/200029/200029/detail</t>
  </si>
  <si>
    <t>佳都科技</t>
  </si>
  <si>
    <t>www.lixinger.com/analytics/company/sh/600728/600728/detail</t>
  </si>
  <si>
    <t>浙江东方</t>
  </si>
  <si>
    <t>www.lixinger.com/analytics/company/sh/600120/600120/detail</t>
  </si>
  <si>
    <t>南京公用</t>
  </si>
  <si>
    <t>www.lixinger.com/analytics/company/sz/000421/421/detail</t>
  </si>
  <si>
    <t>卫士通</t>
  </si>
  <si>
    <t>www.lixinger.com/analytics/company/sz/002268/2268/detail</t>
  </si>
  <si>
    <t>柳工</t>
  </si>
  <si>
    <t>www.lixinger.com/analytics/company/sz/000528/528/detail</t>
  </si>
  <si>
    <t>诺普信</t>
  </si>
  <si>
    <t>www.lixinger.com/analytics/company/sz/002215/2215/detail</t>
  </si>
  <si>
    <t>浙富控股</t>
  </si>
  <si>
    <t>www.lixinger.com/analytics/company/sz/002266/2266/detail</t>
  </si>
  <si>
    <t>康希诺</t>
  </si>
  <si>
    <t>www.lixinger.com/analytics/company/sh/688185/688185/detail</t>
  </si>
  <si>
    <t>东风汽车</t>
  </si>
  <si>
    <t>www.lixinger.com/analytics/company/sh/600006/600006/detail</t>
  </si>
  <si>
    <t>首创环保</t>
  </si>
  <si>
    <t>www.lixinger.com/analytics/company/sh/600008/600008/detail</t>
  </si>
  <si>
    <t>铁建重工</t>
  </si>
  <si>
    <t>www.lixinger.com/analytics/company/sh/688425/688425/detail</t>
  </si>
  <si>
    <t>豪美新材</t>
  </si>
  <si>
    <t>www.lixinger.com/analytics/company/sz/002988/2988/detail</t>
  </si>
  <si>
    <t>粤电力Ａ</t>
  </si>
  <si>
    <t>www.lixinger.com/analytics/company/sz/000539/539/detail</t>
  </si>
  <si>
    <t>太阳电缆</t>
  </si>
  <si>
    <t>www.lixinger.com/analytics/company/sz/002300/2300/detail</t>
  </si>
  <si>
    <t>国网信通</t>
  </si>
  <si>
    <t>www.lixinger.com/analytics/company/sh/600131/600131/detail</t>
  </si>
  <si>
    <t>深康佳Ａ</t>
  </si>
  <si>
    <t>www.lixinger.com/analytics/company/sz/000016/16/detail</t>
  </si>
  <si>
    <t>甬金股份</t>
  </si>
  <si>
    <t>www.lixinger.com/analytics/company/sh/603995/603995/detail</t>
  </si>
  <si>
    <t>宁波建工</t>
  </si>
  <si>
    <t>www.lixinger.com/analytics/company/sh/601789/601789/detail</t>
  </si>
  <si>
    <t>楚天科技</t>
  </si>
  <si>
    <t>www.lixinger.com/analytics/company/sz/300358/300358/detail</t>
  </si>
  <si>
    <t>金杯电工</t>
  </si>
  <si>
    <t>www.lixinger.com/analytics/company/sz/002533/2533/detail</t>
  </si>
  <si>
    <t>中南传媒</t>
  </si>
  <si>
    <t>www.lixinger.com/analytics/company/sh/601098/601098/detail</t>
  </si>
  <si>
    <t>汉马科技</t>
  </si>
  <si>
    <t>www.lixinger.com/analytics/company/sh/600375/600375/detail</t>
  </si>
  <si>
    <t>际华集团</t>
  </si>
  <si>
    <t>www.lixinger.com/analytics/company/sh/601718/601718/detail</t>
  </si>
  <si>
    <t>小商品城</t>
  </si>
  <si>
    <t>www.lixinger.com/analytics/company/sh/600415/600415/detail</t>
  </si>
  <si>
    <t>碧水源</t>
  </si>
  <si>
    <t>www.lixinger.com/analytics/company/sz/300070/300070/detail</t>
  </si>
  <si>
    <t>汇鸿集团</t>
  </si>
  <si>
    <t>www.lixinger.com/analytics/company/sh/600981/600981/detail</t>
  </si>
  <si>
    <t>杰瑞股份</t>
  </si>
  <si>
    <t>www.lixinger.com/analytics/company/sz/002353/2353/detail</t>
  </si>
  <si>
    <t>国海证券</t>
  </si>
  <si>
    <t>www.lixinger.com/analytics/company/sz/000750/750/detail</t>
  </si>
  <si>
    <t>华大基因</t>
  </si>
  <si>
    <t>www.lixinger.com/analytics/company/sz/300676/300676/detail</t>
  </si>
  <si>
    <t>索通发展</t>
  </si>
  <si>
    <t>www.lixinger.com/analytics/company/sh/603612/603612/detail</t>
  </si>
  <si>
    <t>海立股份</t>
  </si>
  <si>
    <t>www.lixinger.com/analytics/company/sh/600619/600619/detail</t>
  </si>
  <si>
    <t>嘉事堂</t>
  </si>
  <si>
    <t>www.lixinger.com/analytics/company/sz/002462/2462/detail</t>
  </si>
  <si>
    <t>天地科技</t>
  </si>
  <si>
    <t>www.lixinger.com/analytics/company/sh/600582/600582/detail</t>
  </si>
  <si>
    <t>栖霞建设</t>
  </si>
  <si>
    <t>www.lixinger.com/analytics/company/sh/600533/600533/detail</t>
  </si>
  <si>
    <t>大族激光</t>
  </si>
  <si>
    <t>www.lixinger.com/analytics/company/sz/002008/2008/detail</t>
  </si>
  <si>
    <t>博威合金</t>
  </si>
  <si>
    <t>www.lixinger.com/analytics/company/sh/601137/601137/detail</t>
  </si>
  <si>
    <t>海优新材</t>
  </si>
  <si>
    <t>www.lixinger.com/analytics/company/sh/688680/688680/detail</t>
  </si>
  <si>
    <t>山东出版</t>
  </si>
  <si>
    <t>www.lixinger.com/analytics/company/sh/601019/601019/detail</t>
  </si>
  <si>
    <t>深信服</t>
  </si>
  <si>
    <t>www.lixinger.com/analytics/company/sz/300454/300454/detail</t>
  </si>
  <si>
    <t>坚朗五金</t>
  </si>
  <si>
    <t>www.lixinger.com/analytics/company/sz/002791/2791/detail</t>
  </si>
  <si>
    <t>*ST山航B</t>
  </si>
  <si>
    <t>www.lixinger.com/analytics/company/sz/200152/200152/detail</t>
  </si>
  <si>
    <t>冀东水泥</t>
  </si>
  <si>
    <t>www.lixinger.com/analytics/company/sz/000401/401/detail</t>
  </si>
  <si>
    <t>中储股份</t>
  </si>
  <si>
    <t>www.lixinger.com/analytics/company/sh/600787/600787/detail</t>
  </si>
  <si>
    <t>华润材料</t>
  </si>
  <si>
    <t>www.lixinger.com/analytics/company/sz/301090/301090/detail</t>
  </si>
  <si>
    <t>成都银行</t>
  </si>
  <si>
    <t>www.lixinger.com/analytics/company/sh/601838/601838/detail</t>
  </si>
  <si>
    <t>柳药股份</t>
  </si>
  <si>
    <t>www.lixinger.com/analytics/company/sh/603368/603368/detail</t>
  </si>
  <si>
    <t>万达信息</t>
  </si>
  <si>
    <t>www.lixinger.com/analytics/company/sz/300168/300168/detail</t>
  </si>
  <si>
    <t>天沃科技</t>
  </si>
  <si>
    <t>www.lixinger.com/analytics/company/sz/002564/2564/detail</t>
  </si>
  <si>
    <t>神州信息</t>
  </si>
  <si>
    <t>www.lixinger.com/analytics/company/sz/000555/555/detail</t>
  </si>
  <si>
    <t>芒果超媒</t>
  </si>
  <si>
    <t>www.lixinger.com/analytics/company/sz/300413/300413/detail</t>
  </si>
  <si>
    <t>杰赛科技</t>
  </si>
  <si>
    <t>www.lixinger.com/analytics/company/sz/002544/2544/detail</t>
  </si>
  <si>
    <t>华电重工</t>
  </si>
  <si>
    <t>www.lixinger.com/analytics/company/sh/601226/601226/detail</t>
  </si>
  <si>
    <t>宇通客车</t>
  </si>
  <si>
    <t>www.lixinger.com/analytics/company/sh/600066/600066/detail</t>
  </si>
  <si>
    <t>晶盛机电</t>
  </si>
  <si>
    <t>www.lixinger.com/analytics/company/sz/300316/300316/detail</t>
  </si>
  <si>
    <t>中国动力</t>
  </si>
  <si>
    <t>www.lixinger.com/analytics/company/sh/600482/600482/detail</t>
  </si>
  <si>
    <t>深圳燃气</t>
  </si>
  <si>
    <t>www.lixinger.com/analytics/company/sh/601139/601139/detail</t>
  </si>
  <si>
    <t>华安证券</t>
  </si>
  <si>
    <t>www.lixinger.com/analytics/company/sh/600909/600909/detail</t>
  </si>
  <si>
    <t>广电运通</t>
  </si>
  <si>
    <t>www.lixinger.com/analytics/company/sz/002152/2152/detail</t>
  </si>
  <si>
    <t>云南铜业</t>
  </si>
  <si>
    <t>www.lixinger.com/analytics/company/sz/000878/878/detail</t>
  </si>
  <si>
    <t>深物业A</t>
  </si>
  <si>
    <t>www.lixinger.com/analytics/company/sz/000011/11/detail</t>
  </si>
  <si>
    <t>省广集团</t>
  </si>
  <si>
    <t>www.lixinger.com/analytics/company/sz/002400/2400/detail</t>
  </si>
  <si>
    <t>深康佳Ｂ</t>
  </si>
  <si>
    <t>www.lixinger.com/analytics/company/sz/200016/200016/detail</t>
  </si>
  <si>
    <t>中粮糖业</t>
  </si>
  <si>
    <t>www.lixinger.com/analytics/company/sh/600737/600737/detail</t>
  </si>
  <si>
    <t>深科技</t>
  </si>
  <si>
    <t>www.lixinger.com/analytics/company/sz/000021/21/detail</t>
  </si>
  <si>
    <t>罗欣药业</t>
  </si>
  <si>
    <t>www.lixinger.com/analytics/company/sz/002793/2793/detail</t>
  </si>
  <si>
    <t>韦尔股份</t>
  </si>
  <si>
    <t>www.lixinger.com/analytics/company/sh/603501/603501/detail</t>
  </si>
  <si>
    <t>威孚高科</t>
  </si>
  <si>
    <t>www.lixinger.com/analytics/company/sz/000581/581/detail</t>
  </si>
  <si>
    <t>大名城</t>
  </si>
  <si>
    <t>www.lixinger.com/analytics/company/sh/600094/600094/detail</t>
  </si>
  <si>
    <t>长城证券</t>
  </si>
  <si>
    <t>www.lixinger.com/analytics/company/sz/002939/2939/detail</t>
  </si>
  <si>
    <t>广晟有色</t>
  </si>
  <si>
    <t>www.lixinger.com/analytics/company/sh/600259/600259/detail</t>
  </si>
  <si>
    <t>天康生物</t>
  </si>
  <si>
    <t>www.lixinger.com/analytics/company/sz/002100/2100/detail</t>
  </si>
  <si>
    <t>华数传媒</t>
  </si>
  <si>
    <t>www.lixinger.com/analytics/company/sz/000156/156/detail</t>
  </si>
  <si>
    <t>兰州银行</t>
  </si>
  <si>
    <t>www.lixinger.com/analytics/company/sz/001227/1227/detail</t>
  </si>
  <si>
    <t>哈投股份</t>
  </si>
  <si>
    <t>www.lixinger.com/analytics/company/sh/600864/600864/detail</t>
  </si>
  <si>
    <t>圣泉集团</t>
  </si>
  <si>
    <t>www.lixinger.com/analytics/company/sh/605589/605589/detail</t>
  </si>
  <si>
    <t>有研新材</t>
  </si>
  <si>
    <t>www.lixinger.com/analytics/company/sh/600206/600206/detail</t>
  </si>
  <si>
    <t>宁波韵升</t>
  </si>
  <si>
    <t>www.lixinger.com/analytics/company/sh/600366/600366/detail</t>
  </si>
  <si>
    <t>*ST银亿</t>
  </si>
  <si>
    <t>www.lixinger.com/analytics/company/sz/000981/981/detail</t>
  </si>
  <si>
    <t>中航重机</t>
  </si>
  <si>
    <t>www.lixinger.com/analytics/company/sh/600765/600765/detail</t>
  </si>
  <si>
    <t>东方电缆</t>
  </si>
  <si>
    <t>www.lixinger.com/analytics/company/sh/603606/603606/detail</t>
  </si>
  <si>
    <t>欧普照明</t>
  </si>
  <si>
    <t>www.lixinger.com/analytics/company/sh/603515/603515/detail</t>
  </si>
  <si>
    <t>招商积余</t>
  </si>
  <si>
    <t>www.lixinger.com/analytics/company/sz/001914/1914/detail</t>
  </si>
  <si>
    <t>龙蟠科技</t>
  </si>
  <si>
    <t>www.lixinger.com/analytics/company/sh/603906/603906/detail</t>
  </si>
  <si>
    <t>北方国际</t>
  </si>
  <si>
    <t>www.lixinger.com/analytics/company/sz/000065/65/detail</t>
  </si>
  <si>
    <t>振华重工</t>
  </si>
  <si>
    <t>www.lixinger.com/analytics/company/sh/600320/600320/detail</t>
  </si>
  <si>
    <t>中国医药</t>
  </si>
  <si>
    <t>www.lixinger.com/analytics/company/sh/600056/600056/detail</t>
  </si>
  <si>
    <t>石化油服</t>
  </si>
  <si>
    <t>www.lixinger.com/analytics/company/sh/600871/600871/detail</t>
  </si>
  <si>
    <t>新黄浦</t>
  </si>
  <si>
    <t>www.lixinger.com/analytics/company/sh/600638/600638/detail</t>
  </si>
  <si>
    <t>维信诺</t>
  </si>
  <si>
    <t>www.lixinger.com/analytics/company/sz/002387/2387/detail</t>
  </si>
  <si>
    <t>国机重装</t>
  </si>
  <si>
    <t>www.lixinger.com/analytics/company/sh/601399/601399/detail</t>
  </si>
  <si>
    <t>东软集团</t>
  </si>
  <si>
    <t>www.lixinger.com/analytics/company/sh/600718/600718/detail</t>
  </si>
  <si>
    <t>华建集团</t>
  </si>
  <si>
    <t>www.lixinger.com/analytics/company/sh/600629/600629/detail</t>
  </si>
  <si>
    <t>宝胜股份</t>
  </si>
  <si>
    <t>www.lixinger.com/analytics/company/sh/600973/600973/detail</t>
  </si>
  <si>
    <t>中原环保</t>
  </si>
  <si>
    <t>www.lixinger.com/analytics/company/sz/000544/544/detail</t>
  </si>
  <si>
    <t>北新路桥</t>
  </si>
  <si>
    <t>www.lixinger.com/analytics/company/sz/002307/2307/detail</t>
  </si>
  <si>
    <t>深物业B</t>
  </si>
  <si>
    <t>www.lixinger.com/analytics/company/sz/200011/200011/detail</t>
  </si>
  <si>
    <t>东华软件</t>
  </si>
  <si>
    <t>www.lixinger.com/analytics/company/sz/002065/2065/detail</t>
  </si>
  <si>
    <t>大北农</t>
  </si>
  <si>
    <t>www.lixinger.com/analytics/company/sz/002385/2385/detail</t>
  </si>
  <si>
    <t>立中集团</t>
  </si>
  <si>
    <t>www.lixinger.com/analytics/company/sz/300428/300428/detail</t>
  </si>
  <si>
    <t>三钢闽光</t>
  </si>
  <si>
    <t>www.lixinger.com/analytics/company/sz/002110/2110/detail</t>
  </si>
  <si>
    <t>ST海越</t>
  </si>
  <si>
    <t>www.lixinger.com/analytics/company/sh/600387/600387/detail</t>
  </si>
  <si>
    <t>养元饮品</t>
  </si>
  <si>
    <t>www.lixinger.com/analytics/company/sh/603156/603156/detail</t>
  </si>
  <si>
    <t>奇安信</t>
  </si>
  <si>
    <t>www.lixinger.com/analytics/company/sh/688561/688561/detail</t>
  </si>
  <si>
    <t>迪安诊断</t>
  </si>
  <si>
    <t>www.lixinger.com/analytics/company/sz/300244/300244/detail</t>
  </si>
  <si>
    <t>中化国际</t>
  </si>
  <si>
    <t>www.lixinger.com/analytics/company/sh/600500/600500/detail</t>
  </si>
  <si>
    <t>建投能源</t>
  </si>
  <si>
    <t>www.lixinger.com/analytics/company/sz/000600/600/detail</t>
  </si>
  <si>
    <t>用友网络</t>
  </si>
  <si>
    <t>www.lixinger.com/analytics/company/sh/600588/600588/detail</t>
  </si>
  <si>
    <t>顺鑫农业</t>
  </si>
  <si>
    <t>www.lixinger.com/analytics/company/sz/000860/860/detail</t>
  </si>
  <si>
    <t>神州数码</t>
  </si>
  <si>
    <t>www.lixinger.com/analytics/company/sz/000034/34/detail</t>
  </si>
  <si>
    <t>南宁糖业</t>
  </si>
  <si>
    <t>www.lixinger.com/analytics/company/sz/000911/911/detail</t>
  </si>
  <si>
    <t>中国通号</t>
  </si>
  <si>
    <t>www.lixinger.com/analytics/company/sh/688009/688009/detail</t>
  </si>
  <si>
    <t>新疆交建</t>
  </si>
  <si>
    <t>www.lixinger.com/analytics/company/sz/002941/2941/detail</t>
  </si>
  <si>
    <t>中科曙光</t>
  </si>
  <si>
    <t>www.lixinger.com/analytics/company/sh/603019/603019/detail</t>
  </si>
  <si>
    <t>*ST基础</t>
  </si>
  <si>
    <t>www.lixinger.com/analytics/company/sh/600515/600515/detail</t>
  </si>
  <si>
    <t>东方创业</t>
  </si>
  <si>
    <t>www.lixinger.com/analytics/company/sh/600278/600278/detail</t>
  </si>
  <si>
    <t>海大集团</t>
  </si>
  <si>
    <t>www.lixinger.com/analytics/company/sz/002311/2311/detail</t>
  </si>
  <si>
    <t>航天晨光</t>
  </si>
  <si>
    <t>www.lixinger.com/analytics/company/sh/600501/600501/detail</t>
  </si>
  <si>
    <t>天禾股份</t>
  </si>
  <si>
    <t>www.lixinger.com/analytics/company/sz/002999/2999/detail</t>
  </si>
  <si>
    <t>第一创业</t>
  </si>
  <si>
    <t>www.lixinger.com/analytics/company/sz/002797/2797/detail</t>
  </si>
  <si>
    <t>长虹美菱</t>
  </si>
  <si>
    <t>www.lixinger.com/analytics/company/sz/000521/521/detail</t>
  </si>
  <si>
    <t>东华能源</t>
  </si>
  <si>
    <t>www.lixinger.com/analytics/company/sz/002221/2221/detail</t>
  </si>
  <si>
    <t>中原证券</t>
  </si>
  <si>
    <t>www.lixinger.com/analytics/company/sh/601375/601375/detail</t>
  </si>
  <si>
    <t>楚江新材</t>
  </si>
  <si>
    <t>www.lixinger.com/analytics/company/sz/002171/2171/detail</t>
  </si>
  <si>
    <t>恒生电子</t>
  </si>
  <si>
    <t>www.lixinger.com/analytics/company/sh/600570/600570/detail</t>
  </si>
  <si>
    <t>信达地产</t>
  </si>
  <si>
    <t>www.lixinger.com/analytics/company/sh/600657/600657/detail</t>
  </si>
  <si>
    <t>龙元建设</t>
  </si>
  <si>
    <t>www.lixinger.com/analytics/company/sh/600491/600491/detail</t>
  </si>
  <si>
    <t>海天味业</t>
  </si>
  <si>
    <t>www.lixinger.com/analytics/company/sh/603288/603288/detail</t>
  </si>
  <si>
    <t>运达股份</t>
  </si>
  <si>
    <t>www.lixinger.com/analytics/company/sz/300772/300772/detail</t>
  </si>
  <si>
    <t>洛阳钼业</t>
  </si>
  <si>
    <t>www.lixinger.com/analytics/company/sh/603993/603993/detail</t>
  </si>
  <si>
    <t>科顺股份</t>
  </si>
  <si>
    <t>www.lixinger.com/analytics/company/sz/300737/300737/detail</t>
  </si>
  <si>
    <t>太平洋</t>
  </si>
  <si>
    <t>www.lixinger.com/analytics/company/sh/601099/601099/detail</t>
  </si>
  <si>
    <t>海亮股份</t>
  </si>
  <si>
    <t>www.lixinger.com/analytics/company/sz/002203/2203/detail</t>
  </si>
  <si>
    <t>星网锐捷</t>
  </si>
  <si>
    <t>www.lixinger.com/analytics/company/sz/002396/2396/detail</t>
  </si>
  <si>
    <t>云内动力</t>
  </si>
  <si>
    <t>www.lixinger.com/analytics/company/sz/000903/903/detail</t>
  </si>
  <si>
    <t>中科软</t>
  </si>
  <si>
    <t>www.lixinger.com/analytics/company/sh/603927/603927/detail</t>
  </si>
  <si>
    <t>方正证券</t>
  </si>
  <si>
    <t>www.lixinger.com/analytics/company/sh/601901/601901/detail</t>
  </si>
  <si>
    <t>中航电子</t>
  </si>
  <si>
    <t>www.lixinger.com/analytics/company/sh/600372/600372/detail</t>
  </si>
  <si>
    <t>科大讯飞</t>
  </si>
  <si>
    <t>www.lixinger.com/analytics/company/sz/002230/2230/detail</t>
  </si>
  <si>
    <t>江苏租赁</t>
  </si>
  <si>
    <t>www.lixinger.com/analytics/company/sh/600901/600901/detail</t>
  </si>
  <si>
    <t>远大控股</t>
  </si>
  <si>
    <t>www.lixinger.com/analytics/company/sz/000626/626/detail</t>
  </si>
  <si>
    <t>东莞控股</t>
  </si>
  <si>
    <t>www.lixinger.com/analytics/company/sz/000828/828/detail</t>
  </si>
  <si>
    <t>上海机电</t>
  </si>
  <si>
    <t>www.lixinger.com/analytics/company/sh/600835/600835/detail</t>
  </si>
  <si>
    <t>中金黄金</t>
  </si>
  <si>
    <t>www.lixinger.com/analytics/company/sh/600489/600489/detail</t>
  </si>
  <si>
    <t>常山北明</t>
  </si>
  <si>
    <t>www.lixinger.com/analytics/company/sz/000158/158/detail</t>
  </si>
  <si>
    <t>中洲控股</t>
  </si>
  <si>
    <t>www.lixinger.com/analytics/company/sz/000042/42/detail</t>
  </si>
  <si>
    <t>先导智能</t>
  </si>
  <si>
    <t>www.lixinger.com/analytics/company/sz/300450/300450/detail</t>
  </si>
  <si>
    <t>中国中免</t>
  </si>
  <si>
    <t>旅游零售</t>
  </si>
  <si>
    <t>www.lixinger.com/analytics/company/sh/601888/601888/detail</t>
  </si>
  <si>
    <t>软通动力</t>
  </si>
  <si>
    <t>www.lixinger.com/analytics/company/sz/301236/301236/detail</t>
  </si>
  <si>
    <t>中铝国际</t>
  </si>
  <si>
    <t>www.lixinger.com/analytics/company/sh/601068/601068/detail</t>
  </si>
  <si>
    <t>电科数字</t>
  </si>
  <si>
    <t>www.lixinger.com/analytics/company/sh/600850/600850/detail</t>
  </si>
  <si>
    <t>时代电气</t>
  </si>
  <si>
    <t>www.lixinger.com/analytics/company/sh/688187/688187/detail</t>
  </si>
  <si>
    <t>亚厦股份</t>
  </si>
  <si>
    <t>www.lixinger.com/analytics/company/sz/002375/2375/detail</t>
  </si>
  <si>
    <t>北方华创</t>
  </si>
  <si>
    <t>www.lixinger.com/analytics/company/sz/002371/2371/detail</t>
  </si>
  <si>
    <t>英特集团</t>
  </si>
  <si>
    <t>www.lixinger.com/analytics/company/sz/000411/411/detail</t>
  </si>
  <si>
    <t>山东路桥</t>
  </si>
  <si>
    <t>www.lixinger.com/analytics/company/sz/000498/498/detail</t>
  </si>
  <si>
    <t>国元证券</t>
  </si>
  <si>
    <t>www.lixinger.com/analytics/company/sz/000728/728/detail</t>
  </si>
  <si>
    <t>浦东金桥</t>
  </si>
  <si>
    <t>www.lixinger.com/analytics/company/sh/600639/600639/detail</t>
  </si>
  <si>
    <t>山河智能</t>
  </si>
  <si>
    <t>www.lixinger.com/analytics/company/sz/002097/2097/detail</t>
  </si>
  <si>
    <t>国药股份</t>
  </si>
  <si>
    <t>www.lixinger.com/analytics/company/sh/600511/600511/detail</t>
  </si>
  <si>
    <t>虹美菱B</t>
  </si>
  <si>
    <t>www.lixinger.com/analytics/company/sz/200521/200521/detail</t>
  </si>
  <si>
    <t>友发集团</t>
  </si>
  <si>
    <t>www.lixinger.com/analytics/company/sh/601686/601686/detail</t>
  </si>
  <si>
    <t>白银有色</t>
  </si>
  <si>
    <t>www.lixinger.com/analytics/company/sh/601212/601212/detail</t>
  </si>
  <si>
    <t>福星股份</t>
  </si>
  <si>
    <t>www.lixinger.com/analytics/company/sz/000926/926/detail</t>
  </si>
  <si>
    <t>正邦科技</t>
  </si>
  <si>
    <t>www.lixinger.com/analytics/company/sz/002157/2157/detail</t>
  </si>
  <si>
    <t>航天信息</t>
  </si>
  <si>
    <t>www.lixinger.com/analytics/company/sh/600271/600271/detail</t>
  </si>
  <si>
    <t>国电南瑞</t>
  </si>
  <si>
    <t>www.lixinger.com/analytics/company/sh/600406/600406/detail</t>
  </si>
  <si>
    <t>金螳螂</t>
  </si>
  <si>
    <t>www.lixinger.com/analytics/company/sz/002081/2081/detail</t>
  </si>
  <si>
    <t>浦东建设</t>
  </si>
  <si>
    <t>www.lixinger.com/analytics/company/sh/600284/600284/detail</t>
  </si>
  <si>
    <t>中材科技</t>
  </si>
  <si>
    <t>www.lixinger.com/analytics/company/sz/002080/2080/detail</t>
  </si>
  <si>
    <t>万马股份</t>
  </si>
  <si>
    <t>www.lixinger.com/analytics/company/sz/002276/2276/detail</t>
  </si>
  <si>
    <t>中铁工业</t>
  </si>
  <si>
    <t>www.lixinger.com/analytics/company/sh/600528/600528/detail</t>
  </si>
  <si>
    <t>中国外运</t>
  </si>
  <si>
    <t>www.lixinger.com/analytics/company/sh/601598/601598/detail</t>
  </si>
  <si>
    <t>中泰化学</t>
  </si>
  <si>
    <t>www.lixinger.com/analytics/company/sz/002092/2092/detail</t>
  </si>
  <si>
    <t>太极股份</t>
  </si>
  <si>
    <t>www.lixinger.com/analytics/company/sz/002368/2368/detail</t>
  </si>
  <si>
    <t>京能置业</t>
  </si>
  <si>
    <t>www.lixinger.com/analytics/company/sh/600791/600791/detail</t>
  </si>
  <si>
    <t>雅戈尔</t>
  </si>
  <si>
    <t>www.lixinger.com/analytics/company/sh/600177/600177/detail</t>
  </si>
  <si>
    <t>中直股份</t>
  </si>
  <si>
    <t>www.lixinger.com/analytics/company/sh/600038/600038/detail</t>
  </si>
  <si>
    <t>南山控股</t>
  </si>
  <si>
    <t>www.lixinger.com/analytics/company/sz/002314/2314/detail</t>
  </si>
  <si>
    <t>上海临港</t>
  </si>
  <si>
    <t>www.lixinger.com/analytics/company/sh/600848/600848/detail</t>
  </si>
  <si>
    <t>中航机电</t>
  </si>
  <si>
    <t>www.lixinger.com/analytics/company/sz/002013/2013/detail</t>
  </si>
  <si>
    <t>国机汽车</t>
  </si>
  <si>
    <t>www.lixinger.com/analytics/company/sh/600335/600335/detail</t>
  </si>
  <si>
    <t>太极实业</t>
  </si>
  <si>
    <t>www.lixinger.com/analytics/company/sh/600667/600667/detail</t>
  </si>
  <si>
    <t>中钢国际</t>
  </si>
  <si>
    <t>www.lixinger.com/analytics/company/sz/000928/928/detail</t>
  </si>
  <si>
    <t>航天电子</t>
  </si>
  <si>
    <t>www.lixinger.com/analytics/company/sh/600879/600879/detail</t>
  </si>
  <si>
    <t>天山股份</t>
  </si>
  <si>
    <t>www.lixinger.com/analytics/company/sz/000877/877/detail</t>
  </si>
  <si>
    <t>阳光电源</t>
  </si>
  <si>
    <t>www.lixinger.com/analytics/company/sz/300274/300274/detail</t>
  </si>
  <si>
    <t>豫园股份</t>
  </si>
  <si>
    <t>www.lixinger.com/analytics/company/sh/600655/600655/detail</t>
  </si>
  <si>
    <t>润建股份</t>
  </si>
  <si>
    <t>www.lixinger.com/analytics/company/sz/002929/2929/detail</t>
  </si>
  <si>
    <t>德方纳米</t>
  </si>
  <si>
    <t>www.lixinger.com/analytics/company/sz/300769/300769/detail</t>
  </si>
  <si>
    <t>南天信息</t>
  </si>
  <si>
    <t>www.lixinger.com/analytics/company/sz/000948/948/detail</t>
  </si>
  <si>
    <t>城投控股</t>
  </si>
  <si>
    <t>www.lixinger.com/analytics/company/sh/600649/600649/detail</t>
  </si>
  <si>
    <t>新希望</t>
  </si>
  <si>
    <t>www.lixinger.com/analytics/company/sz/000876/876/detail</t>
  </si>
  <si>
    <t>南国置业</t>
  </si>
  <si>
    <t>www.lixinger.com/analytics/company/sz/002305/2305/detail</t>
  </si>
  <si>
    <t>上海石化</t>
  </si>
  <si>
    <t>www.lixinger.com/analytics/company/sh/600688/600688/detail</t>
  </si>
  <si>
    <t>安道麦A</t>
  </si>
  <si>
    <t>www.lixinger.com/analytics/company/sz/000553/553/detail</t>
  </si>
  <si>
    <t>中国软件</t>
  </si>
  <si>
    <t>www.lixinger.com/analytics/company/sh/600536/600536/detail</t>
  </si>
  <si>
    <t>南京医药</t>
  </si>
  <si>
    <t>www.lixinger.com/analytics/company/sh/600713/600713/detail</t>
  </si>
  <si>
    <t>中国长城</t>
  </si>
  <si>
    <t>www.lixinger.com/analytics/company/sz/000066/66/detail</t>
  </si>
  <si>
    <t>深桑达Ａ</t>
  </si>
  <si>
    <t>www.lixinger.com/analytics/company/sz/000032/32/detail</t>
  </si>
  <si>
    <t>天合光能</t>
  </si>
  <si>
    <t>www.lixinger.com/analytics/company/sh/688599/688599/detail</t>
  </si>
  <si>
    <t>晶澳科技</t>
  </si>
  <si>
    <t>www.lixinger.com/analytics/company/sz/002459/2459/detail</t>
  </si>
  <si>
    <t>江河集团</t>
  </si>
  <si>
    <t>www.lixinger.com/analytics/company/sh/601886/601886/detail</t>
  </si>
  <si>
    <t>江西铜业</t>
  </si>
  <si>
    <t>www.lixinger.com/analytics/company/sh/600362/600362/detail</t>
  </si>
  <si>
    <t>物产环能</t>
  </si>
  <si>
    <t>www.lixinger.com/analytics/company/sh/603071/603071/detail</t>
  </si>
  <si>
    <t>同方股份</t>
  </si>
  <si>
    <t>www.lixinger.com/analytics/company/sh/600100/600100/detail</t>
  </si>
  <si>
    <t>厦门信达</t>
  </si>
  <si>
    <t>www.lixinger.com/analytics/company/sz/000701/701/detail</t>
  </si>
  <si>
    <t>新凤鸣</t>
  </si>
  <si>
    <t>www.lixinger.com/analytics/company/sh/603225/603225/detail</t>
  </si>
  <si>
    <t>国盛金控</t>
  </si>
  <si>
    <t>www.lixinger.com/analytics/company/sz/002670/2670/detail</t>
  </si>
  <si>
    <t>四川路桥</t>
  </si>
  <si>
    <t>www.lixinger.com/analytics/company/sh/600039/600039/detail</t>
  </si>
  <si>
    <t>黑牡丹</t>
  </si>
  <si>
    <t>www.lixinger.com/analytics/company/sh/600510/600510/detail</t>
  </si>
  <si>
    <t>格林美</t>
  </si>
  <si>
    <t>www.lixinger.com/analytics/company/sz/002340/2340/detail</t>
  </si>
  <si>
    <t>中材国际</t>
  </si>
  <si>
    <t>www.lixinger.com/analytics/company/sh/600970/600970/detail</t>
  </si>
  <si>
    <t>中海油服</t>
  </si>
  <si>
    <t>www.lixinger.com/analytics/company/sh/601808/601808/detail</t>
  </si>
  <si>
    <t>安道麦B</t>
  </si>
  <si>
    <t>www.lixinger.com/analytics/company/sz/200553/200553/detail</t>
  </si>
  <si>
    <t>中国船舶</t>
  </si>
  <si>
    <t>www.lixinger.com/analytics/company/sh/600150/600150/detail</t>
  </si>
  <si>
    <t>中天科技</t>
  </si>
  <si>
    <t>www.lixinger.com/analytics/company/sh/600522/600522/detail</t>
  </si>
  <si>
    <t>起帆电缆</t>
  </si>
  <si>
    <t>www.lixinger.com/analytics/company/sh/605222/605222/detail</t>
  </si>
  <si>
    <t>重庆建工</t>
  </si>
  <si>
    <t>www.lixinger.com/analytics/company/sh/600939/600939/detail</t>
  </si>
  <si>
    <t>紫光股份</t>
  </si>
  <si>
    <t>www.lixinger.com/analytics/company/sz/000938/938/detail</t>
  </si>
  <si>
    <t>越秀金控</t>
  </si>
  <si>
    <t>www.lixinger.com/analytics/company/sz/000987/987/detail</t>
  </si>
  <si>
    <t>一汽解放</t>
  </si>
  <si>
    <t>www.lixinger.com/analytics/company/sz/000800/800/detail</t>
  </si>
  <si>
    <t>龙建股份</t>
  </si>
  <si>
    <t>www.lixinger.com/analytics/company/sh/600853/600853/detail</t>
  </si>
  <si>
    <t>金融街</t>
  </si>
  <si>
    <t>www.lixinger.com/analytics/company/sz/000402/402/detail</t>
  </si>
  <si>
    <t>内蒙一机</t>
  </si>
  <si>
    <t>www.lixinger.com/analytics/company/sh/600967/600967/detail</t>
  </si>
  <si>
    <t>中航沈飞</t>
  </si>
  <si>
    <t>www.lixinger.com/analytics/company/sh/600760/600760/detail</t>
  </si>
  <si>
    <t>天健集团</t>
  </si>
  <si>
    <t>www.lixinger.com/analytics/company/sz/000090/90/detail</t>
  </si>
  <si>
    <t>大华股份</t>
  </si>
  <si>
    <t>www.lixinger.com/analytics/company/sz/002236/2236/detail</t>
  </si>
  <si>
    <t>上海医药</t>
  </si>
  <si>
    <t>www.lixinger.com/analytics/company/sh/601607/601607/detail</t>
  </si>
  <si>
    <t>烽火通信</t>
  </si>
  <si>
    <t>www.lixinger.com/analytics/company/sh/600498/600498/detail</t>
  </si>
  <si>
    <t>苏美达</t>
  </si>
  <si>
    <t>www.lixinger.com/analytics/company/sh/600710/600710/detail</t>
  </si>
  <si>
    <t>动力新科</t>
  </si>
  <si>
    <t>www.lixinger.com/analytics/company/sh/600841/600841/detail</t>
  </si>
  <si>
    <t>电气风电</t>
  </si>
  <si>
    <t>www.lixinger.com/analytics/company/sh/688660/688660/detail</t>
  </si>
  <si>
    <t>隧道股份</t>
  </si>
  <si>
    <t>www.lixinger.com/analytics/company/sh/600820/600820/detail</t>
  </si>
  <si>
    <t>九州通</t>
  </si>
  <si>
    <t>www.lixinger.com/analytics/company/sh/600998/600998/detail</t>
  </si>
  <si>
    <t>西部建设</t>
  </si>
  <si>
    <t>www.lixinger.com/analytics/company/sz/002302/2302/detail</t>
  </si>
  <si>
    <t>华锦股份</t>
  </si>
  <si>
    <t>www.lixinger.com/analytics/company/sz/000059/59/detail</t>
  </si>
  <si>
    <t>江铃汽车</t>
  </si>
  <si>
    <t>www.lixinger.com/analytics/company/sz/000550/550/detail</t>
  </si>
  <si>
    <t>中国重工</t>
  </si>
  <si>
    <t>www.lixinger.com/analytics/company/sh/601989/601989/detail</t>
  </si>
  <si>
    <t>经纬纺机</t>
  </si>
  <si>
    <t>www.lixinger.com/analytics/company/sz/000666/666/detail</t>
  </si>
  <si>
    <t>天能股份</t>
  </si>
  <si>
    <t>www.lixinger.com/analytics/company/sh/688819/688819/detail</t>
  </si>
  <si>
    <t>中伟股份</t>
  </si>
  <si>
    <t>www.lixinger.com/analytics/company/sz/300919/300919/detail</t>
  </si>
  <si>
    <t>红塔证券</t>
  </si>
  <si>
    <t>www.lixinger.com/analytics/company/sh/601236/601236/detail</t>
  </si>
  <si>
    <t>中国铁物</t>
  </si>
  <si>
    <t>www.lixinger.com/analytics/company/sz/000927/927/detail</t>
  </si>
  <si>
    <t>洋河股份</t>
  </si>
  <si>
    <t>www.lixinger.com/analytics/company/sz/002304/2304/detail</t>
  </si>
  <si>
    <t>重药控股</t>
  </si>
  <si>
    <t>www.lixinger.com/analytics/company/sz/000950/950/detail</t>
  </si>
  <si>
    <t>浙江交科</t>
  </si>
  <si>
    <t>www.lixinger.com/analytics/company/sz/002061/2061/detail</t>
  </si>
  <si>
    <t>广汽集团</t>
  </si>
  <si>
    <t>www.lixinger.com/analytics/company/sh/601238/601238/detail</t>
  </si>
  <si>
    <t>五矿发展</t>
  </si>
  <si>
    <t>www.lixinger.com/analytics/company/sh/600058/600058/detail</t>
  </si>
  <si>
    <t>新奥股份</t>
  </si>
  <si>
    <t>www.lixinger.com/analytics/company/sh/600803/600803/detail</t>
  </si>
  <si>
    <t>智飞生物</t>
  </si>
  <si>
    <t>www.lixinger.com/analytics/company/sz/300122/300122/detail</t>
  </si>
  <si>
    <t>招商蛇口</t>
  </si>
  <si>
    <t>www.lixinger.com/analytics/company/sz/001979/1979/detail</t>
  </si>
  <si>
    <t>首开股份</t>
  </si>
  <si>
    <t>www.lixinger.com/analytics/company/sh/600376/600376/detail</t>
  </si>
  <si>
    <t>五粮液</t>
  </si>
  <si>
    <t>www.lixinger.com/analytics/company/sz/000858/858/detail</t>
  </si>
  <si>
    <t>陆家嘴</t>
  </si>
  <si>
    <t>www.lixinger.com/analytics/company/sh/600663/600663/detail</t>
  </si>
  <si>
    <t>西部证券</t>
  </si>
  <si>
    <t>www.lixinger.com/analytics/company/sz/002673/2673/detail</t>
  </si>
  <si>
    <t>东方电气</t>
  </si>
  <si>
    <t>www.lixinger.com/analytics/company/sh/600875/600875/detail</t>
  </si>
  <si>
    <t>*ST海航</t>
  </si>
  <si>
    <t>www.lixinger.com/analytics/company/sh/600221/600221/detail</t>
  </si>
  <si>
    <t>航发动力</t>
  </si>
  <si>
    <t>www.lixinger.com/analytics/company/sh/600893/600893/detail</t>
  </si>
  <si>
    <t>金田铜业</t>
  </si>
  <si>
    <t>www.lixinger.com/analytics/company/sh/601609/601609/detail</t>
  </si>
  <si>
    <t>桐昆股份</t>
  </si>
  <si>
    <t>www.lixinger.com/analytics/company/sh/601233/601233/detail</t>
  </si>
  <si>
    <t>金风科技</t>
  </si>
  <si>
    <t>www.lixinger.com/analytics/company/sz/002202/2202/detail</t>
  </si>
  <si>
    <t>恒逸石化</t>
  </si>
  <si>
    <t>www.lixinger.com/analytics/company/sz/000703/703/detail</t>
  </si>
  <si>
    <t>京投发展</t>
  </si>
  <si>
    <t>www.lixinger.com/analytics/company/sh/600683/600683/detail</t>
  </si>
  <si>
    <t>海康威视</t>
  </si>
  <si>
    <t>www.lixinger.com/analytics/company/sz/002415/2415/detail</t>
  </si>
  <si>
    <t>明阳智能</t>
  </si>
  <si>
    <t>www.lixinger.com/analytics/company/sh/601615/601615/detail</t>
  </si>
  <si>
    <t>中国东航</t>
  </si>
  <si>
    <t>www.lixinger.com/analytics/company/sh/600115/600115/detail</t>
  </si>
  <si>
    <t>安徽建工</t>
  </si>
  <si>
    <t>www.lixinger.com/analytics/company/sh/600502/600502/detail</t>
  </si>
  <si>
    <t>中航西飞</t>
  </si>
  <si>
    <t>www.lixinger.com/analytics/company/sz/000768/768/detail</t>
  </si>
  <si>
    <t>天茂集团</t>
  </si>
  <si>
    <t>www.lixinger.com/analytics/company/sz/000627/627/detail</t>
  </si>
  <si>
    <t>四川长虹</t>
  </si>
  <si>
    <t>www.lixinger.com/analytics/company/sh/600839/600839/detail</t>
  </si>
  <si>
    <t>苏州高新</t>
  </si>
  <si>
    <t>www.lixinger.com/analytics/company/sh/600736/600736/detail</t>
  </si>
  <si>
    <t>潍柴动力</t>
  </si>
  <si>
    <t>www.lixinger.com/analytics/company/sz/000338/338/detail</t>
  </si>
  <si>
    <t>浙江建投</t>
  </si>
  <si>
    <t>www.lixinger.com/analytics/company/sz/002761/2761/detail</t>
  </si>
  <si>
    <t>东方雨虹</t>
  </si>
  <si>
    <t>www.lixinger.com/analytics/company/sz/002271/2271/detail</t>
  </si>
  <si>
    <t>国联证券</t>
  </si>
  <si>
    <t>www.lixinger.com/analytics/company/sh/601456/601456/detail</t>
  </si>
  <si>
    <t>青农商行</t>
  </si>
  <si>
    <t>www.lixinger.com/analytics/company/sz/002958/2958/detail</t>
  </si>
  <si>
    <t>长沙银行</t>
  </si>
  <si>
    <t>www.lixinger.com/analytics/company/sh/601577/601577/detail</t>
  </si>
  <si>
    <t>贵州茅台</t>
  </si>
  <si>
    <t>www.lixinger.com/analytics/company/sh/600519/600519/detail</t>
  </si>
  <si>
    <t>中国化学</t>
  </si>
  <si>
    <t>www.lixinger.com/analytics/company/sh/601117/601117/detail</t>
  </si>
  <si>
    <t>中国国航</t>
  </si>
  <si>
    <t>www.lixinger.com/analytics/company/sh/601111/601111/detail</t>
  </si>
  <si>
    <t>贵阳银行</t>
  </si>
  <si>
    <t>www.lixinger.com/analytics/company/sh/601997/601997/detail</t>
  </si>
  <si>
    <t>广汇汽车</t>
  </si>
  <si>
    <t>www.lixinger.com/analytics/company/sh/600297/600297/detail</t>
  </si>
  <si>
    <t>浙商中拓</t>
  </si>
  <si>
    <t>www.lixinger.com/analytics/company/sz/000906/906/detail</t>
  </si>
  <si>
    <t>中国中车</t>
  </si>
  <si>
    <t>www.lixinger.com/analytics/company/sh/601766/601766/detail</t>
  </si>
  <si>
    <t>上汽集团</t>
  </si>
  <si>
    <t>www.lixinger.com/analytics/company/sh/600104/600104/detail</t>
  </si>
  <si>
    <t>上海电气</t>
  </si>
  <si>
    <t>www.lixinger.com/analytics/company/sh/601727/601727/detail</t>
  </si>
  <si>
    <t>国信证券</t>
  </si>
  <si>
    <t>www.lixinger.com/analytics/company/sz/002736/2736/detail</t>
  </si>
  <si>
    <t>中油工程</t>
  </si>
  <si>
    <t>www.lixinger.com/analytics/company/sh/600339/600339/detail</t>
  </si>
  <si>
    <t>广宇发展</t>
  </si>
  <si>
    <t>www.lixinger.com/analytics/company/sz/000537/537/detail</t>
  </si>
  <si>
    <t>中国核建</t>
  </si>
  <si>
    <t>www.lixinger.com/analytics/company/sh/601611/601611/detail</t>
  </si>
  <si>
    <t>华侨城Ａ</t>
  </si>
  <si>
    <t>www.lixinger.com/analytics/company/sz/000069/69/detail</t>
  </si>
  <si>
    <t>长城汽车</t>
  </si>
  <si>
    <t>www.lixinger.com/analytics/company/sh/601633/601633/detail</t>
  </si>
  <si>
    <t>滨江集团</t>
  </si>
  <si>
    <t>www.lixinger.com/analytics/company/sz/002244/2244/detail</t>
  </si>
  <si>
    <t>中油资本</t>
  </si>
  <si>
    <t>www.lixinger.com/analytics/company/sz/000617/617/detail</t>
  </si>
  <si>
    <t>南京银行</t>
  </si>
  <si>
    <t>www.lixinger.com/analytics/company/sh/601009/601009/detail</t>
  </si>
  <si>
    <t>万科Ａ</t>
  </si>
  <si>
    <t>www.lixinger.com/analytics/company/sz/000002/2/detail</t>
  </si>
  <si>
    <t>中国能建</t>
  </si>
  <si>
    <t>www.lixinger.com/analytics/company/sh/601868/601868/detail</t>
  </si>
  <si>
    <t>中国中冶</t>
  </si>
  <si>
    <t>www.lixinger.com/analytics/company/sh/601618/601618/detail</t>
  </si>
  <si>
    <t>浪潮信息</t>
  </si>
  <si>
    <t>www.lixinger.com/analytics/company/sz/000977/977/detail</t>
  </si>
  <si>
    <t>青岛银行</t>
  </si>
  <si>
    <t>www.lixinger.com/analytics/company/sz/002948/2948/detail</t>
  </si>
  <si>
    <t>杭州银行</t>
  </si>
  <si>
    <t>www.lixinger.com/analytics/company/sh/600926/600926/detail</t>
  </si>
  <si>
    <t>中国电建</t>
  </si>
  <si>
    <t>www.lixinger.com/analytics/company/sh/601669/601669/detail</t>
  </si>
  <si>
    <t>郑州银行</t>
  </si>
  <si>
    <t>www.lixinger.com/analytics/company/sz/002936/2936/detail</t>
  </si>
  <si>
    <t>物产中大</t>
  </si>
  <si>
    <t>www.lixinger.com/analytics/company/sh/600704/600704/detail</t>
  </si>
  <si>
    <t>厦门象屿</t>
  </si>
  <si>
    <t>www.lixinger.com/analytics/company/sh/600057/600057/detail</t>
  </si>
  <si>
    <t>上海建工</t>
  </si>
  <si>
    <t>www.lixinger.com/analytics/company/sh/600170/600170/detail</t>
  </si>
  <si>
    <t>重庆银行</t>
  </si>
  <si>
    <t>www.lixinger.com/analytics/company/sh/601963/601963/detail</t>
  </si>
  <si>
    <t>厦门国贸</t>
  </si>
  <si>
    <t>www.lixinger.com/analytics/company/sh/600755/600755/detail</t>
  </si>
  <si>
    <t>建发股份</t>
  </si>
  <si>
    <t>www.lixinger.com/analytics/company/sh/600153/600153/detail</t>
  </si>
  <si>
    <t>中国交建</t>
  </si>
  <si>
    <t>www.lixinger.com/analytics/company/sh/601800/601800/detail</t>
  </si>
  <si>
    <t>保利发展</t>
  </si>
  <si>
    <t>www.lixinger.com/analytics/company/sh/600048/600048/detail</t>
  </si>
  <si>
    <t>中国铁建</t>
  </si>
  <si>
    <t>www.lixinger.com/analytics/company/sh/601186/601186/detail</t>
  </si>
  <si>
    <t>中国石化</t>
  </si>
  <si>
    <t>www.lixinger.com/analytics/company/sh/600028/600028/detail</t>
  </si>
  <si>
    <t>中国中铁</t>
  </si>
  <si>
    <t>www.lixinger.com/analytics/company/sh/601390/601390/detail</t>
  </si>
  <si>
    <t>中航产融</t>
  </si>
  <si>
    <t>www.lixinger.com/analytics/company/sh/600705/600705/detail</t>
  </si>
  <si>
    <t>中国建筑</t>
  </si>
  <si>
    <t>www.lixinger.com/analytics/company/sh/601668/601668/detail</t>
  </si>
  <si>
    <t>光大银行</t>
  </si>
  <si>
    <t>www.lixinger.com/analytics/company/sh/601818/601818/detail</t>
  </si>
  <si>
    <t>兴业银行</t>
  </si>
  <si>
    <t>www.lixinger.com/analytics/company/sh/601166/601166/detail</t>
  </si>
  <si>
    <t>浦发银行</t>
  </si>
  <si>
    <t>www.lixinger.com/analytics/company/sh/600000/600000/detail</t>
  </si>
  <si>
    <t>中国银行</t>
  </si>
  <si>
    <t>www.lixinger.com/analytics/company/sh/601988/601988/detail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</si>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</sst>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1207219000000</v>
      </c>
      <c r="F2">
        <v>612669000000</v>
      </c>
      <c r="G2">
        <v>1948937000000</v>
      </c>
      <c r="H2">
        <v>1044774000000</v>
      </c>
      <c r="I2">
        <v>62160000000</v>
      </c>
      <c r="J2">
        <v>109306000000</v>
      </c>
      <c r="K2">
        <v>199614000000</v>
      </c>
      <c r="L2">
        <v>518295000000</v>
      </c>
      <c r="M2">
        <v>247991000000</v>
      </c>
      <c r="N2">
        <v>323021000000</v>
      </c>
      <c r="O2">
        <v>399732000000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E3">
        <v>479940000000</v>
      </c>
      <c r="F3">
        <v>253365000000</v>
      </c>
      <c r="G3">
        <v>495018000000</v>
      </c>
      <c r="H3">
        <v>281660000000</v>
      </c>
      <c r="I3">
        <v>348373000000</v>
      </c>
      <c r="J3">
        <v>263313000000</v>
      </c>
      <c r="K3">
        <v>360031000000</v>
      </c>
      <c r="L3">
        <v>270093000000</v>
      </c>
      <c r="M3">
        <v>256705000000</v>
      </c>
      <c r="N3">
        <v>-135857000000</v>
      </c>
      <c r="O3">
        <v>246722000000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E4">
        <v>367281000000</v>
      </c>
      <c r="F4">
        <v>382770000000</v>
      </c>
      <c r="G4">
        <v>262567000000</v>
      </c>
      <c r="H4">
        <v>263874000000</v>
      </c>
      <c r="I4">
        <v>-117938000000</v>
      </c>
      <c r="J4">
        <v>294126000000</v>
      </c>
      <c r="K4">
        <v>191116000000</v>
      </c>
      <c r="L4">
        <v>385266000000</v>
      </c>
      <c r="M4">
        <v>172274000000</v>
      </c>
      <c r="N4">
        <v>208204000000</v>
      </c>
      <c r="O4">
        <v>443574000000</v>
      </c>
      <c r="P4">
        <v>9498</v>
      </c>
      <c r="Q4" t="s">
        <v>24</v>
      </c>
    </row>
    <row r="5" spans="1:17" x14ac:dyDescent="0.3">
      <c r="A5" t="s">
        <v>17</v>
      </c>
      <c r="B5" t="str">
        <f>"601318"</f>
        <v>601318</v>
      </c>
      <c r="C5" t="s">
        <v>25</v>
      </c>
      <c r="D5" t="s">
        <v>26</v>
      </c>
      <c r="E5">
        <v>246716000000</v>
      </c>
      <c r="F5">
        <v>64872000000</v>
      </c>
      <c r="G5">
        <v>128201000000</v>
      </c>
      <c r="H5">
        <v>160074000000</v>
      </c>
      <c r="I5">
        <v>139867000000</v>
      </c>
      <c r="J5">
        <v>-41685000000</v>
      </c>
      <c r="K5">
        <v>119272000000</v>
      </c>
      <c r="L5">
        <v>61149000000</v>
      </c>
      <c r="M5">
        <v>106400000000</v>
      </c>
      <c r="N5">
        <v>60682000000</v>
      </c>
      <c r="O5">
        <v>109421000000</v>
      </c>
      <c r="P5">
        <v>27845</v>
      </c>
      <c r="Q5" t="s">
        <v>27</v>
      </c>
    </row>
    <row r="6" spans="1:17" x14ac:dyDescent="0.3">
      <c r="A6" t="s">
        <v>17</v>
      </c>
      <c r="B6" t="str">
        <f>"601628"</f>
        <v>601628</v>
      </c>
      <c r="C6" t="s">
        <v>28</v>
      </c>
      <c r="D6" t="s">
        <v>26</v>
      </c>
      <c r="E6">
        <v>174337000000</v>
      </c>
      <c r="F6">
        <v>165104000000</v>
      </c>
      <c r="G6">
        <v>125309000000</v>
      </c>
      <c r="H6">
        <v>111765000000</v>
      </c>
      <c r="I6">
        <v>22782000000</v>
      </c>
      <c r="J6">
        <v>105981000000</v>
      </c>
      <c r="K6">
        <v>354000000</v>
      </c>
      <c r="L6">
        <v>392000000</v>
      </c>
      <c r="M6">
        <v>50419000000</v>
      </c>
      <c r="N6">
        <v>18877000000</v>
      </c>
      <c r="O6">
        <v>31445000000</v>
      </c>
      <c r="P6">
        <v>1729</v>
      </c>
      <c r="Q6" t="s">
        <v>29</v>
      </c>
    </row>
    <row r="7" spans="1:17" x14ac:dyDescent="0.3">
      <c r="A7" t="s">
        <v>17</v>
      </c>
      <c r="B7" t="str">
        <f>"600919"</f>
        <v>600919</v>
      </c>
      <c r="C7" t="s">
        <v>30</v>
      </c>
      <c r="D7" t="s">
        <v>31</v>
      </c>
      <c r="E7">
        <v>153554289000</v>
      </c>
      <c r="F7">
        <v>87121728000</v>
      </c>
      <c r="G7">
        <v>54538573000</v>
      </c>
      <c r="H7">
        <v>24051674000</v>
      </c>
      <c r="I7">
        <v>-19518717000</v>
      </c>
      <c r="J7">
        <v>-28624986000</v>
      </c>
      <c r="K7">
        <v>30758114000</v>
      </c>
      <c r="P7">
        <v>1465</v>
      </c>
      <c r="Q7" t="s">
        <v>32</v>
      </c>
    </row>
    <row r="8" spans="1:17" x14ac:dyDescent="0.3">
      <c r="A8" t="s">
        <v>33</v>
      </c>
      <c r="B8" t="str">
        <f>"002142"</f>
        <v>002142</v>
      </c>
      <c r="C8" t="s">
        <v>34</v>
      </c>
      <c r="D8" t="s">
        <v>31</v>
      </c>
      <c r="E8">
        <v>151057000000</v>
      </c>
      <c r="F8">
        <v>7858000000</v>
      </c>
      <c r="G8">
        <v>59542932000</v>
      </c>
      <c r="H8">
        <v>-39032749000</v>
      </c>
      <c r="I8">
        <v>762859000</v>
      </c>
      <c r="J8">
        <v>11718653000</v>
      </c>
      <c r="K8">
        <v>81272721000</v>
      </c>
      <c r="L8">
        <v>584343000</v>
      </c>
      <c r="M8">
        <v>27211732000</v>
      </c>
      <c r="N8">
        <v>34280627000</v>
      </c>
      <c r="O8">
        <v>-8915388000</v>
      </c>
      <c r="P8">
        <v>59332</v>
      </c>
      <c r="Q8" t="s">
        <v>35</v>
      </c>
    </row>
    <row r="9" spans="1:17" x14ac:dyDescent="0.3">
      <c r="A9" t="s">
        <v>33</v>
      </c>
      <c r="B9" t="str">
        <f>"000001"</f>
        <v>000001</v>
      </c>
      <c r="C9" t="s">
        <v>36</v>
      </c>
      <c r="D9" t="s">
        <v>37</v>
      </c>
      <c r="E9">
        <v>147127000000</v>
      </c>
      <c r="F9">
        <v>-11553000000</v>
      </c>
      <c r="G9">
        <v>17989000000</v>
      </c>
      <c r="H9">
        <v>53184000000</v>
      </c>
      <c r="I9">
        <v>41442000000</v>
      </c>
      <c r="J9">
        <v>-115008000000</v>
      </c>
      <c r="K9">
        <v>59268000000</v>
      </c>
      <c r="L9">
        <v>11495000000</v>
      </c>
      <c r="M9">
        <v>60097000000</v>
      </c>
      <c r="N9">
        <v>14119000000</v>
      </c>
      <c r="O9">
        <v>76827816000</v>
      </c>
      <c r="P9">
        <v>6180</v>
      </c>
      <c r="Q9" t="s">
        <v>38</v>
      </c>
    </row>
    <row r="10" spans="1:17" x14ac:dyDescent="0.3">
      <c r="A10" t="s">
        <v>17</v>
      </c>
      <c r="B10" t="str">
        <f>"601658"</f>
        <v>601658</v>
      </c>
      <c r="C10" t="s">
        <v>39</v>
      </c>
      <c r="D10" t="s">
        <v>19</v>
      </c>
      <c r="E10">
        <v>143558000000</v>
      </c>
      <c r="F10">
        <v>112904000000</v>
      </c>
      <c r="G10">
        <v>85756000000</v>
      </c>
      <c r="H10">
        <v>346421000000</v>
      </c>
      <c r="I10">
        <v>-238941000000</v>
      </c>
      <c r="J10">
        <v>-135539000000</v>
      </c>
      <c r="P10">
        <v>1193</v>
      </c>
      <c r="Q10" t="s">
        <v>40</v>
      </c>
    </row>
    <row r="11" spans="1:17" x14ac:dyDescent="0.3">
      <c r="A11" t="s">
        <v>17</v>
      </c>
      <c r="B11" t="str">
        <f>"600016"</f>
        <v>600016</v>
      </c>
      <c r="C11" t="s">
        <v>41</v>
      </c>
      <c r="D11" t="s">
        <v>37</v>
      </c>
      <c r="E11">
        <v>142204000000</v>
      </c>
      <c r="F11">
        <v>61197000000</v>
      </c>
      <c r="G11">
        <v>132501000000</v>
      </c>
      <c r="H11">
        <v>78521000000</v>
      </c>
      <c r="I11">
        <v>-122607000000</v>
      </c>
      <c r="J11">
        <v>-43896000000</v>
      </c>
      <c r="K11">
        <v>176628000000</v>
      </c>
      <c r="L11">
        <v>65227000000</v>
      </c>
      <c r="M11">
        <v>53497000000</v>
      </c>
      <c r="N11">
        <v>22422000000</v>
      </c>
      <c r="O11">
        <v>-43139000000</v>
      </c>
      <c r="P11">
        <v>20730</v>
      </c>
      <c r="Q11" t="s">
        <v>42</v>
      </c>
    </row>
    <row r="12" spans="1:17" x14ac:dyDescent="0.3">
      <c r="A12" t="s">
        <v>17</v>
      </c>
      <c r="B12" t="str">
        <f>"601328"</f>
        <v>601328</v>
      </c>
      <c r="C12" t="s">
        <v>43</v>
      </c>
      <c r="D12" t="s">
        <v>19</v>
      </c>
      <c r="E12">
        <v>101621000000</v>
      </c>
      <c r="F12">
        <v>-82366000000</v>
      </c>
      <c r="G12">
        <v>142946000000</v>
      </c>
      <c r="H12">
        <v>-7298000000</v>
      </c>
      <c r="I12">
        <v>13920000000</v>
      </c>
      <c r="J12">
        <v>47254000000</v>
      </c>
      <c r="K12">
        <v>-20314000000</v>
      </c>
      <c r="L12">
        <v>77025000000</v>
      </c>
      <c r="M12">
        <v>-61745000000</v>
      </c>
      <c r="N12">
        <v>11574000000</v>
      </c>
      <c r="O12">
        <v>43667000000</v>
      </c>
      <c r="P12">
        <v>4577</v>
      </c>
      <c r="Q12" t="s">
        <v>44</v>
      </c>
    </row>
    <row r="13" spans="1:17" x14ac:dyDescent="0.3">
      <c r="A13" t="s">
        <v>17</v>
      </c>
      <c r="B13" t="str">
        <f>"601857"</f>
        <v>601857</v>
      </c>
      <c r="C13" t="s">
        <v>45</v>
      </c>
      <c r="D13" t="s">
        <v>46</v>
      </c>
      <c r="E13">
        <v>84425000000</v>
      </c>
      <c r="F13">
        <v>-1800000000</v>
      </c>
      <c r="G13">
        <v>-18096000000</v>
      </c>
      <c r="H13">
        <v>62022000000</v>
      </c>
      <c r="I13">
        <v>61802000000</v>
      </c>
      <c r="J13">
        <v>72988000000</v>
      </c>
      <c r="K13">
        <v>61032000000</v>
      </c>
      <c r="L13">
        <v>29398000000</v>
      </c>
      <c r="M13">
        <v>20561000000</v>
      </c>
      <c r="N13">
        <v>17093000000</v>
      </c>
      <c r="O13">
        <v>21844000000</v>
      </c>
      <c r="P13">
        <v>1280</v>
      </c>
      <c r="Q13" t="s">
        <v>47</v>
      </c>
    </row>
    <row r="14" spans="1:17" x14ac:dyDescent="0.3">
      <c r="A14" t="s">
        <v>17</v>
      </c>
      <c r="B14" t="str">
        <f>"600941"</f>
        <v>600941</v>
      </c>
      <c r="C14" t="s">
        <v>48</v>
      </c>
      <c r="D14" t="s">
        <v>49</v>
      </c>
      <c r="E14">
        <v>77770000000</v>
      </c>
      <c r="P14">
        <v>114</v>
      </c>
      <c r="Q14" t="s">
        <v>50</v>
      </c>
    </row>
    <row r="15" spans="1:17" x14ac:dyDescent="0.3">
      <c r="A15" t="s">
        <v>17</v>
      </c>
      <c r="B15" t="str">
        <f>"600030"</f>
        <v>600030</v>
      </c>
      <c r="C15" t="s">
        <v>51</v>
      </c>
      <c r="D15" t="s">
        <v>52</v>
      </c>
      <c r="E15">
        <v>77422190259</v>
      </c>
      <c r="F15">
        <v>-17715768931</v>
      </c>
      <c r="G15">
        <v>30547460596</v>
      </c>
      <c r="H15">
        <v>25907060835</v>
      </c>
      <c r="I15">
        <v>15113546006</v>
      </c>
      <c r="J15">
        <v>-37941681789</v>
      </c>
      <c r="K15">
        <v>-14500821524</v>
      </c>
      <c r="L15">
        <v>19860687192</v>
      </c>
      <c r="M15">
        <v>3191227409</v>
      </c>
      <c r="N15">
        <v>-5398133463</v>
      </c>
      <c r="O15">
        <v>848789693</v>
      </c>
      <c r="P15">
        <v>5754</v>
      </c>
      <c r="Q15" t="s">
        <v>53</v>
      </c>
    </row>
    <row r="16" spans="1:17" x14ac:dyDescent="0.3">
      <c r="A16" t="s">
        <v>17</v>
      </c>
      <c r="B16" t="str">
        <f>"601919"</f>
        <v>601919</v>
      </c>
      <c r="C16" t="s">
        <v>54</v>
      </c>
      <c r="D16" t="s">
        <v>55</v>
      </c>
      <c r="E16">
        <v>62528804530</v>
      </c>
      <c r="F16">
        <v>26978167591</v>
      </c>
      <c r="G16">
        <v>1534076759</v>
      </c>
      <c r="H16">
        <v>4092407568</v>
      </c>
      <c r="I16">
        <v>-529194191</v>
      </c>
      <c r="J16">
        <v>-643866567</v>
      </c>
      <c r="K16">
        <v>-577564062</v>
      </c>
      <c r="L16">
        <v>1108793111</v>
      </c>
      <c r="M16">
        <v>-128336974</v>
      </c>
      <c r="N16">
        <v>-2972178802</v>
      </c>
      <c r="O16">
        <v>-2917450747</v>
      </c>
      <c r="P16">
        <v>1359</v>
      </c>
      <c r="Q16" t="s">
        <v>56</v>
      </c>
    </row>
    <row r="17" spans="1:17" x14ac:dyDescent="0.3">
      <c r="A17" t="s">
        <v>17</v>
      </c>
      <c r="B17" t="str">
        <f>"601077"</f>
        <v>601077</v>
      </c>
      <c r="C17" t="s">
        <v>57</v>
      </c>
      <c r="D17" t="s">
        <v>58</v>
      </c>
      <c r="E17">
        <v>53626999000</v>
      </c>
      <c r="F17">
        <v>16668221000</v>
      </c>
      <c r="G17">
        <v>41336007000</v>
      </c>
      <c r="H17">
        <v>26656439000</v>
      </c>
      <c r="K17">
        <v>-14220265000</v>
      </c>
      <c r="L17">
        <v>23711004000</v>
      </c>
      <c r="M17">
        <v>21601850000</v>
      </c>
      <c r="N17">
        <v>-5967146000</v>
      </c>
      <c r="P17">
        <v>509</v>
      </c>
      <c r="Q17" t="s">
        <v>59</v>
      </c>
    </row>
    <row r="18" spans="1:17" x14ac:dyDescent="0.3">
      <c r="A18" t="s">
        <v>17</v>
      </c>
      <c r="B18" t="str">
        <f>"601601"</f>
        <v>601601</v>
      </c>
      <c r="C18" t="s">
        <v>60</v>
      </c>
      <c r="D18" t="s">
        <v>26</v>
      </c>
      <c r="E18">
        <v>52389000000</v>
      </c>
      <c r="F18">
        <v>36055000000</v>
      </c>
      <c r="G18">
        <v>43621000000</v>
      </c>
      <c r="H18">
        <v>46314000000</v>
      </c>
      <c r="I18">
        <v>43313000000</v>
      </c>
      <c r="J18">
        <v>26426000000</v>
      </c>
      <c r="K18">
        <v>16000000000</v>
      </c>
      <c r="L18">
        <v>6358000000</v>
      </c>
      <c r="M18">
        <v>17738000000</v>
      </c>
      <c r="N18">
        <v>12870000000</v>
      </c>
      <c r="O18">
        <v>20742000000</v>
      </c>
      <c r="P18">
        <v>2648</v>
      </c>
      <c r="Q18" t="s">
        <v>61</v>
      </c>
    </row>
    <row r="19" spans="1:17" x14ac:dyDescent="0.3">
      <c r="A19" t="s">
        <v>17</v>
      </c>
      <c r="B19" t="str">
        <f>"601916"</f>
        <v>601916</v>
      </c>
      <c r="C19" t="s">
        <v>62</v>
      </c>
      <c r="D19" t="s">
        <v>37</v>
      </c>
      <c r="E19">
        <v>48348000000</v>
      </c>
      <c r="F19">
        <v>-70128000000</v>
      </c>
      <c r="G19">
        <v>34031153000</v>
      </c>
      <c r="H19">
        <v>8142364000</v>
      </c>
      <c r="I19">
        <v>-53963181000</v>
      </c>
      <c r="J19">
        <v>9817353000</v>
      </c>
      <c r="P19">
        <v>537</v>
      </c>
      <c r="Q19" t="s">
        <v>63</v>
      </c>
    </row>
    <row r="20" spans="1:17" x14ac:dyDescent="0.3">
      <c r="A20" t="s">
        <v>17</v>
      </c>
      <c r="B20" t="str">
        <f>"601825"</f>
        <v>601825</v>
      </c>
      <c r="C20" t="s">
        <v>64</v>
      </c>
      <c r="D20" t="s">
        <v>58</v>
      </c>
      <c r="E20">
        <v>44327465000</v>
      </c>
      <c r="F20">
        <v>-1694921000</v>
      </c>
      <c r="G20">
        <v>-14890064000</v>
      </c>
      <c r="P20">
        <v>57</v>
      </c>
      <c r="Q20" t="s">
        <v>65</v>
      </c>
    </row>
    <row r="21" spans="1:17" x14ac:dyDescent="0.3">
      <c r="A21" t="s">
        <v>17</v>
      </c>
      <c r="B21" t="str">
        <f>"600938"</f>
        <v>600938</v>
      </c>
      <c r="C21" t="s">
        <v>66</v>
      </c>
      <c r="E21">
        <v>39416000000</v>
      </c>
      <c r="P21">
        <v>26</v>
      </c>
      <c r="Q21" t="s">
        <v>67</v>
      </c>
    </row>
    <row r="22" spans="1:17" x14ac:dyDescent="0.3">
      <c r="A22" t="s">
        <v>17</v>
      </c>
      <c r="B22" t="str">
        <f>"600015"</f>
        <v>600015</v>
      </c>
      <c r="C22" t="s">
        <v>68</v>
      </c>
      <c r="D22" t="s">
        <v>37</v>
      </c>
      <c r="E22">
        <v>39199000000</v>
      </c>
      <c r="F22">
        <v>-19973000000</v>
      </c>
      <c r="G22">
        <v>4256000000</v>
      </c>
      <c r="H22">
        <v>48002000000</v>
      </c>
      <c r="I22">
        <v>-61406000000</v>
      </c>
      <c r="J22">
        <v>7489000000</v>
      </c>
      <c r="K22">
        <v>-102004000000</v>
      </c>
      <c r="L22">
        <v>-26203000000</v>
      </c>
      <c r="M22">
        <v>-54174000000</v>
      </c>
      <c r="N22">
        <v>-15546352682</v>
      </c>
      <c r="O22">
        <v>-7385782768</v>
      </c>
      <c r="P22">
        <v>1538</v>
      </c>
      <c r="Q22" t="s">
        <v>69</v>
      </c>
    </row>
    <row r="23" spans="1:17" x14ac:dyDescent="0.3">
      <c r="A23" t="s">
        <v>17</v>
      </c>
      <c r="B23" t="str">
        <f>"601336"</f>
        <v>601336</v>
      </c>
      <c r="C23" t="s">
        <v>70</v>
      </c>
      <c r="D23" t="s">
        <v>26</v>
      </c>
      <c r="E23">
        <v>36149000000</v>
      </c>
      <c r="F23">
        <v>26043000000</v>
      </c>
      <c r="G23">
        <v>28697000000</v>
      </c>
      <c r="H23">
        <v>9789000000</v>
      </c>
      <c r="I23">
        <v>-489000000</v>
      </c>
      <c r="J23">
        <v>-4900000000</v>
      </c>
      <c r="K23">
        <v>4825000000</v>
      </c>
      <c r="L23">
        <v>5773000000</v>
      </c>
      <c r="M23">
        <v>26844000000</v>
      </c>
      <c r="N23">
        <v>14931000000</v>
      </c>
      <c r="O23">
        <v>22405000000</v>
      </c>
      <c r="P23">
        <v>1856</v>
      </c>
      <c r="Q23" t="s">
        <v>71</v>
      </c>
    </row>
    <row r="24" spans="1:17" x14ac:dyDescent="0.3">
      <c r="A24" t="s">
        <v>17</v>
      </c>
      <c r="B24" t="str">
        <f>"601229"</f>
        <v>601229</v>
      </c>
      <c r="C24" t="s">
        <v>72</v>
      </c>
      <c r="D24" t="s">
        <v>31</v>
      </c>
      <c r="E24">
        <v>30590863000</v>
      </c>
      <c r="F24">
        <v>-14440378000</v>
      </c>
      <c r="G24">
        <v>35598090000</v>
      </c>
      <c r="H24">
        <v>3225393000</v>
      </c>
      <c r="I24">
        <v>-82595773000</v>
      </c>
      <c r="J24">
        <v>-23513436000</v>
      </c>
      <c r="K24">
        <v>26629737000</v>
      </c>
      <c r="P24">
        <v>1546</v>
      </c>
      <c r="Q24" t="s">
        <v>73</v>
      </c>
    </row>
    <row r="25" spans="1:17" x14ac:dyDescent="0.3">
      <c r="A25" t="s">
        <v>17</v>
      </c>
      <c r="B25" t="str">
        <f>"601998"</f>
        <v>601998</v>
      </c>
      <c r="C25" t="s">
        <v>74</v>
      </c>
      <c r="D25" t="s">
        <v>37</v>
      </c>
      <c r="E25">
        <v>29757000000</v>
      </c>
      <c r="F25">
        <v>-31120000000</v>
      </c>
      <c r="G25">
        <v>-72923000000</v>
      </c>
      <c r="H25">
        <v>-8434000000</v>
      </c>
      <c r="I25">
        <v>-56207000000</v>
      </c>
      <c r="J25">
        <v>-158595000000</v>
      </c>
      <c r="K25">
        <v>53508000000</v>
      </c>
      <c r="L25">
        <v>-31117000000</v>
      </c>
      <c r="M25">
        <v>-13074000000</v>
      </c>
      <c r="N25">
        <v>-64413000000</v>
      </c>
      <c r="O25">
        <v>-126654000000</v>
      </c>
      <c r="P25">
        <v>1903</v>
      </c>
      <c r="Q25" t="s">
        <v>75</v>
      </c>
    </row>
    <row r="26" spans="1:17" x14ac:dyDescent="0.3">
      <c r="A26" t="s">
        <v>17</v>
      </c>
      <c r="B26" t="str">
        <f>"601088"</f>
        <v>601088</v>
      </c>
      <c r="C26" t="s">
        <v>76</v>
      </c>
      <c r="D26" t="s">
        <v>77</v>
      </c>
      <c r="E26">
        <v>28436000000</v>
      </c>
      <c r="F26">
        <v>19614000000</v>
      </c>
      <c r="G26">
        <v>29984000000</v>
      </c>
      <c r="H26">
        <v>30964000000</v>
      </c>
      <c r="I26">
        <v>11810000000</v>
      </c>
      <c r="J26">
        <v>24983000000</v>
      </c>
      <c r="K26">
        <v>15225000000</v>
      </c>
      <c r="L26">
        <v>9995000000</v>
      </c>
      <c r="M26">
        <v>6035000000</v>
      </c>
      <c r="N26">
        <v>13146000000</v>
      </c>
      <c r="O26">
        <v>17045000000</v>
      </c>
      <c r="P26">
        <v>3939</v>
      </c>
      <c r="Q26" t="s">
        <v>78</v>
      </c>
    </row>
    <row r="27" spans="1:17" x14ac:dyDescent="0.3">
      <c r="A27" t="s">
        <v>17</v>
      </c>
      <c r="B27" t="str">
        <f>"601728"</f>
        <v>601728</v>
      </c>
      <c r="C27" t="s">
        <v>79</v>
      </c>
      <c r="D27" t="s">
        <v>49</v>
      </c>
      <c r="E27">
        <v>28273069596</v>
      </c>
      <c r="F27">
        <v>27696000000</v>
      </c>
      <c r="G27">
        <v>23434000000</v>
      </c>
      <c r="P27">
        <v>144</v>
      </c>
      <c r="Q27" t="s">
        <v>80</v>
      </c>
    </row>
    <row r="28" spans="1:17" x14ac:dyDescent="0.3">
      <c r="A28" t="s">
        <v>17</v>
      </c>
      <c r="B28" t="str">
        <f>"601319"</f>
        <v>601319</v>
      </c>
      <c r="C28" t="s">
        <v>81</v>
      </c>
      <c r="D28" t="s">
        <v>26</v>
      </c>
      <c r="E28">
        <v>23618000000</v>
      </c>
      <c r="F28">
        <v>23198000000</v>
      </c>
      <c r="G28">
        <v>1965000000</v>
      </c>
      <c r="H28">
        <v>-11621000000</v>
      </c>
      <c r="I28">
        <v>-30324000000</v>
      </c>
      <c r="P28">
        <v>901</v>
      </c>
      <c r="Q28" t="s">
        <v>82</v>
      </c>
    </row>
    <row r="29" spans="1:17" x14ac:dyDescent="0.3">
      <c r="A29" t="s">
        <v>17</v>
      </c>
      <c r="B29" t="str">
        <f>"601555"</f>
        <v>601555</v>
      </c>
      <c r="C29" t="s">
        <v>83</v>
      </c>
      <c r="D29" t="s">
        <v>52</v>
      </c>
      <c r="E29">
        <v>21849308104</v>
      </c>
      <c r="F29">
        <v>4822986131</v>
      </c>
      <c r="G29">
        <v>3881239666</v>
      </c>
      <c r="H29">
        <v>5422483104</v>
      </c>
      <c r="I29">
        <v>3724645003</v>
      </c>
      <c r="J29">
        <v>-5814643200</v>
      </c>
      <c r="K29">
        <v>-2513339630</v>
      </c>
      <c r="L29">
        <v>5150202287</v>
      </c>
      <c r="M29">
        <v>-121363143</v>
      </c>
      <c r="N29">
        <v>-730176724</v>
      </c>
      <c r="O29">
        <v>-27677838</v>
      </c>
      <c r="P29">
        <v>937</v>
      </c>
      <c r="Q29" t="s">
        <v>84</v>
      </c>
    </row>
    <row r="30" spans="1:17" x14ac:dyDescent="0.3">
      <c r="A30" t="s">
        <v>17</v>
      </c>
      <c r="B30" t="str">
        <f>"600999"</f>
        <v>600999</v>
      </c>
      <c r="C30" t="s">
        <v>85</v>
      </c>
      <c r="D30" t="s">
        <v>52</v>
      </c>
      <c r="E30">
        <v>21250974414</v>
      </c>
      <c r="F30">
        <v>-21158299526</v>
      </c>
      <c r="G30">
        <v>16376029897</v>
      </c>
      <c r="H30">
        <v>22882428580</v>
      </c>
      <c r="I30">
        <v>15399263019</v>
      </c>
      <c r="J30">
        <v>-5216332597</v>
      </c>
      <c r="K30">
        <v>10303682455</v>
      </c>
      <c r="L30">
        <v>-15999395962</v>
      </c>
      <c r="M30">
        <v>3402971705</v>
      </c>
      <c r="N30">
        <v>-9322624367</v>
      </c>
      <c r="O30">
        <v>2552091250</v>
      </c>
      <c r="P30">
        <v>2820</v>
      </c>
      <c r="Q30" t="s">
        <v>86</v>
      </c>
    </row>
    <row r="31" spans="1:17" x14ac:dyDescent="0.3">
      <c r="A31" t="s">
        <v>17</v>
      </c>
      <c r="B31" t="str">
        <f>"601788"</f>
        <v>601788</v>
      </c>
      <c r="C31" t="s">
        <v>87</v>
      </c>
      <c r="D31" t="s">
        <v>52</v>
      </c>
      <c r="E31">
        <v>19645195082</v>
      </c>
      <c r="F31">
        <v>6758024184</v>
      </c>
      <c r="G31">
        <v>23283803730</v>
      </c>
      <c r="H31">
        <v>24929118470</v>
      </c>
      <c r="I31">
        <v>4422520761</v>
      </c>
      <c r="J31">
        <v>-8431000908</v>
      </c>
      <c r="K31">
        <v>6466446147</v>
      </c>
      <c r="L31">
        <v>983478775</v>
      </c>
      <c r="M31">
        <v>1357767024</v>
      </c>
      <c r="N31">
        <v>667141652</v>
      </c>
      <c r="O31">
        <v>2239537734</v>
      </c>
      <c r="P31">
        <v>1149</v>
      </c>
      <c r="Q31" t="s">
        <v>88</v>
      </c>
    </row>
    <row r="32" spans="1:17" x14ac:dyDescent="0.3">
      <c r="A32" t="s">
        <v>33</v>
      </c>
      <c r="B32" t="str">
        <f>"002493"</f>
        <v>002493</v>
      </c>
      <c r="C32" t="s">
        <v>89</v>
      </c>
      <c r="D32" t="s">
        <v>46</v>
      </c>
      <c r="E32">
        <v>18597950649</v>
      </c>
      <c r="F32">
        <v>5200674067</v>
      </c>
      <c r="G32">
        <v>-2128886674</v>
      </c>
      <c r="H32">
        <v>1845262220</v>
      </c>
      <c r="I32">
        <v>142304604</v>
      </c>
      <c r="J32">
        <v>580065212</v>
      </c>
      <c r="K32">
        <v>158770125</v>
      </c>
      <c r="L32">
        <v>414001445</v>
      </c>
      <c r="M32">
        <v>1066445887</v>
      </c>
      <c r="N32">
        <v>142577100</v>
      </c>
      <c r="O32">
        <v>273269566</v>
      </c>
      <c r="P32">
        <v>852</v>
      </c>
      <c r="Q32" t="s">
        <v>90</v>
      </c>
    </row>
    <row r="33" spans="1:17" x14ac:dyDescent="0.3">
      <c r="A33" t="s">
        <v>33</v>
      </c>
      <c r="B33" t="str">
        <f>"200725"</f>
        <v>200725</v>
      </c>
      <c r="C33" t="s">
        <v>91</v>
      </c>
      <c r="E33">
        <v>18208124988.139999</v>
      </c>
      <c r="F33">
        <v>17202295342.625999</v>
      </c>
      <c r="G33">
        <v>5708951040.2750998</v>
      </c>
      <c r="H33">
        <v>7206614603.2034998</v>
      </c>
      <c r="I33">
        <v>9001210064.4080009</v>
      </c>
      <c r="J33">
        <v>7012947408.0522003</v>
      </c>
      <c r="K33">
        <v>3324783306.4018998</v>
      </c>
      <c r="L33">
        <v>2878192061.25</v>
      </c>
      <c r="M33">
        <v>2097418030.3571999</v>
      </c>
      <c r="N33">
        <v>1825447297.9433999</v>
      </c>
      <c r="O33">
        <v>-54555267.446999997</v>
      </c>
      <c r="P33">
        <v>85</v>
      </c>
      <c r="Q33" t="s">
        <v>92</v>
      </c>
    </row>
    <row r="34" spans="1:17" x14ac:dyDescent="0.3">
      <c r="A34" t="s">
        <v>17</v>
      </c>
      <c r="B34" t="str">
        <f>"601211"</f>
        <v>601211</v>
      </c>
      <c r="C34" t="s">
        <v>93</v>
      </c>
      <c r="D34" t="s">
        <v>52</v>
      </c>
      <c r="E34">
        <v>17957075466</v>
      </c>
      <c r="F34">
        <v>-13706796896</v>
      </c>
      <c r="G34">
        <v>15626575785</v>
      </c>
      <c r="H34">
        <v>15410305333</v>
      </c>
      <c r="I34">
        <v>33012209174</v>
      </c>
      <c r="J34">
        <v>-23466874592</v>
      </c>
      <c r="K34">
        <v>-496922447</v>
      </c>
      <c r="L34">
        <v>21702192120</v>
      </c>
      <c r="M34">
        <v>9308132393</v>
      </c>
      <c r="P34">
        <v>3571</v>
      </c>
      <c r="Q34" t="s">
        <v>94</v>
      </c>
    </row>
    <row r="35" spans="1:17" x14ac:dyDescent="0.3">
      <c r="A35" t="s">
        <v>17</v>
      </c>
      <c r="B35" t="str">
        <f>"601881"</f>
        <v>601881</v>
      </c>
      <c r="C35" t="s">
        <v>95</v>
      </c>
      <c r="D35" t="s">
        <v>52</v>
      </c>
      <c r="E35">
        <v>17432704552</v>
      </c>
      <c r="F35">
        <v>9144476447</v>
      </c>
      <c r="G35">
        <v>21111502558</v>
      </c>
      <c r="H35">
        <v>22919607764</v>
      </c>
      <c r="I35">
        <v>5227542522</v>
      </c>
      <c r="J35">
        <v>-14582407046</v>
      </c>
      <c r="K35">
        <v>-3960839531</v>
      </c>
      <c r="P35">
        <v>1598</v>
      </c>
      <c r="Q35" t="s">
        <v>96</v>
      </c>
    </row>
    <row r="36" spans="1:17" x14ac:dyDescent="0.3">
      <c r="A36" t="s">
        <v>17</v>
      </c>
      <c r="B36" t="str">
        <f>"601860"</f>
        <v>601860</v>
      </c>
      <c r="C36" t="s">
        <v>97</v>
      </c>
      <c r="D36" t="s">
        <v>58</v>
      </c>
      <c r="E36">
        <v>17201054000</v>
      </c>
      <c r="F36">
        <v>-367721000</v>
      </c>
      <c r="G36">
        <v>5563333000</v>
      </c>
      <c r="H36">
        <v>8788849000</v>
      </c>
      <c r="I36">
        <v>13242458000</v>
      </c>
      <c r="K36">
        <v>5242254368</v>
      </c>
      <c r="P36">
        <v>332</v>
      </c>
      <c r="Q36" t="s">
        <v>98</v>
      </c>
    </row>
    <row r="37" spans="1:17" x14ac:dyDescent="0.3">
      <c r="A37" t="s">
        <v>33</v>
      </c>
      <c r="B37" t="str">
        <f>"002966"</f>
        <v>002966</v>
      </c>
      <c r="C37" t="s">
        <v>99</v>
      </c>
      <c r="D37" t="s">
        <v>31</v>
      </c>
      <c r="E37">
        <v>15664516971</v>
      </c>
      <c r="F37">
        <v>16546288028</v>
      </c>
      <c r="G37">
        <v>-9366925285</v>
      </c>
      <c r="H37">
        <v>1157788282</v>
      </c>
      <c r="I37">
        <v>-228157158</v>
      </c>
      <c r="P37">
        <v>365</v>
      </c>
      <c r="Q37" t="s">
        <v>100</v>
      </c>
    </row>
    <row r="38" spans="1:17" x14ac:dyDescent="0.3">
      <c r="A38" t="s">
        <v>33</v>
      </c>
      <c r="B38" t="str">
        <f>"000725"</f>
        <v>000725</v>
      </c>
      <c r="C38" t="s">
        <v>101</v>
      </c>
      <c r="D38" t="s">
        <v>102</v>
      </c>
      <c r="E38">
        <v>14755368710</v>
      </c>
      <c r="F38">
        <v>14522832708</v>
      </c>
      <c r="G38">
        <v>5223671919</v>
      </c>
      <c r="H38">
        <v>6164241385</v>
      </c>
      <c r="I38">
        <v>7198088816</v>
      </c>
      <c r="J38">
        <v>6216049821</v>
      </c>
      <c r="K38">
        <v>2767654463</v>
      </c>
      <c r="L38">
        <v>2302553649</v>
      </c>
      <c r="M38">
        <v>1680084933</v>
      </c>
      <c r="N38">
        <v>1460591533</v>
      </c>
      <c r="O38">
        <v>-44245959</v>
      </c>
      <c r="P38">
        <v>4544</v>
      </c>
      <c r="Q38" t="s">
        <v>103</v>
      </c>
    </row>
    <row r="39" spans="1:17" x14ac:dyDescent="0.3">
      <c r="A39" t="s">
        <v>17</v>
      </c>
      <c r="B39" t="str">
        <f>"601066"</f>
        <v>601066</v>
      </c>
      <c r="C39" t="s">
        <v>104</v>
      </c>
      <c r="D39" t="s">
        <v>52</v>
      </c>
      <c r="E39">
        <v>14333610504</v>
      </c>
      <c r="F39">
        <v>24974605843</v>
      </c>
      <c r="G39">
        <v>-17838346896</v>
      </c>
      <c r="H39">
        <v>20426880539</v>
      </c>
      <c r="I39">
        <v>14704656955</v>
      </c>
      <c r="J39">
        <v>-10988913924</v>
      </c>
      <c r="L39">
        <v>19969058800</v>
      </c>
      <c r="P39">
        <v>1825</v>
      </c>
      <c r="Q39" t="s">
        <v>105</v>
      </c>
    </row>
    <row r="40" spans="1:17" x14ac:dyDescent="0.3">
      <c r="A40" t="s">
        <v>17</v>
      </c>
      <c r="B40" t="str">
        <f>"600050"</f>
        <v>600050</v>
      </c>
      <c r="C40" t="s">
        <v>106</v>
      </c>
      <c r="D40" t="s">
        <v>49</v>
      </c>
      <c r="E40">
        <v>14277388002</v>
      </c>
      <c r="F40">
        <v>20290837285</v>
      </c>
      <c r="G40">
        <v>18936308946</v>
      </c>
      <c r="H40">
        <v>19083898477</v>
      </c>
      <c r="I40">
        <v>25456487663</v>
      </c>
      <c r="J40">
        <v>21957939621</v>
      </c>
      <c r="K40">
        <v>16867819457</v>
      </c>
      <c r="L40">
        <v>19715060522</v>
      </c>
      <c r="M40">
        <v>19055952673</v>
      </c>
      <c r="N40">
        <v>16837678583</v>
      </c>
      <c r="O40">
        <v>17440207104</v>
      </c>
      <c r="P40">
        <v>1304</v>
      </c>
      <c r="Q40" t="s">
        <v>107</v>
      </c>
    </row>
    <row r="41" spans="1:17" x14ac:dyDescent="0.3">
      <c r="A41" t="s">
        <v>33</v>
      </c>
      <c r="B41" t="str">
        <f>"000776"</f>
        <v>000776</v>
      </c>
      <c r="C41" t="s">
        <v>108</v>
      </c>
      <c r="D41" t="s">
        <v>52</v>
      </c>
      <c r="E41">
        <v>13721694704</v>
      </c>
      <c r="F41">
        <v>-3014542854</v>
      </c>
      <c r="G41">
        <v>-6162945975</v>
      </c>
      <c r="H41">
        <v>5583978917</v>
      </c>
      <c r="I41">
        <v>18092493551</v>
      </c>
      <c r="J41">
        <v>-13157844879</v>
      </c>
      <c r="K41">
        <v>579459869</v>
      </c>
      <c r="L41">
        <v>6920430870</v>
      </c>
      <c r="M41">
        <v>-149698405</v>
      </c>
      <c r="N41">
        <v>-4559734024</v>
      </c>
      <c r="O41">
        <v>3693669768</v>
      </c>
      <c r="P41">
        <v>3522</v>
      </c>
      <c r="Q41" t="s">
        <v>109</v>
      </c>
    </row>
    <row r="42" spans="1:17" x14ac:dyDescent="0.3">
      <c r="A42" t="s">
        <v>33</v>
      </c>
      <c r="B42" t="str">
        <f>"002432"</f>
        <v>002432</v>
      </c>
      <c r="C42" t="s">
        <v>110</v>
      </c>
      <c r="D42" t="s">
        <v>111</v>
      </c>
      <c r="E42">
        <v>12719185146</v>
      </c>
      <c r="F42">
        <v>-37538104</v>
      </c>
      <c r="G42">
        <v>57534225</v>
      </c>
      <c r="H42">
        <v>-37838483</v>
      </c>
      <c r="I42">
        <v>-27160287</v>
      </c>
      <c r="J42">
        <v>-34852350</v>
      </c>
      <c r="K42">
        <v>-21795771</v>
      </c>
      <c r="L42">
        <v>-36397102</v>
      </c>
      <c r="M42">
        <v>-16964853</v>
      </c>
      <c r="N42">
        <v>-19885349</v>
      </c>
      <c r="O42">
        <v>-281164</v>
      </c>
      <c r="P42">
        <v>281</v>
      </c>
      <c r="Q42" t="s">
        <v>112</v>
      </c>
    </row>
    <row r="43" spans="1:17" x14ac:dyDescent="0.3">
      <c r="A43" t="s">
        <v>17</v>
      </c>
      <c r="B43" t="str">
        <f>"600061"</f>
        <v>600061</v>
      </c>
      <c r="C43" t="s">
        <v>113</v>
      </c>
      <c r="D43" t="s">
        <v>114</v>
      </c>
      <c r="E43">
        <v>12706456417</v>
      </c>
      <c r="F43">
        <v>10994811714</v>
      </c>
      <c r="G43">
        <v>12673661975</v>
      </c>
      <c r="H43">
        <v>1322567264</v>
      </c>
      <c r="I43">
        <v>-12516245334</v>
      </c>
      <c r="J43">
        <v>-1420841219</v>
      </c>
      <c r="K43">
        <v>-6271597065</v>
      </c>
      <c r="L43">
        <v>3328515786</v>
      </c>
      <c r="M43">
        <v>-52991241</v>
      </c>
      <c r="N43">
        <v>-151418403</v>
      </c>
      <c r="O43">
        <v>-79553791</v>
      </c>
      <c r="P43">
        <v>1304</v>
      </c>
      <c r="Q43" t="s">
        <v>115</v>
      </c>
    </row>
    <row r="44" spans="1:17" x14ac:dyDescent="0.3">
      <c r="A44" t="s">
        <v>33</v>
      </c>
      <c r="B44" t="str">
        <f>"002594"</f>
        <v>002594</v>
      </c>
      <c r="C44" t="s">
        <v>116</v>
      </c>
      <c r="D44" t="s">
        <v>117</v>
      </c>
      <c r="E44">
        <v>11933340000</v>
      </c>
      <c r="F44">
        <v>141856000</v>
      </c>
      <c r="G44">
        <v>4948683000</v>
      </c>
      <c r="H44">
        <v>407884000</v>
      </c>
      <c r="I44">
        <v>-217952000</v>
      </c>
      <c r="J44">
        <v>-2418308000</v>
      </c>
      <c r="K44">
        <v>-1253340000</v>
      </c>
      <c r="L44">
        <v>3937007000</v>
      </c>
      <c r="M44">
        <v>-1116413000</v>
      </c>
      <c r="N44">
        <v>741003000</v>
      </c>
      <c r="O44">
        <v>3161051000</v>
      </c>
      <c r="P44">
        <v>5218</v>
      </c>
      <c r="Q44" t="s">
        <v>118</v>
      </c>
    </row>
    <row r="45" spans="1:17" x14ac:dyDescent="0.3">
      <c r="A45" t="s">
        <v>17</v>
      </c>
      <c r="B45" t="str">
        <f>"601688"</f>
        <v>601688</v>
      </c>
      <c r="C45" t="s">
        <v>119</v>
      </c>
      <c r="D45" t="s">
        <v>52</v>
      </c>
      <c r="E45">
        <v>11728028969</v>
      </c>
      <c r="F45">
        <v>2855625401</v>
      </c>
      <c r="G45">
        <v>13677634866</v>
      </c>
      <c r="H45">
        <v>30486687224</v>
      </c>
      <c r="I45">
        <v>-249747826</v>
      </c>
      <c r="J45">
        <v>-21876562817</v>
      </c>
      <c r="K45">
        <v>16704552474</v>
      </c>
      <c r="L45">
        <v>28315888862</v>
      </c>
      <c r="M45">
        <v>763343407</v>
      </c>
      <c r="N45">
        <v>-1494032075</v>
      </c>
      <c r="O45">
        <v>3026040242</v>
      </c>
      <c r="P45">
        <v>6874</v>
      </c>
      <c r="Q45" t="s">
        <v>120</v>
      </c>
    </row>
    <row r="46" spans="1:17" x14ac:dyDescent="0.3">
      <c r="A46" t="s">
        <v>17</v>
      </c>
      <c r="B46" t="str">
        <f>"600346"</f>
        <v>600346</v>
      </c>
      <c r="C46" t="s">
        <v>121</v>
      </c>
      <c r="D46" t="s">
        <v>46</v>
      </c>
      <c r="E46">
        <v>10617752603</v>
      </c>
      <c r="F46">
        <v>5982600360</v>
      </c>
      <c r="G46">
        <v>7037963750</v>
      </c>
      <c r="H46">
        <v>-3805002652</v>
      </c>
      <c r="I46">
        <v>769367919</v>
      </c>
      <c r="J46">
        <v>535022858</v>
      </c>
      <c r="K46">
        <v>1152749881</v>
      </c>
      <c r="L46">
        <v>-33017829</v>
      </c>
      <c r="M46">
        <v>-14942551</v>
      </c>
      <c r="N46">
        <v>81764614</v>
      </c>
      <c r="O46">
        <v>-10244637</v>
      </c>
      <c r="P46">
        <v>1652</v>
      </c>
      <c r="Q46" t="s">
        <v>122</v>
      </c>
    </row>
    <row r="47" spans="1:17" x14ac:dyDescent="0.3">
      <c r="A47" t="s">
        <v>17</v>
      </c>
      <c r="B47" t="str">
        <f>"601985"</f>
        <v>601985</v>
      </c>
      <c r="C47" t="s">
        <v>123</v>
      </c>
      <c r="D47" t="s">
        <v>124</v>
      </c>
      <c r="E47">
        <v>10245556660</v>
      </c>
      <c r="F47">
        <v>6072510929</v>
      </c>
      <c r="G47">
        <v>5872966865</v>
      </c>
      <c r="H47">
        <v>5488167357</v>
      </c>
      <c r="I47">
        <v>4625196783</v>
      </c>
      <c r="J47">
        <v>4771321651</v>
      </c>
      <c r="K47">
        <v>3382756277</v>
      </c>
      <c r="L47">
        <v>4385010900</v>
      </c>
      <c r="M47">
        <v>2128322400</v>
      </c>
      <c r="P47">
        <v>998</v>
      </c>
      <c r="Q47" t="s">
        <v>125</v>
      </c>
    </row>
    <row r="48" spans="1:17" x14ac:dyDescent="0.3">
      <c r="A48" t="s">
        <v>17</v>
      </c>
      <c r="B48" t="str">
        <f>"601898"</f>
        <v>601898</v>
      </c>
      <c r="C48" t="s">
        <v>126</v>
      </c>
      <c r="D48" t="s">
        <v>77</v>
      </c>
      <c r="E48">
        <v>9969791000</v>
      </c>
      <c r="F48">
        <v>5835827000</v>
      </c>
      <c r="G48">
        <v>4593577000</v>
      </c>
      <c r="H48">
        <v>4133840000</v>
      </c>
      <c r="I48">
        <v>820793000</v>
      </c>
      <c r="J48">
        <v>2240172000</v>
      </c>
      <c r="K48">
        <v>-1014013000</v>
      </c>
      <c r="L48">
        <v>-4207910000</v>
      </c>
      <c r="M48">
        <v>-4086601000</v>
      </c>
      <c r="N48">
        <v>1106640000</v>
      </c>
      <c r="O48">
        <v>3040604000</v>
      </c>
      <c r="P48">
        <v>446</v>
      </c>
      <c r="Q48" t="s">
        <v>127</v>
      </c>
    </row>
    <row r="49" spans="1:17" x14ac:dyDescent="0.3">
      <c r="A49" t="s">
        <v>17</v>
      </c>
      <c r="B49" t="str">
        <f>"601187"</f>
        <v>601187</v>
      </c>
      <c r="C49" t="s">
        <v>128</v>
      </c>
      <c r="D49" t="s">
        <v>31</v>
      </c>
      <c r="E49">
        <v>9288105000</v>
      </c>
      <c r="F49">
        <v>-20282299000</v>
      </c>
      <c r="J49">
        <v>-12495043070</v>
      </c>
      <c r="P49">
        <v>177</v>
      </c>
      <c r="Q49" t="s">
        <v>129</v>
      </c>
    </row>
    <row r="50" spans="1:17" x14ac:dyDescent="0.3">
      <c r="A50" t="s">
        <v>17</v>
      </c>
      <c r="B50" t="str">
        <f>"600019"</f>
        <v>600019</v>
      </c>
      <c r="C50" t="s">
        <v>130</v>
      </c>
      <c r="D50" t="s">
        <v>131</v>
      </c>
      <c r="E50">
        <v>8898761719</v>
      </c>
      <c r="F50">
        <v>14029871061</v>
      </c>
      <c r="G50">
        <v>3643433557</v>
      </c>
      <c r="H50">
        <v>1355079433</v>
      </c>
      <c r="I50">
        <v>3590950191</v>
      </c>
      <c r="J50">
        <v>1950000823</v>
      </c>
      <c r="K50">
        <v>7400645339</v>
      </c>
      <c r="L50">
        <v>5077892363</v>
      </c>
      <c r="M50">
        <v>356035740</v>
      </c>
      <c r="N50">
        <v>1885974503</v>
      </c>
      <c r="O50">
        <v>6932938735</v>
      </c>
      <c r="P50">
        <v>2292</v>
      </c>
      <c r="Q50" t="s">
        <v>132</v>
      </c>
    </row>
    <row r="51" spans="1:17" x14ac:dyDescent="0.3">
      <c r="A51" t="s">
        <v>17</v>
      </c>
      <c r="B51" t="str">
        <f>"601198"</f>
        <v>601198</v>
      </c>
      <c r="C51" t="s">
        <v>133</v>
      </c>
      <c r="D51" t="s">
        <v>52</v>
      </c>
      <c r="E51">
        <v>8797766049</v>
      </c>
      <c r="F51">
        <v>-1742666681</v>
      </c>
      <c r="G51">
        <v>8086085807</v>
      </c>
      <c r="H51">
        <v>9168872007</v>
      </c>
      <c r="I51">
        <v>5582740932</v>
      </c>
      <c r="J51">
        <v>1578712454</v>
      </c>
      <c r="K51">
        <v>-2582969883</v>
      </c>
      <c r="L51">
        <v>877282057</v>
      </c>
      <c r="M51">
        <v>-117212631.84</v>
      </c>
      <c r="P51">
        <v>814</v>
      </c>
      <c r="Q51" t="s">
        <v>134</v>
      </c>
    </row>
    <row r="52" spans="1:17" x14ac:dyDescent="0.3">
      <c r="A52" t="s">
        <v>17</v>
      </c>
      <c r="B52" t="str">
        <f>"601128"</f>
        <v>601128</v>
      </c>
      <c r="C52" t="s">
        <v>135</v>
      </c>
      <c r="D52" t="s">
        <v>58</v>
      </c>
      <c r="E52">
        <v>8701183000</v>
      </c>
      <c r="F52">
        <v>8656591000</v>
      </c>
      <c r="G52">
        <v>-1838252000</v>
      </c>
      <c r="H52">
        <v>5657124000</v>
      </c>
      <c r="I52">
        <v>6453220000</v>
      </c>
      <c r="J52">
        <v>-1224896000</v>
      </c>
      <c r="K52">
        <v>5898693000</v>
      </c>
      <c r="P52">
        <v>940</v>
      </c>
      <c r="Q52" t="s">
        <v>136</v>
      </c>
    </row>
    <row r="53" spans="1:17" x14ac:dyDescent="0.3">
      <c r="A53" t="s">
        <v>33</v>
      </c>
      <c r="B53" t="str">
        <f>"000166"</f>
        <v>000166</v>
      </c>
      <c r="C53" t="s">
        <v>137</v>
      </c>
      <c r="D53" t="s">
        <v>52</v>
      </c>
      <c r="E53">
        <v>8583559593</v>
      </c>
      <c r="F53">
        <v>-5431710738</v>
      </c>
      <c r="G53">
        <v>19638354003</v>
      </c>
      <c r="H53">
        <v>16361892924</v>
      </c>
      <c r="I53">
        <v>4098976369</v>
      </c>
      <c r="J53">
        <v>-18896922731</v>
      </c>
      <c r="K53">
        <v>-12597391530.76</v>
      </c>
      <c r="L53">
        <v>33680556841.34</v>
      </c>
      <c r="M53">
        <v>1059596467.4299999</v>
      </c>
      <c r="P53">
        <v>2819</v>
      </c>
      <c r="Q53" t="s">
        <v>138</v>
      </c>
    </row>
    <row r="54" spans="1:17" x14ac:dyDescent="0.3">
      <c r="A54" t="s">
        <v>17</v>
      </c>
      <c r="B54" t="str">
        <f>"601600"</f>
        <v>601600</v>
      </c>
      <c r="C54" t="s">
        <v>139</v>
      </c>
      <c r="D54" t="s">
        <v>140</v>
      </c>
      <c r="E54">
        <v>8556022000</v>
      </c>
      <c r="F54">
        <v>2333361000</v>
      </c>
      <c r="G54">
        <v>1984841000</v>
      </c>
      <c r="H54">
        <v>-637589000</v>
      </c>
      <c r="I54">
        <v>1488836000</v>
      </c>
      <c r="J54">
        <v>2530657000</v>
      </c>
      <c r="K54">
        <v>207300000</v>
      </c>
      <c r="L54">
        <v>-112741000</v>
      </c>
      <c r="M54">
        <v>154942000</v>
      </c>
      <c r="N54">
        <v>-1091020000</v>
      </c>
      <c r="O54">
        <v>-2030495000</v>
      </c>
      <c r="P54">
        <v>744</v>
      </c>
      <c r="Q54" t="s">
        <v>141</v>
      </c>
    </row>
    <row r="55" spans="1:17" x14ac:dyDescent="0.3">
      <c r="A55" t="s">
        <v>33</v>
      </c>
      <c r="B55" t="str">
        <f>"002945"</f>
        <v>002945</v>
      </c>
      <c r="C55" t="s">
        <v>142</v>
      </c>
      <c r="D55" t="s">
        <v>52</v>
      </c>
      <c r="E55">
        <v>8541174606</v>
      </c>
      <c r="F55">
        <v>6031038423</v>
      </c>
      <c r="G55">
        <v>271320157</v>
      </c>
      <c r="H55">
        <v>3219262782</v>
      </c>
      <c r="I55">
        <v>-118526199</v>
      </c>
      <c r="J55">
        <v>-608880259</v>
      </c>
      <c r="K55">
        <v>-267506092</v>
      </c>
      <c r="P55">
        <v>913</v>
      </c>
      <c r="Q55" t="s">
        <v>143</v>
      </c>
    </row>
    <row r="56" spans="1:17" x14ac:dyDescent="0.3">
      <c r="A56" t="s">
        <v>17</v>
      </c>
      <c r="B56" t="str">
        <f>"600011"</f>
        <v>600011</v>
      </c>
      <c r="C56" t="s">
        <v>144</v>
      </c>
      <c r="D56" t="s">
        <v>145</v>
      </c>
      <c r="E56">
        <v>8403935233</v>
      </c>
      <c r="F56">
        <v>11330462982</v>
      </c>
      <c r="G56">
        <v>8129437333</v>
      </c>
      <c r="H56">
        <v>10774920831</v>
      </c>
      <c r="I56">
        <v>9361537371</v>
      </c>
      <c r="J56">
        <v>7648994310</v>
      </c>
      <c r="K56">
        <v>13421866712</v>
      </c>
      <c r="L56">
        <v>11396872288</v>
      </c>
      <c r="M56">
        <v>7036594905</v>
      </c>
      <c r="N56">
        <v>10491749914</v>
      </c>
      <c r="O56">
        <v>8013011569</v>
      </c>
      <c r="P56">
        <v>751</v>
      </c>
      <c r="Q56" t="s">
        <v>146</v>
      </c>
    </row>
    <row r="57" spans="1:17" x14ac:dyDescent="0.3">
      <c r="A57" t="s">
        <v>17</v>
      </c>
      <c r="B57" t="str">
        <f>"600795"</f>
        <v>600795</v>
      </c>
      <c r="C57" t="s">
        <v>147</v>
      </c>
      <c r="D57" t="s">
        <v>145</v>
      </c>
      <c r="E57">
        <v>7993596873</v>
      </c>
      <c r="F57">
        <v>6664703712</v>
      </c>
      <c r="G57">
        <v>9293945003</v>
      </c>
      <c r="H57">
        <v>10127885213</v>
      </c>
      <c r="I57">
        <v>2018366027</v>
      </c>
      <c r="J57">
        <v>4845626109</v>
      </c>
      <c r="K57">
        <v>6143162829</v>
      </c>
      <c r="L57">
        <v>6074555026</v>
      </c>
      <c r="M57">
        <v>5612887171</v>
      </c>
      <c r="N57">
        <v>5392435098</v>
      </c>
      <c r="O57">
        <v>2958665188</v>
      </c>
      <c r="P57">
        <v>548</v>
      </c>
      <c r="Q57" t="s">
        <v>148</v>
      </c>
    </row>
    <row r="58" spans="1:17" x14ac:dyDescent="0.3">
      <c r="A58" t="s">
        <v>33</v>
      </c>
      <c r="B58" t="str">
        <f>"000333"</f>
        <v>000333</v>
      </c>
      <c r="C58" t="s">
        <v>149</v>
      </c>
      <c r="D58" t="s">
        <v>150</v>
      </c>
      <c r="E58">
        <v>7978986000</v>
      </c>
      <c r="F58">
        <v>8553861000</v>
      </c>
      <c r="G58">
        <v>7668597000</v>
      </c>
      <c r="H58">
        <v>11842782000</v>
      </c>
      <c r="I58">
        <v>4429092000</v>
      </c>
      <c r="J58">
        <v>7008571000</v>
      </c>
      <c r="K58">
        <v>6595024000</v>
      </c>
      <c r="L58">
        <v>2498715370</v>
      </c>
      <c r="M58">
        <v>3223813310</v>
      </c>
      <c r="N58">
        <v>667277380</v>
      </c>
      <c r="P58">
        <v>25066</v>
      </c>
      <c r="Q58" t="s">
        <v>151</v>
      </c>
    </row>
    <row r="59" spans="1:17" x14ac:dyDescent="0.3">
      <c r="A59" t="s">
        <v>17</v>
      </c>
      <c r="B59" t="str">
        <f>"601899"</f>
        <v>601899</v>
      </c>
      <c r="C59" t="s">
        <v>152</v>
      </c>
      <c r="D59" t="s">
        <v>153</v>
      </c>
      <c r="E59">
        <v>7427862528</v>
      </c>
      <c r="F59">
        <v>5248175316</v>
      </c>
      <c r="G59">
        <v>2326033155</v>
      </c>
      <c r="H59">
        <v>1284925091</v>
      </c>
      <c r="I59">
        <v>1326940832</v>
      </c>
      <c r="J59">
        <v>1015456609</v>
      </c>
      <c r="K59">
        <v>442059498</v>
      </c>
      <c r="L59">
        <v>1392559072</v>
      </c>
      <c r="M59">
        <v>605114885</v>
      </c>
      <c r="N59">
        <v>710247227</v>
      </c>
      <c r="O59">
        <v>765517319</v>
      </c>
      <c r="P59">
        <v>2402</v>
      </c>
      <c r="Q59" t="s">
        <v>154</v>
      </c>
    </row>
    <row r="60" spans="1:17" x14ac:dyDescent="0.3">
      <c r="A60" t="s">
        <v>33</v>
      </c>
      <c r="B60" t="str">
        <f>"300750"</f>
        <v>300750</v>
      </c>
      <c r="C60" t="s">
        <v>155</v>
      </c>
      <c r="D60" t="s">
        <v>156</v>
      </c>
      <c r="E60">
        <v>7075886400</v>
      </c>
      <c r="F60">
        <v>10966870552</v>
      </c>
      <c r="G60">
        <v>3146750316</v>
      </c>
      <c r="H60">
        <v>4976851201</v>
      </c>
      <c r="I60">
        <v>-3269834484</v>
      </c>
      <c r="J60">
        <v>193733604</v>
      </c>
      <c r="P60">
        <v>4825</v>
      </c>
      <c r="Q60" t="s">
        <v>157</v>
      </c>
    </row>
    <row r="61" spans="1:17" x14ac:dyDescent="0.3">
      <c r="A61" t="s">
        <v>17</v>
      </c>
      <c r="B61" t="str">
        <f>"601225"</f>
        <v>601225</v>
      </c>
      <c r="C61" t="s">
        <v>158</v>
      </c>
      <c r="D61" t="s">
        <v>77</v>
      </c>
      <c r="E61">
        <v>6203346641</v>
      </c>
      <c r="F61">
        <v>4633338245</v>
      </c>
      <c r="G61">
        <v>2688259253</v>
      </c>
      <c r="H61">
        <v>5391596640</v>
      </c>
      <c r="I61">
        <v>3228295832</v>
      </c>
      <c r="J61">
        <v>3319233249</v>
      </c>
      <c r="K61">
        <v>279681622</v>
      </c>
      <c r="L61">
        <v>-202139764</v>
      </c>
      <c r="M61">
        <v>-98757351</v>
      </c>
      <c r="N61">
        <v>3685868389</v>
      </c>
      <c r="P61">
        <v>2634</v>
      </c>
      <c r="Q61" t="s">
        <v>159</v>
      </c>
    </row>
    <row r="62" spans="1:17" x14ac:dyDescent="0.3">
      <c r="A62" t="s">
        <v>17</v>
      </c>
      <c r="B62" t="str">
        <f>"600612"</f>
        <v>600612</v>
      </c>
      <c r="C62" t="s">
        <v>160</v>
      </c>
      <c r="D62" t="s">
        <v>161</v>
      </c>
      <c r="E62">
        <v>6190161931</v>
      </c>
      <c r="F62">
        <v>2933863819</v>
      </c>
      <c r="G62">
        <v>2927240561</v>
      </c>
      <c r="H62">
        <v>-1260685768</v>
      </c>
      <c r="I62">
        <v>-612930435</v>
      </c>
      <c r="J62">
        <v>234575276</v>
      </c>
      <c r="K62">
        <v>-2243844677</v>
      </c>
      <c r="L62">
        <v>-332893227</v>
      </c>
      <c r="M62">
        <v>195279902</v>
      </c>
      <c r="N62">
        <v>-98669022</v>
      </c>
      <c r="O62">
        <v>12745655</v>
      </c>
      <c r="P62">
        <v>45897</v>
      </c>
      <c r="Q62" t="s">
        <v>162</v>
      </c>
    </row>
    <row r="63" spans="1:17" x14ac:dyDescent="0.3">
      <c r="A63" t="s">
        <v>33</v>
      </c>
      <c r="B63" t="str">
        <f>"000039"</f>
        <v>000039</v>
      </c>
      <c r="C63" t="s">
        <v>163</v>
      </c>
      <c r="D63" t="s">
        <v>164</v>
      </c>
      <c r="E63">
        <v>6064956000</v>
      </c>
      <c r="F63">
        <v>3245875000</v>
      </c>
      <c r="G63">
        <v>-1443955000</v>
      </c>
      <c r="H63">
        <v>-599434000</v>
      </c>
      <c r="I63">
        <v>-1074908000</v>
      </c>
      <c r="J63">
        <v>95458000</v>
      </c>
      <c r="K63">
        <v>219500000</v>
      </c>
      <c r="L63">
        <v>150386000</v>
      </c>
      <c r="M63">
        <v>-2462429000</v>
      </c>
      <c r="N63">
        <v>-2186927000</v>
      </c>
      <c r="O63">
        <v>525875000</v>
      </c>
      <c r="P63">
        <v>679</v>
      </c>
      <c r="Q63" t="s">
        <v>165</v>
      </c>
    </row>
    <row r="64" spans="1:17" x14ac:dyDescent="0.3">
      <c r="A64" t="s">
        <v>17</v>
      </c>
      <c r="B64" t="str">
        <f>"600325"</f>
        <v>600325</v>
      </c>
      <c r="C64" t="s">
        <v>166</v>
      </c>
      <c r="D64" t="s">
        <v>167</v>
      </c>
      <c r="E64">
        <v>5925963505</v>
      </c>
      <c r="F64">
        <v>5356197270</v>
      </c>
      <c r="G64">
        <v>3507726267</v>
      </c>
      <c r="H64">
        <v>2119435639</v>
      </c>
      <c r="I64">
        <v>175830371</v>
      </c>
      <c r="J64">
        <v>144791507</v>
      </c>
      <c r="K64">
        <v>3134783451</v>
      </c>
      <c r="L64">
        <v>-270776258</v>
      </c>
      <c r="M64">
        <v>-474457614</v>
      </c>
      <c r="N64">
        <v>-36818930</v>
      </c>
      <c r="O64">
        <v>-713983773</v>
      </c>
      <c r="P64">
        <v>1184</v>
      </c>
      <c r="Q64" t="s">
        <v>168</v>
      </c>
    </row>
    <row r="65" spans="1:17" x14ac:dyDescent="0.3">
      <c r="A65" t="s">
        <v>17</v>
      </c>
      <c r="B65" t="str">
        <f>"600036"</f>
        <v>600036</v>
      </c>
      <c r="C65" t="s">
        <v>169</v>
      </c>
      <c r="D65" t="s">
        <v>37</v>
      </c>
      <c r="E65">
        <v>5551000000</v>
      </c>
      <c r="F65">
        <v>-32388000000</v>
      </c>
      <c r="G65">
        <v>87147000000</v>
      </c>
      <c r="H65">
        <v>-172622000000</v>
      </c>
      <c r="I65">
        <v>-53651000000</v>
      </c>
      <c r="J65">
        <v>-214350000000</v>
      </c>
      <c r="K65">
        <v>-287039000000</v>
      </c>
      <c r="L65">
        <v>28774000000</v>
      </c>
      <c r="M65">
        <v>56649000000</v>
      </c>
      <c r="N65">
        <v>2783000000</v>
      </c>
      <c r="O65">
        <v>2765000000</v>
      </c>
      <c r="P65">
        <v>68589</v>
      </c>
      <c r="Q65" t="s">
        <v>170</v>
      </c>
    </row>
    <row r="66" spans="1:17" x14ac:dyDescent="0.3">
      <c r="A66" t="s">
        <v>17</v>
      </c>
      <c r="B66" t="str">
        <f>"600918"</f>
        <v>600918</v>
      </c>
      <c r="C66" t="s">
        <v>171</v>
      </c>
      <c r="D66" t="s">
        <v>52</v>
      </c>
      <c r="E66">
        <v>5532386694</v>
      </c>
      <c r="F66">
        <v>-1152080999</v>
      </c>
      <c r="G66">
        <v>2907266048</v>
      </c>
      <c r="H66">
        <v>3329176149</v>
      </c>
      <c r="I66">
        <v>3379996800</v>
      </c>
      <c r="K66">
        <v>754654700</v>
      </c>
      <c r="L66">
        <v>15785524380</v>
      </c>
      <c r="P66">
        <v>568</v>
      </c>
      <c r="Q66" t="s">
        <v>172</v>
      </c>
    </row>
    <row r="67" spans="1:17" x14ac:dyDescent="0.3">
      <c r="A67" t="s">
        <v>17</v>
      </c>
      <c r="B67" t="str">
        <f>"601991"</f>
        <v>601991</v>
      </c>
      <c r="C67" t="s">
        <v>173</v>
      </c>
      <c r="D67" t="s">
        <v>145</v>
      </c>
      <c r="E67">
        <v>5519401000</v>
      </c>
      <c r="F67">
        <v>5121003000</v>
      </c>
      <c r="G67">
        <v>6809303000</v>
      </c>
      <c r="H67">
        <v>6414724000</v>
      </c>
      <c r="I67">
        <v>5268545000</v>
      </c>
      <c r="J67">
        <v>3956095000</v>
      </c>
      <c r="K67">
        <v>4234086000</v>
      </c>
      <c r="L67">
        <v>7214236000</v>
      </c>
      <c r="M67">
        <v>7498388000</v>
      </c>
      <c r="N67">
        <v>7975417000</v>
      </c>
      <c r="O67">
        <v>4500335000</v>
      </c>
      <c r="P67">
        <v>283</v>
      </c>
      <c r="Q67" t="s">
        <v>174</v>
      </c>
    </row>
    <row r="68" spans="1:17" x14ac:dyDescent="0.3">
      <c r="A68" t="s">
        <v>17</v>
      </c>
      <c r="B68" t="str">
        <f>"600109"</f>
        <v>600109</v>
      </c>
      <c r="C68" t="s">
        <v>175</v>
      </c>
      <c r="D68" t="s">
        <v>52</v>
      </c>
      <c r="E68">
        <v>5294355589</v>
      </c>
      <c r="F68">
        <v>2422593247</v>
      </c>
      <c r="G68">
        <v>1476044138</v>
      </c>
      <c r="H68">
        <v>4185013423</v>
      </c>
      <c r="I68">
        <v>2897620013</v>
      </c>
      <c r="J68">
        <v>-3757253142</v>
      </c>
      <c r="K68">
        <v>-1401530410</v>
      </c>
      <c r="L68">
        <v>2868448695</v>
      </c>
      <c r="M68">
        <v>596869995</v>
      </c>
      <c r="N68">
        <v>-305177554</v>
      </c>
      <c r="O68">
        <v>1469697324</v>
      </c>
      <c r="P68">
        <v>1128</v>
      </c>
      <c r="Q68" t="s">
        <v>176</v>
      </c>
    </row>
    <row r="69" spans="1:17" x14ac:dyDescent="0.3">
      <c r="A69" t="s">
        <v>33</v>
      </c>
      <c r="B69" t="str">
        <f>"000783"</f>
        <v>000783</v>
      </c>
      <c r="C69" t="s">
        <v>177</v>
      </c>
      <c r="D69" t="s">
        <v>52</v>
      </c>
      <c r="E69">
        <v>5033522668</v>
      </c>
      <c r="F69">
        <v>1142256799</v>
      </c>
      <c r="G69">
        <v>4735657259</v>
      </c>
      <c r="H69">
        <v>7230104600</v>
      </c>
      <c r="I69">
        <v>1028398213</v>
      </c>
      <c r="J69">
        <v>-3955391944</v>
      </c>
      <c r="K69">
        <v>3096580126</v>
      </c>
      <c r="L69">
        <v>-407865202</v>
      </c>
      <c r="M69">
        <v>2340143826</v>
      </c>
      <c r="N69">
        <v>51305273</v>
      </c>
      <c r="O69">
        <v>2457764767</v>
      </c>
      <c r="P69">
        <v>1208</v>
      </c>
      <c r="Q69" t="s">
        <v>178</v>
      </c>
    </row>
    <row r="70" spans="1:17" x14ac:dyDescent="0.3">
      <c r="A70" t="s">
        <v>33</v>
      </c>
      <c r="B70" t="str">
        <f>"000415"</f>
        <v>000415</v>
      </c>
      <c r="C70" t="s">
        <v>179</v>
      </c>
      <c r="D70" t="s">
        <v>180</v>
      </c>
      <c r="E70">
        <v>4865793000</v>
      </c>
      <c r="F70">
        <v>2969738000</v>
      </c>
      <c r="G70">
        <v>4069485000</v>
      </c>
      <c r="H70">
        <v>4056412000</v>
      </c>
      <c r="I70">
        <v>5484513000</v>
      </c>
      <c r="J70">
        <v>2924168000</v>
      </c>
      <c r="K70">
        <v>5190453000</v>
      </c>
      <c r="L70">
        <v>1463212000</v>
      </c>
      <c r="M70">
        <v>1188845000</v>
      </c>
      <c r="N70">
        <v>603582867</v>
      </c>
      <c r="O70">
        <v>81662584</v>
      </c>
      <c r="P70">
        <v>256</v>
      </c>
      <c r="Q70" t="s">
        <v>181</v>
      </c>
    </row>
    <row r="71" spans="1:17" x14ac:dyDescent="0.3">
      <c r="A71" t="s">
        <v>33</v>
      </c>
      <c r="B71" t="str">
        <f>"002352"</f>
        <v>002352</v>
      </c>
      <c r="C71" t="s">
        <v>182</v>
      </c>
      <c r="D71" t="s">
        <v>183</v>
      </c>
      <c r="E71">
        <v>4807300000</v>
      </c>
      <c r="F71">
        <v>-1248576892</v>
      </c>
      <c r="G71">
        <v>1909482846</v>
      </c>
      <c r="H71">
        <v>1421831230</v>
      </c>
      <c r="I71">
        <v>78460861</v>
      </c>
      <c r="J71">
        <v>9144698</v>
      </c>
      <c r="K71">
        <v>2012948</v>
      </c>
      <c r="L71">
        <v>23214617</v>
      </c>
      <c r="M71">
        <v>-14164484</v>
      </c>
      <c r="N71">
        <v>-17590172</v>
      </c>
      <c r="O71">
        <v>790853</v>
      </c>
      <c r="P71">
        <v>3728</v>
      </c>
      <c r="Q71" t="s">
        <v>184</v>
      </c>
    </row>
    <row r="72" spans="1:17" x14ac:dyDescent="0.3">
      <c r="A72" t="s">
        <v>17</v>
      </c>
      <c r="B72" t="str">
        <f>"601995"</f>
        <v>601995</v>
      </c>
      <c r="C72" t="s">
        <v>185</v>
      </c>
      <c r="D72" t="s">
        <v>52</v>
      </c>
      <c r="E72">
        <v>4643873692</v>
      </c>
      <c r="F72">
        <v>-12271885973</v>
      </c>
      <c r="G72">
        <v>26280678392</v>
      </c>
      <c r="H72">
        <v>17239091400</v>
      </c>
      <c r="I72">
        <v>-400600847</v>
      </c>
      <c r="P72">
        <v>986</v>
      </c>
      <c r="Q72" t="s">
        <v>186</v>
      </c>
    </row>
    <row r="73" spans="1:17" x14ac:dyDescent="0.3">
      <c r="A73" t="s">
        <v>33</v>
      </c>
      <c r="B73" t="str">
        <f>"000792"</f>
        <v>000792</v>
      </c>
      <c r="C73" t="s">
        <v>187</v>
      </c>
      <c r="D73" t="s">
        <v>188</v>
      </c>
      <c r="E73">
        <v>4501130345</v>
      </c>
      <c r="F73">
        <v>1503134387</v>
      </c>
      <c r="G73">
        <v>205079697</v>
      </c>
      <c r="H73">
        <v>1075918493</v>
      </c>
      <c r="I73">
        <v>1615222606</v>
      </c>
      <c r="J73">
        <v>-473686251</v>
      </c>
      <c r="K73">
        <v>-364701333</v>
      </c>
      <c r="L73">
        <v>-388155694</v>
      </c>
      <c r="M73">
        <v>-276240530</v>
      </c>
      <c r="N73">
        <v>229923172</v>
      </c>
      <c r="O73">
        <v>270679190</v>
      </c>
      <c r="P73">
        <v>422</v>
      </c>
      <c r="Q73" t="s">
        <v>189</v>
      </c>
    </row>
    <row r="74" spans="1:17" x14ac:dyDescent="0.3">
      <c r="A74" t="s">
        <v>33</v>
      </c>
      <c r="B74" t="str">
        <f>"002423"</f>
        <v>002423</v>
      </c>
      <c r="C74" t="s">
        <v>190</v>
      </c>
      <c r="D74" t="s">
        <v>114</v>
      </c>
      <c r="E74">
        <v>4403804456</v>
      </c>
      <c r="F74">
        <v>4424679260</v>
      </c>
      <c r="G74">
        <v>2452978696</v>
      </c>
      <c r="H74">
        <v>1943140234</v>
      </c>
      <c r="I74">
        <v>44018691</v>
      </c>
      <c r="J74">
        <v>18270448</v>
      </c>
      <c r="K74">
        <v>-18757506</v>
      </c>
      <c r="L74">
        <v>-61735560</v>
      </c>
      <c r="M74">
        <v>-51090820</v>
      </c>
      <c r="N74">
        <v>-95168553</v>
      </c>
      <c r="O74">
        <v>16149936</v>
      </c>
      <c r="P74">
        <v>145</v>
      </c>
      <c r="Q74" t="s">
        <v>191</v>
      </c>
    </row>
    <row r="75" spans="1:17" x14ac:dyDescent="0.3">
      <c r="A75" t="s">
        <v>17</v>
      </c>
      <c r="B75" t="str">
        <f>"601866"</f>
        <v>601866</v>
      </c>
      <c r="C75" t="s">
        <v>192</v>
      </c>
      <c r="D75" t="s">
        <v>55</v>
      </c>
      <c r="E75">
        <v>4136971185</v>
      </c>
      <c r="F75">
        <v>1281474448</v>
      </c>
      <c r="G75">
        <v>1060951788</v>
      </c>
      <c r="H75">
        <v>1860238114</v>
      </c>
      <c r="I75">
        <v>-1210957252</v>
      </c>
      <c r="J75">
        <v>945782229</v>
      </c>
      <c r="K75">
        <v>696225792</v>
      </c>
      <c r="L75">
        <v>1042309026</v>
      </c>
      <c r="M75">
        <v>65478290</v>
      </c>
      <c r="N75">
        <v>-738383678</v>
      </c>
      <c r="O75">
        <v>-1607161333</v>
      </c>
      <c r="P75">
        <v>336</v>
      </c>
      <c r="Q75" t="s">
        <v>193</v>
      </c>
    </row>
    <row r="76" spans="1:17" x14ac:dyDescent="0.3">
      <c r="A76" t="s">
        <v>17</v>
      </c>
      <c r="B76" t="str">
        <f>"600309"</f>
        <v>600309</v>
      </c>
      <c r="C76" t="s">
        <v>194</v>
      </c>
      <c r="D76" t="s">
        <v>195</v>
      </c>
      <c r="E76">
        <v>4050753250</v>
      </c>
      <c r="F76">
        <v>3018987568</v>
      </c>
      <c r="G76">
        <v>2870117078</v>
      </c>
      <c r="H76">
        <v>4505571786</v>
      </c>
      <c r="I76">
        <v>3590001797</v>
      </c>
      <c r="J76">
        <v>473064822</v>
      </c>
      <c r="K76">
        <v>1797738711</v>
      </c>
      <c r="L76">
        <v>744388968</v>
      </c>
      <c r="M76">
        <v>1041438666</v>
      </c>
      <c r="N76">
        <v>771350227</v>
      </c>
      <c r="O76">
        <v>941760963</v>
      </c>
      <c r="P76">
        <v>7475</v>
      </c>
      <c r="Q76" t="s">
        <v>196</v>
      </c>
    </row>
    <row r="77" spans="1:17" x14ac:dyDescent="0.3">
      <c r="A77" t="s">
        <v>17</v>
      </c>
      <c r="B77" t="str">
        <f>"600027"</f>
        <v>600027</v>
      </c>
      <c r="C77" t="s">
        <v>197</v>
      </c>
      <c r="D77" t="s">
        <v>145</v>
      </c>
      <c r="E77">
        <v>4039639000</v>
      </c>
      <c r="F77">
        <v>4002784000</v>
      </c>
      <c r="G77">
        <v>6443604000</v>
      </c>
      <c r="H77">
        <v>6258479000</v>
      </c>
      <c r="I77">
        <v>5367078000</v>
      </c>
      <c r="J77">
        <v>2302424000</v>
      </c>
      <c r="K77">
        <v>6641125000</v>
      </c>
      <c r="L77">
        <v>8342297000</v>
      </c>
      <c r="M77">
        <v>6225044000</v>
      </c>
      <c r="N77">
        <v>6278101000</v>
      </c>
      <c r="O77">
        <v>2649545000</v>
      </c>
      <c r="P77">
        <v>987</v>
      </c>
      <c r="Q77" t="s">
        <v>198</v>
      </c>
    </row>
    <row r="78" spans="1:17" x14ac:dyDescent="0.3">
      <c r="A78" t="s">
        <v>17</v>
      </c>
      <c r="B78" t="str">
        <f>"600741"</f>
        <v>600741</v>
      </c>
      <c r="C78" t="s">
        <v>199</v>
      </c>
      <c r="D78" t="s">
        <v>200</v>
      </c>
      <c r="E78">
        <v>3958833407</v>
      </c>
      <c r="F78">
        <v>3937424108</v>
      </c>
      <c r="G78">
        <v>2765207679</v>
      </c>
      <c r="H78">
        <v>255957508</v>
      </c>
      <c r="I78">
        <v>-295329647</v>
      </c>
      <c r="J78">
        <v>599490354</v>
      </c>
      <c r="K78">
        <v>1278628266</v>
      </c>
      <c r="L78">
        <v>1325134329</v>
      </c>
      <c r="M78">
        <v>34986319</v>
      </c>
      <c r="N78">
        <v>679525255</v>
      </c>
      <c r="O78">
        <v>464388182</v>
      </c>
      <c r="P78">
        <v>6373</v>
      </c>
      <c r="Q78" t="s">
        <v>201</v>
      </c>
    </row>
    <row r="79" spans="1:17" x14ac:dyDescent="0.3">
      <c r="A79" t="s">
        <v>33</v>
      </c>
      <c r="B79" t="str">
        <f>"003816"</f>
        <v>003816</v>
      </c>
      <c r="C79" t="s">
        <v>202</v>
      </c>
      <c r="D79" t="s">
        <v>124</v>
      </c>
      <c r="E79">
        <v>3944891219</v>
      </c>
      <c r="F79">
        <v>7438028014</v>
      </c>
      <c r="G79">
        <v>5994863036</v>
      </c>
      <c r="H79">
        <v>6252811184</v>
      </c>
      <c r="I79">
        <v>6161154135</v>
      </c>
      <c r="J79">
        <v>5814495504</v>
      </c>
      <c r="P79">
        <v>523</v>
      </c>
      <c r="Q79" t="s">
        <v>203</v>
      </c>
    </row>
    <row r="80" spans="1:17" x14ac:dyDescent="0.3">
      <c r="A80" t="s">
        <v>17</v>
      </c>
      <c r="B80" t="str">
        <f>"600900"</f>
        <v>600900</v>
      </c>
      <c r="C80" t="s">
        <v>204</v>
      </c>
      <c r="D80" t="s">
        <v>205</v>
      </c>
      <c r="E80">
        <v>3935599773</v>
      </c>
      <c r="F80">
        <v>3304210280</v>
      </c>
      <c r="G80">
        <v>5585846887</v>
      </c>
      <c r="H80">
        <v>5217312699</v>
      </c>
      <c r="I80">
        <v>6042292535</v>
      </c>
      <c r="J80">
        <v>5735602904</v>
      </c>
      <c r="K80">
        <v>3158412690</v>
      </c>
      <c r="L80">
        <v>2126306254</v>
      </c>
      <c r="M80">
        <v>2356495358</v>
      </c>
      <c r="N80">
        <v>2177245661</v>
      </c>
      <c r="O80">
        <v>3158033664</v>
      </c>
      <c r="P80">
        <v>5902</v>
      </c>
      <c r="Q80" t="s">
        <v>206</v>
      </c>
    </row>
    <row r="81" spans="1:17" x14ac:dyDescent="0.3">
      <c r="A81" t="s">
        <v>17</v>
      </c>
      <c r="B81" t="str">
        <f>"600390"</f>
        <v>600390</v>
      </c>
      <c r="C81" t="s">
        <v>207</v>
      </c>
      <c r="D81" t="s">
        <v>114</v>
      </c>
      <c r="E81">
        <v>3916418268</v>
      </c>
      <c r="F81">
        <v>5794828070</v>
      </c>
      <c r="G81">
        <v>6197166877</v>
      </c>
      <c r="H81">
        <v>878385618</v>
      </c>
      <c r="I81">
        <v>182819594</v>
      </c>
      <c r="J81">
        <v>-5838186562</v>
      </c>
      <c r="K81">
        <v>-62861575</v>
      </c>
      <c r="L81">
        <v>-100193022</v>
      </c>
      <c r="M81">
        <v>-92710028</v>
      </c>
      <c r="N81">
        <v>-33131635</v>
      </c>
      <c r="O81">
        <v>-48013261</v>
      </c>
      <c r="P81">
        <v>300</v>
      </c>
      <c r="Q81" t="s">
        <v>208</v>
      </c>
    </row>
    <row r="82" spans="1:17" x14ac:dyDescent="0.3">
      <c r="A82" t="s">
        <v>33</v>
      </c>
      <c r="B82" t="str">
        <f>"000100"</f>
        <v>000100</v>
      </c>
      <c r="C82" t="s">
        <v>209</v>
      </c>
      <c r="D82" t="s">
        <v>102</v>
      </c>
      <c r="E82">
        <v>3863953881</v>
      </c>
      <c r="F82">
        <v>8003201979</v>
      </c>
      <c r="G82">
        <v>2299183493</v>
      </c>
      <c r="H82">
        <v>2243903241</v>
      </c>
      <c r="I82">
        <v>3034386560</v>
      </c>
      <c r="J82">
        <v>2341252120</v>
      </c>
      <c r="K82">
        <v>238413868</v>
      </c>
      <c r="L82">
        <v>785853373</v>
      </c>
      <c r="M82">
        <v>1464802969</v>
      </c>
      <c r="N82">
        <v>919822817</v>
      </c>
      <c r="O82">
        <v>116263020</v>
      </c>
      <c r="P82">
        <v>2194</v>
      </c>
      <c r="Q82" t="s">
        <v>210</v>
      </c>
    </row>
    <row r="83" spans="1:17" x14ac:dyDescent="0.3">
      <c r="A83" t="s">
        <v>33</v>
      </c>
      <c r="B83" t="str">
        <f>"002466"</f>
        <v>002466</v>
      </c>
      <c r="C83" t="s">
        <v>211</v>
      </c>
      <c r="D83" t="s">
        <v>212</v>
      </c>
      <c r="E83">
        <v>3836609528</v>
      </c>
      <c r="F83">
        <v>355038106</v>
      </c>
      <c r="G83">
        <v>12928127</v>
      </c>
      <c r="H83">
        <v>454768617</v>
      </c>
      <c r="I83">
        <v>966735632</v>
      </c>
      <c r="J83">
        <v>659532020</v>
      </c>
      <c r="K83">
        <v>411932673</v>
      </c>
      <c r="L83">
        <v>116812704</v>
      </c>
      <c r="M83">
        <v>-18649312</v>
      </c>
      <c r="N83">
        <v>-15623209</v>
      </c>
      <c r="O83">
        <v>-15156393</v>
      </c>
      <c r="P83">
        <v>2365</v>
      </c>
      <c r="Q83" t="s">
        <v>213</v>
      </c>
    </row>
    <row r="84" spans="1:17" x14ac:dyDescent="0.3">
      <c r="A84" t="s">
        <v>17</v>
      </c>
      <c r="B84" t="str">
        <f>"600886"</f>
        <v>600886</v>
      </c>
      <c r="C84" t="s">
        <v>214</v>
      </c>
      <c r="D84" t="s">
        <v>205</v>
      </c>
      <c r="E84">
        <v>3662802272</v>
      </c>
      <c r="F84">
        <v>3940706103</v>
      </c>
      <c r="G84">
        <v>3457155653</v>
      </c>
      <c r="H84">
        <v>4194824635</v>
      </c>
      <c r="I84">
        <v>4171884099</v>
      </c>
      <c r="J84">
        <v>3525622484</v>
      </c>
      <c r="K84">
        <v>3804692247</v>
      </c>
      <c r="L84">
        <v>4849766135</v>
      </c>
      <c r="M84">
        <v>3698676622</v>
      </c>
      <c r="N84">
        <v>2922741721</v>
      </c>
      <c r="O84">
        <v>1622779035</v>
      </c>
      <c r="P84">
        <v>2023</v>
      </c>
      <c r="Q84" t="s">
        <v>215</v>
      </c>
    </row>
    <row r="85" spans="1:17" x14ac:dyDescent="0.3">
      <c r="A85" t="s">
        <v>33</v>
      </c>
      <c r="B85" t="str">
        <f>"000961"</f>
        <v>000961</v>
      </c>
      <c r="C85" t="s">
        <v>216</v>
      </c>
      <c r="D85" t="s">
        <v>167</v>
      </c>
      <c r="E85">
        <v>3661845368</v>
      </c>
      <c r="F85">
        <v>1853678445</v>
      </c>
      <c r="G85">
        <v>315592612</v>
      </c>
      <c r="H85">
        <v>3715306816</v>
      </c>
      <c r="I85">
        <v>-2632098332</v>
      </c>
      <c r="J85">
        <v>94574636</v>
      </c>
      <c r="K85">
        <v>-2798353246</v>
      </c>
      <c r="L85">
        <v>-242945502</v>
      </c>
      <c r="M85">
        <v>-2554558761</v>
      </c>
      <c r="N85">
        <v>-300914175</v>
      </c>
      <c r="O85">
        <v>204464949</v>
      </c>
      <c r="P85">
        <v>898</v>
      </c>
      <c r="Q85" t="s">
        <v>217</v>
      </c>
    </row>
    <row r="86" spans="1:17" x14ac:dyDescent="0.3">
      <c r="A86" t="s">
        <v>33</v>
      </c>
      <c r="B86" t="str">
        <f>"002926"</f>
        <v>002926</v>
      </c>
      <c r="C86" t="s">
        <v>218</v>
      </c>
      <c r="D86" t="s">
        <v>52</v>
      </c>
      <c r="E86">
        <v>3637817829</v>
      </c>
      <c r="F86">
        <v>4993300197</v>
      </c>
      <c r="G86">
        <v>-92813595</v>
      </c>
      <c r="H86">
        <v>4380352623</v>
      </c>
      <c r="I86">
        <v>-1863148266</v>
      </c>
      <c r="J86">
        <v>-2924242295</v>
      </c>
      <c r="P86">
        <v>921</v>
      </c>
      <c r="Q86" t="s">
        <v>219</v>
      </c>
    </row>
    <row r="87" spans="1:17" x14ac:dyDescent="0.3">
      <c r="A87" t="s">
        <v>17</v>
      </c>
      <c r="B87" t="str">
        <f>"688075"</f>
        <v>688075</v>
      </c>
      <c r="C87" t="s">
        <v>220</v>
      </c>
      <c r="D87" t="s">
        <v>221</v>
      </c>
      <c r="E87">
        <v>3631925331</v>
      </c>
      <c r="P87">
        <v>37</v>
      </c>
      <c r="Q87" t="s">
        <v>222</v>
      </c>
    </row>
    <row r="88" spans="1:17" x14ac:dyDescent="0.3">
      <c r="A88" t="s">
        <v>33</v>
      </c>
      <c r="B88" t="str">
        <f>"000540"</f>
        <v>000540</v>
      </c>
      <c r="C88" t="s">
        <v>223</v>
      </c>
      <c r="D88" t="s">
        <v>167</v>
      </c>
      <c r="E88">
        <v>3615076883</v>
      </c>
      <c r="F88">
        <v>11511285723</v>
      </c>
      <c r="G88">
        <v>1681212833</v>
      </c>
      <c r="H88">
        <v>8210555087</v>
      </c>
      <c r="I88">
        <v>-1134937846</v>
      </c>
      <c r="J88">
        <v>-2990052637</v>
      </c>
      <c r="K88">
        <v>-1613917029</v>
      </c>
      <c r="L88">
        <v>-915022249</v>
      </c>
      <c r="M88">
        <v>-181930938</v>
      </c>
      <c r="N88">
        <v>-798043814</v>
      </c>
      <c r="O88">
        <v>-273464853</v>
      </c>
      <c r="P88">
        <v>5239</v>
      </c>
      <c r="Q88" t="s">
        <v>224</v>
      </c>
    </row>
    <row r="89" spans="1:17" x14ac:dyDescent="0.3">
      <c r="A89" t="s">
        <v>33</v>
      </c>
      <c r="B89" t="str">
        <f>"300433"</f>
        <v>300433</v>
      </c>
      <c r="C89" t="s">
        <v>225</v>
      </c>
      <c r="D89" t="s">
        <v>226</v>
      </c>
      <c r="E89">
        <v>3597209896</v>
      </c>
      <c r="F89">
        <v>1432040036</v>
      </c>
      <c r="G89">
        <v>2034827445</v>
      </c>
      <c r="H89">
        <v>2294779159</v>
      </c>
      <c r="I89">
        <v>1390599447</v>
      </c>
      <c r="J89">
        <v>1075657090</v>
      </c>
      <c r="K89">
        <v>528633593</v>
      </c>
      <c r="L89">
        <v>540702102</v>
      </c>
      <c r="M89">
        <v>1007094192</v>
      </c>
      <c r="P89">
        <v>1652</v>
      </c>
      <c r="Q89" t="s">
        <v>227</v>
      </c>
    </row>
    <row r="90" spans="1:17" x14ac:dyDescent="0.3">
      <c r="A90" t="s">
        <v>17</v>
      </c>
      <c r="B90" t="str">
        <f>"600809"</f>
        <v>600809</v>
      </c>
      <c r="C90" t="s">
        <v>228</v>
      </c>
      <c r="D90" t="s">
        <v>229</v>
      </c>
      <c r="E90">
        <v>3538501189</v>
      </c>
      <c r="F90">
        <v>246411587</v>
      </c>
      <c r="G90">
        <v>126220138</v>
      </c>
      <c r="H90">
        <v>2505423252</v>
      </c>
      <c r="I90">
        <v>244253844</v>
      </c>
      <c r="J90">
        <v>-56429367</v>
      </c>
      <c r="K90">
        <v>48612190</v>
      </c>
      <c r="L90">
        <v>68167631</v>
      </c>
      <c r="M90">
        <v>228939910</v>
      </c>
      <c r="N90">
        <v>-96327738</v>
      </c>
      <c r="O90">
        <v>287753612</v>
      </c>
      <c r="P90">
        <v>3742</v>
      </c>
      <c r="Q90" t="s">
        <v>230</v>
      </c>
    </row>
    <row r="91" spans="1:17" x14ac:dyDescent="0.3">
      <c r="A91" t="s">
        <v>33</v>
      </c>
      <c r="B91" t="str">
        <f>"200596"</f>
        <v>200596</v>
      </c>
      <c r="C91" t="s">
        <v>231</v>
      </c>
      <c r="E91">
        <v>3425906062.8940001</v>
      </c>
      <c r="F91">
        <v>-1627083509.325</v>
      </c>
      <c r="G91">
        <v>1784339556.642</v>
      </c>
      <c r="H91">
        <v>1181611054.6731</v>
      </c>
      <c r="I91">
        <v>242562601.24599999</v>
      </c>
      <c r="J91">
        <v>731946143.11080003</v>
      </c>
      <c r="K91">
        <v>571709627.05729997</v>
      </c>
      <c r="L91">
        <v>385137632.5</v>
      </c>
      <c r="M91">
        <v>107443914.278</v>
      </c>
      <c r="N91">
        <v>600732427.43040001</v>
      </c>
      <c r="O91">
        <v>-54183298.472999997</v>
      </c>
      <c r="P91">
        <v>745</v>
      </c>
      <c r="Q91" t="s">
        <v>232</v>
      </c>
    </row>
    <row r="92" spans="1:17" x14ac:dyDescent="0.3">
      <c r="A92" t="s">
        <v>33</v>
      </c>
      <c r="B92" t="str">
        <f>"000651"</f>
        <v>000651</v>
      </c>
      <c r="C92" t="s">
        <v>233</v>
      </c>
      <c r="D92" t="s">
        <v>150</v>
      </c>
      <c r="E92">
        <v>3394256789</v>
      </c>
      <c r="F92">
        <v>-4265483022</v>
      </c>
      <c r="G92">
        <v>-11772862524</v>
      </c>
      <c r="H92">
        <v>7733213419</v>
      </c>
      <c r="I92">
        <v>14359650413</v>
      </c>
      <c r="J92">
        <v>8778142230</v>
      </c>
      <c r="K92">
        <v>6117619904</v>
      </c>
      <c r="L92">
        <v>23158828378</v>
      </c>
      <c r="M92">
        <v>21119688978</v>
      </c>
      <c r="N92">
        <v>16013953716</v>
      </c>
      <c r="O92">
        <v>18627580180</v>
      </c>
      <c r="P92">
        <v>55062</v>
      </c>
      <c r="Q92" t="s">
        <v>234</v>
      </c>
    </row>
    <row r="93" spans="1:17" x14ac:dyDescent="0.3">
      <c r="A93" t="s">
        <v>17</v>
      </c>
      <c r="B93" t="str">
        <f>"600598"</f>
        <v>600598</v>
      </c>
      <c r="C93" t="s">
        <v>235</v>
      </c>
      <c r="D93" t="s">
        <v>236</v>
      </c>
      <c r="E93">
        <v>3388890951</v>
      </c>
      <c r="F93">
        <v>3023472942</v>
      </c>
      <c r="G93">
        <v>2829324702</v>
      </c>
      <c r="H93">
        <v>2623640137</v>
      </c>
      <c r="I93">
        <v>2546915391</v>
      </c>
      <c r="J93">
        <v>1880336214</v>
      </c>
      <c r="K93">
        <v>1544172171</v>
      </c>
      <c r="L93">
        <v>1141806102</v>
      </c>
      <c r="M93">
        <v>2439747345</v>
      </c>
      <c r="N93">
        <v>1388316331</v>
      </c>
      <c r="O93">
        <v>1766364096</v>
      </c>
      <c r="P93">
        <v>1086</v>
      </c>
      <c r="Q93" t="s">
        <v>237</v>
      </c>
    </row>
    <row r="94" spans="1:17" x14ac:dyDescent="0.3">
      <c r="A94" t="s">
        <v>33</v>
      </c>
      <c r="B94" t="str">
        <f>"002938"</f>
        <v>002938</v>
      </c>
      <c r="C94" t="s">
        <v>238</v>
      </c>
      <c r="D94" t="s">
        <v>239</v>
      </c>
      <c r="E94">
        <v>3298091350</v>
      </c>
      <c r="F94">
        <v>2092336430</v>
      </c>
      <c r="G94">
        <v>1740420752</v>
      </c>
      <c r="H94">
        <v>1216491512</v>
      </c>
      <c r="I94">
        <v>2601104996</v>
      </c>
      <c r="P94">
        <v>961</v>
      </c>
      <c r="Q94" t="s">
        <v>240</v>
      </c>
    </row>
    <row r="95" spans="1:17" x14ac:dyDescent="0.3">
      <c r="A95" t="s">
        <v>17</v>
      </c>
      <c r="B95" t="str">
        <f>"600438"</f>
        <v>600438</v>
      </c>
      <c r="C95" t="s">
        <v>241</v>
      </c>
      <c r="D95" t="s">
        <v>242</v>
      </c>
      <c r="E95">
        <v>3248916632</v>
      </c>
      <c r="F95">
        <v>1685293387</v>
      </c>
      <c r="G95">
        <v>434113264</v>
      </c>
      <c r="H95">
        <v>305031212</v>
      </c>
      <c r="I95">
        <v>501748478</v>
      </c>
      <c r="J95">
        <v>237143284</v>
      </c>
      <c r="K95">
        <v>529713199</v>
      </c>
      <c r="L95">
        <v>195708457</v>
      </c>
      <c r="M95">
        <v>-140329250</v>
      </c>
      <c r="N95">
        <v>337890929</v>
      </c>
      <c r="O95">
        <v>311298829</v>
      </c>
      <c r="P95">
        <v>2549</v>
      </c>
      <c r="Q95" t="s">
        <v>243</v>
      </c>
    </row>
    <row r="96" spans="1:17" x14ac:dyDescent="0.3">
      <c r="A96" t="s">
        <v>33</v>
      </c>
      <c r="B96" t="str">
        <f>"000883"</f>
        <v>000883</v>
      </c>
      <c r="C96" t="s">
        <v>244</v>
      </c>
      <c r="D96" t="s">
        <v>245</v>
      </c>
      <c r="E96">
        <v>3231396803</v>
      </c>
      <c r="F96">
        <v>1713096176</v>
      </c>
      <c r="G96">
        <v>1134229737</v>
      </c>
      <c r="H96">
        <v>719302823</v>
      </c>
      <c r="I96">
        <v>624012010</v>
      </c>
      <c r="J96">
        <v>-165841164</v>
      </c>
      <c r="K96">
        <v>68322961</v>
      </c>
      <c r="L96">
        <v>801741561</v>
      </c>
      <c r="M96">
        <v>375534778</v>
      </c>
      <c r="N96">
        <v>246675380</v>
      </c>
      <c r="O96">
        <v>599923263</v>
      </c>
      <c r="P96">
        <v>419</v>
      </c>
      <c r="Q96" t="s">
        <v>246</v>
      </c>
    </row>
    <row r="97" spans="1:17" x14ac:dyDescent="0.3">
      <c r="A97" t="s">
        <v>17</v>
      </c>
      <c r="B97" t="str">
        <f>"600685"</f>
        <v>600685</v>
      </c>
      <c r="C97" t="s">
        <v>247</v>
      </c>
      <c r="D97" t="s">
        <v>248</v>
      </c>
      <c r="E97">
        <v>3038823825</v>
      </c>
      <c r="F97">
        <v>139777626</v>
      </c>
      <c r="G97">
        <v>-1028494509</v>
      </c>
      <c r="H97">
        <v>-2894631214</v>
      </c>
      <c r="I97">
        <v>-1859712154</v>
      </c>
      <c r="J97">
        <v>-2047837423</v>
      </c>
      <c r="K97">
        <v>-1706305504</v>
      </c>
      <c r="L97">
        <v>-3285049395</v>
      </c>
      <c r="M97">
        <v>-151296901</v>
      </c>
      <c r="N97">
        <v>-685136435</v>
      </c>
      <c r="O97">
        <v>-381269637</v>
      </c>
      <c r="P97">
        <v>263</v>
      </c>
      <c r="Q97" t="s">
        <v>249</v>
      </c>
    </row>
    <row r="98" spans="1:17" x14ac:dyDescent="0.3">
      <c r="A98" t="s">
        <v>17</v>
      </c>
      <c r="B98" t="str">
        <f>"601696"</f>
        <v>601696</v>
      </c>
      <c r="C98" t="s">
        <v>250</v>
      </c>
      <c r="D98" t="s">
        <v>52</v>
      </c>
      <c r="E98">
        <v>3026184545</v>
      </c>
      <c r="F98">
        <v>3312457149</v>
      </c>
      <c r="G98">
        <v>4415581301</v>
      </c>
      <c r="H98">
        <v>5885876707</v>
      </c>
      <c r="J98">
        <v>-1817155879</v>
      </c>
      <c r="L98">
        <v>5046318605</v>
      </c>
      <c r="P98">
        <v>516</v>
      </c>
      <c r="Q98" t="s">
        <v>251</v>
      </c>
    </row>
    <row r="99" spans="1:17" x14ac:dyDescent="0.3">
      <c r="A99" t="s">
        <v>17</v>
      </c>
      <c r="B99" t="str">
        <f>"600507"</f>
        <v>600507</v>
      </c>
      <c r="C99" t="s">
        <v>252</v>
      </c>
      <c r="D99" t="s">
        <v>253</v>
      </c>
      <c r="E99">
        <v>3005140058</v>
      </c>
      <c r="F99">
        <v>-128391928</v>
      </c>
      <c r="G99">
        <v>556587111</v>
      </c>
      <c r="H99">
        <v>-1075069031</v>
      </c>
      <c r="I99">
        <v>236811809</v>
      </c>
      <c r="J99">
        <v>547393735</v>
      </c>
      <c r="K99">
        <v>478888300</v>
      </c>
      <c r="L99">
        <v>5446015</v>
      </c>
      <c r="M99">
        <v>-673808696</v>
      </c>
      <c r="N99">
        <v>391454326</v>
      </c>
      <c r="O99">
        <v>-261992719</v>
      </c>
      <c r="P99">
        <v>1893</v>
      </c>
      <c r="Q99" t="s">
        <v>254</v>
      </c>
    </row>
    <row r="100" spans="1:17" x14ac:dyDescent="0.3">
      <c r="A100" t="s">
        <v>17</v>
      </c>
      <c r="B100" t="str">
        <f>"601169"</f>
        <v>601169</v>
      </c>
      <c r="C100" t="s">
        <v>255</v>
      </c>
      <c r="D100" t="s">
        <v>31</v>
      </c>
      <c r="E100">
        <v>2926000000</v>
      </c>
      <c r="F100">
        <v>26255000000</v>
      </c>
      <c r="G100">
        <v>-31852000000</v>
      </c>
      <c r="H100">
        <v>22112000000</v>
      </c>
      <c r="I100">
        <v>-27862000000</v>
      </c>
      <c r="J100">
        <v>-20525000000</v>
      </c>
      <c r="K100">
        <v>-124960000000</v>
      </c>
      <c r="L100">
        <v>-19728000000</v>
      </c>
      <c r="M100">
        <v>1761926000</v>
      </c>
      <c r="N100">
        <v>-1850523000</v>
      </c>
      <c r="O100">
        <v>-26930482000</v>
      </c>
      <c r="P100">
        <v>16385</v>
      </c>
      <c r="Q100" t="s">
        <v>256</v>
      </c>
    </row>
    <row r="101" spans="1:17" x14ac:dyDescent="0.3">
      <c r="A101" t="s">
        <v>33</v>
      </c>
      <c r="B101" t="str">
        <f>"000709"</f>
        <v>000709</v>
      </c>
      <c r="C101" t="s">
        <v>257</v>
      </c>
      <c r="D101" t="s">
        <v>131</v>
      </c>
      <c r="E101">
        <v>2886684113</v>
      </c>
      <c r="F101">
        <v>3136231443</v>
      </c>
      <c r="G101">
        <v>5071198991</v>
      </c>
      <c r="H101">
        <v>5152473145</v>
      </c>
      <c r="I101">
        <v>4229868740</v>
      </c>
      <c r="J101">
        <v>4792675933</v>
      </c>
      <c r="K101">
        <v>5205750059</v>
      </c>
      <c r="L101">
        <v>4060199700</v>
      </c>
      <c r="M101">
        <v>3047849201</v>
      </c>
      <c r="N101">
        <v>681832778</v>
      </c>
      <c r="O101">
        <v>-1423649365</v>
      </c>
      <c r="P101">
        <v>524</v>
      </c>
      <c r="Q101" t="s">
        <v>258</v>
      </c>
    </row>
    <row r="102" spans="1:17" x14ac:dyDescent="0.3">
      <c r="A102" t="s">
        <v>17</v>
      </c>
      <c r="B102" t="str">
        <f>"600585"</f>
        <v>600585</v>
      </c>
      <c r="C102" t="s">
        <v>259</v>
      </c>
      <c r="D102" t="s">
        <v>260</v>
      </c>
      <c r="E102">
        <v>2873651507</v>
      </c>
      <c r="F102">
        <v>4955235602</v>
      </c>
      <c r="G102">
        <v>2308410481</v>
      </c>
      <c r="H102">
        <v>5012392822</v>
      </c>
      <c r="I102">
        <v>3054024789</v>
      </c>
      <c r="J102">
        <v>2198942725</v>
      </c>
      <c r="K102">
        <v>1732925121</v>
      </c>
      <c r="L102">
        <v>851375908</v>
      </c>
      <c r="M102">
        <v>3019178995</v>
      </c>
      <c r="N102">
        <v>2562326450</v>
      </c>
      <c r="O102">
        <v>1632293728</v>
      </c>
      <c r="P102">
        <v>8410</v>
      </c>
      <c r="Q102" t="s">
        <v>261</v>
      </c>
    </row>
    <row r="103" spans="1:17" x14ac:dyDescent="0.3">
      <c r="A103" t="s">
        <v>33</v>
      </c>
      <c r="B103" t="str">
        <f>"000933"</f>
        <v>000933</v>
      </c>
      <c r="C103" t="s">
        <v>262</v>
      </c>
      <c r="D103" t="s">
        <v>140</v>
      </c>
      <c r="E103">
        <v>2841578213</v>
      </c>
      <c r="F103">
        <v>3019539679</v>
      </c>
      <c r="G103">
        <v>402736591</v>
      </c>
      <c r="H103">
        <v>296278583</v>
      </c>
      <c r="I103">
        <v>311434786</v>
      </c>
      <c r="J103">
        <v>603359792</v>
      </c>
      <c r="K103">
        <v>145388007</v>
      </c>
      <c r="L103">
        <v>172520225</v>
      </c>
      <c r="M103">
        <v>-753490809</v>
      </c>
      <c r="N103">
        <v>135072542</v>
      </c>
      <c r="O103">
        <v>591323482</v>
      </c>
      <c r="P103">
        <v>461</v>
      </c>
      <c r="Q103" t="s">
        <v>263</v>
      </c>
    </row>
    <row r="104" spans="1:17" x14ac:dyDescent="0.3">
      <c r="A104" t="s">
        <v>33</v>
      </c>
      <c r="B104" t="str">
        <f>"000983"</f>
        <v>000983</v>
      </c>
      <c r="C104" t="s">
        <v>264</v>
      </c>
      <c r="D104" t="s">
        <v>265</v>
      </c>
      <c r="E104">
        <v>2809519231</v>
      </c>
      <c r="F104">
        <v>919618550</v>
      </c>
      <c r="G104">
        <v>1743899584</v>
      </c>
      <c r="H104">
        <v>1428426913</v>
      </c>
      <c r="I104">
        <v>1968763979</v>
      </c>
      <c r="J104">
        <v>382433997</v>
      </c>
      <c r="K104">
        <v>552932216</v>
      </c>
      <c r="L104">
        <v>-816046447</v>
      </c>
      <c r="M104">
        <v>446588455</v>
      </c>
      <c r="N104">
        <v>288420165</v>
      </c>
      <c r="O104">
        <v>600090878</v>
      </c>
      <c r="P104">
        <v>688</v>
      </c>
      <c r="Q104" t="s">
        <v>266</v>
      </c>
    </row>
    <row r="105" spans="1:17" x14ac:dyDescent="0.3">
      <c r="A105" t="s">
        <v>17</v>
      </c>
      <c r="B105" t="str">
        <f>"600908"</f>
        <v>600908</v>
      </c>
      <c r="C105" t="s">
        <v>267</v>
      </c>
      <c r="D105" t="s">
        <v>58</v>
      </c>
      <c r="E105">
        <v>2796695000</v>
      </c>
      <c r="F105">
        <v>1945996000</v>
      </c>
      <c r="G105">
        <v>4042993000</v>
      </c>
      <c r="H105">
        <v>2217974000</v>
      </c>
      <c r="I105">
        <v>-3665325000</v>
      </c>
      <c r="J105">
        <v>4208886000</v>
      </c>
      <c r="K105">
        <v>-1260221000</v>
      </c>
      <c r="P105">
        <v>897</v>
      </c>
      <c r="Q105" t="s">
        <v>268</v>
      </c>
    </row>
    <row r="106" spans="1:17" x14ac:dyDescent="0.3">
      <c r="A106" t="s">
        <v>33</v>
      </c>
      <c r="B106" t="str">
        <f>"000596"</f>
        <v>000596</v>
      </c>
      <c r="C106" t="s">
        <v>269</v>
      </c>
      <c r="D106" t="s">
        <v>229</v>
      </c>
      <c r="E106">
        <v>2776260991</v>
      </c>
      <c r="F106">
        <v>-1373645850</v>
      </c>
      <c r="G106">
        <v>1632664980</v>
      </c>
      <c r="H106">
        <v>1010701441</v>
      </c>
      <c r="I106">
        <v>193972492</v>
      </c>
      <c r="J106">
        <v>648773394</v>
      </c>
      <c r="K106">
        <v>475909121</v>
      </c>
      <c r="L106">
        <v>308110106</v>
      </c>
      <c r="M106">
        <v>86065295</v>
      </c>
      <c r="N106">
        <v>480662848</v>
      </c>
      <c r="O106">
        <v>-43944281</v>
      </c>
      <c r="P106">
        <v>53678</v>
      </c>
      <c r="Q106" t="s">
        <v>270</v>
      </c>
    </row>
    <row r="107" spans="1:17" x14ac:dyDescent="0.3">
      <c r="A107" t="s">
        <v>17</v>
      </c>
      <c r="B107" t="str">
        <f>"601156"</f>
        <v>601156</v>
      </c>
      <c r="C107" t="s">
        <v>271</v>
      </c>
      <c r="D107" t="s">
        <v>272</v>
      </c>
      <c r="E107">
        <v>2694784394</v>
      </c>
      <c r="F107">
        <v>993048260</v>
      </c>
      <c r="P107">
        <v>105</v>
      </c>
      <c r="Q107" t="s">
        <v>273</v>
      </c>
    </row>
    <row r="108" spans="1:17" x14ac:dyDescent="0.3">
      <c r="A108" t="s">
        <v>17</v>
      </c>
      <c r="B108" t="str">
        <f>"600606"</f>
        <v>600606</v>
      </c>
      <c r="C108" t="s">
        <v>274</v>
      </c>
      <c r="D108" t="s">
        <v>167</v>
      </c>
      <c r="E108">
        <v>2624938931</v>
      </c>
      <c r="F108">
        <v>11870249816</v>
      </c>
      <c r="G108">
        <v>-7991269099</v>
      </c>
      <c r="H108">
        <v>2153203884</v>
      </c>
      <c r="I108">
        <v>4589707024</v>
      </c>
      <c r="J108">
        <v>2792986287</v>
      </c>
      <c r="K108">
        <v>-28972874376</v>
      </c>
      <c r="L108">
        <v>134314846</v>
      </c>
      <c r="M108">
        <v>108364134</v>
      </c>
      <c r="N108">
        <v>-107082663</v>
      </c>
      <c r="O108">
        <v>-107543336</v>
      </c>
      <c r="P108">
        <v>1970</v>
      </c>
      <c r="Q108" t="s">
        <v>275</v>
      </c>
    </row>
    <row r="109" spans="1:17" x14ac:dyDescent="0.3">
      <c r="A109" t="s">
        <v>33</v>
      </c>
      <c r="B109" t="str">
        <f>"000517"</f>
        <v>000517</v>
      </c>
      <c r="C109" t="s">
        <v>276</v>
      </c>
      <c r="D109" t="s">
        <v>167</v>
      </c>
      <c r="E109">
        <v>2623184799</v>
      </c>
      <c r="F109">
        <v>-2536543461</v>
      </c>
      <c r="G109">
        <v>-345998902</v>
      </c>
      <c r="H109">
        <v>-270767455</v>
      </c>
      <c r="I109">
        <v>520570025</v>
      </c>
      <c r="J109">
        <v>34558204</v>
      </c>
      <c r="K109">
        <v>246627032</v>
      </c>
      <c r="L109">
        <v>-300261319</v>
      </c>
      <c r="M109">
        <v>86187327</v>
      </c>
      <c r="N109">
        <v>248603114</v>
      </c>
      <c r="O109">
        <v>475288646</v>
      </c>
      <c r="P109">
        <v>312</v>
      </c>
      <c r="Q109" t="s">
        <v>277</v>
      </c>
    </row>
    <row r="110" spans="1:17" x14ac:dyDescent="0.3">
      <c r="A110" t="s">
        <v>17</v>
      </c>
      <c r="B110" t="str">
        <f>"601933"</f>
        <v>601933</v>
      </c>
      <c r="C110" t="s">
        <v>278</v>
      </c>
      <c r="D110" t="s">
        <v>279</v>
      </c>
      <c r="E110">
        <v>2588805236</v>
      </c>
      <c r="F110">
        <v>1438074636</v>
      </c>
      <c r="G110">
        <v>4212728645</v>
      </c>
      <c r="H110">
        <v>1617906293</v>
      </c>
      <c r="I110">
        <v>1518783864</v>
      </c>
      <c r="J110">
        <v>901759429</v>
      </c>
      <c r="K110">
        <v>1324796995</v>
      </c>
      <c r="L110">
        <v>1340797627</v>
      </c>
      <c r="M110">
        <v>871743591</v>
      </c>
      <c r="N110">
        <v>572459702</v>
      </c>
      <c r="O110">
        <v>317871242</v>
      </c>
      <c r="P110">
        <v>2444</v>
      </c>
      <c r="Q110" t="s">
        <v>280</v>
      </c>
    </row>
    <row r="111" spans="1:17" x14ac:dyDescent="0.3">
      <c r="A111" t="s">
        <v>33</v>
      </c>
      <c r="B111" t="str">
        <f>"000560"</f>
        <v>000560</v>
      </c>
      <c r="C111" t="s">
        <v>281</v>
      </c>
      <c r="D111" t="s">
        <v>282</v>
      </c>
      <c r="E111">
        <v>2571034315</v>
      </c>
      <c r="F111">
        <v>227071361</v>
      </c>
      <c r="G111">
        <v>-453306322</v>
      </c>
      <c r="H111">
        <v>377521942</v>
      </c>
      <c r="I111">
        <v>-469954436</v>
      </c>
      <c r="J111">
        <v>-11168907</v>
      </c>
      <c r="K111">
        <v>11272779</v>
      </c>
      <c r="L111">
        <v>-2158946</v>
      </c>
      <c r="M111">
        <v>-75602169</v>
      </c>
      <c r="N111">
        <v>-164623201</v>
      </c>
      <c r="O111">
        <v>-74341858</v>
      </c>
      <c r="P111">
        <v>206</v>
      </c>
      <c r="Q111" t="s">
        <v>283</v>
      </c>
    </row>
    <row r="112" spans="1:17" x14ac:dyDescent="0.3">
      <c r="A112" t="s">
        <v>33</v>
      </c>
      <c r="B112" t="str">
        <f>"001289"</f>
        <v>001289</v>
      </c>
      <c r="C112" t="s">
        <v>284</v>
      </c>
      <c r="E112">
        <v>2531171690</v>
      </c>
      <c r="F112">
        <v>4677016599</v>
      </c>
      <c r="P112">
        <v>28</v>
      </c>
      <c r="Q112" t="s">
        <v>285</v>
      </c>
    </row>
    <row r="113" spans="1:17" x14ac:dyDescent="0.3">
      <c r="A113" t="s">
        <v>17</v>
      </c>
      <c r="B113" t="str">
        <f>"601168"</f>
        <v>601168</v>
      </c>
      <c r="C113" t="s">
        <v>286</v>
      </c>
      <c r="D113" t="s">
        <v>153</v>
      </c>
      <c r="E113">
        <v>2517402282</v>
      </c>
      <c r="F113">
        <v>2090360909</v>
      </c>
      <c r="G113">
        <v>994521121</v>
      </c>
      <c r="H113">
        <v>1610538302</v>
      </c>
      <c r="I113">
        <v>-504333203</v>
      </c>
      <c r="J113">
        <v>-877099335</v>
      </c>
      <c r="K113">
        <v>-1542543871</v>
      </c>
      <c r="L113">
        <v>195793657</v>
      </c>
      <c r="M113">
        <v>-2137836249</v>
      </c>
      <c r="N113">
        <v>-487796575</v>
      </c>
      <c r="O113">
        <v>-491182566</v>
      </c>
      <c r="P113">
        <v>392</v>
      </c>
      <c r="Q113" t="s">
        <v>287</v>
      </c>
    </row>
    <row r="114" spans="1:17" x14ac:dyDescent="0.3">
      <c r="A114" t="s">
        <v>17</v>
      </c>
      <c r="B114" t="str">
        <f>"600018"</f>
        <v>600018</v>
      </c>
      <c r="C114" t="s">
        <v>288</v>
      </c>
      <c r="D114" t="s">
        <v>289</v>
      </c>
      <c r="E114">
        <v>2491753207</v>
      </c>
      <c r="F114">
        <v>2878687239</v>
      </c>
      <c r="G114">
        <v>-199573893</v>
      </c>
      <c r="H114">
        <v>-435638090</v>
      </c>
      <c r="I114">
        <v>59320248</v>
      </c>
      <c r="J114">
        <v>793607251</v>
      </c>
      <c r="K114">
        <v>-1020803649</v>
      </c>
      <c r="L114">
        <v>1977930769</v>
      </c>
      <c r="M114">
        <v>2204687832</v>
      </c>
      <c r="N114">
        <v>1326767132</v>
      </c>
      <c r="O114">
        <v>1523237348</v>
      </c>
      <c r="P114">
        <v>876</v>
      </c>
      <c r="Q114" t="s">
        <v>290</v>
      </c>
    </row>
    <row r="115" spans="1:17" x14ac:dyDescent="0.3">
      <c r="A115" t="s">
        <v>33</v>
      </c>
      <c r="B115" t="str">
        <f>"000656"</f>
        <v>000656</v>
      </c>
      <c r="C115" t="s">
        <v>291</v>
      </c>
      <c r="D115" t="s">
        <v>167</v>
      </c>
      <c r="E115">
        <v>2483576767</v>
      </c>
      <c r="F115">
        <v>-2336735859</v>
      </c>
      <c r="G115">
        <v>-5935206420</v>
      </c>
      <c r="H115">
        <v>-8367153476</v>
      </c>
      <c r="I115">
        <v>-1005870023</v>
      </c>
      <c r="J115">
        <v>-6109013672</v>
      </c>
      <c r="K115">
        <v>55071953</v>
      </c>
      <c r="L115">
        <v>-237575121</v>
      </c>
      <c r="M115">
        <v>-839797598</v>
      </c>
      <c r="N115">
        <v>-821412502</v>
      </c>
      <c r="O115">
        <v>-613922271</v>
      </c>
      <c r="P115">
        <v>1065</v>
      </c>
      <c r="Q115" t="s">
        <v>292</v>
      </c>
    </row>
    <row r="116" spans="1:17" x14ac:dyDescent="0.3">
      <c r="A116" t="s">
        <v>33</v>
      </c>
      <c r="B116" t="str">
        <f>"002608"</f>
        <v>002608</v>
      </c>
      <c r="C116" t="s">
        <v>293</v>
      </c>
      <c r="D116" t="s">
        <v>145</v>
      </c>
      <c r="E116">
        <v>2439820290</v>
      </c>
      <c r="F116">
        <v>-734412911</v>
      </c>
      <c r="G116">
        <v>1707006995</v>
      </c>
      <c r="H116">
        <v>814408815</v>
      </c>
      <c r="I116">
        <v>26355424</v>
      </c>
      <c r="J116">
        <v>587090949</v>
      </c>
      <c r="K116">
        <v>-47692168</v>
      </c>
      <c r="L116">
        <v>-16037139</v>
      </c>
      <c r="M116">
        <v>-456530574</v>
      </c>
      <c r="N116">
        <v>-160674722</v>
      </c>
      <c r="O116">
        <v>72014813</v>
      </c>
      <c r="P116">
        <v>138</v>
      </c>
      <c r="Q116" t="s">
        <v>294</v>
      </c>
    </row>
    <row r="117" spans="1:17" x14ac:dyDescent="0.3">
      <c r="A117" t="s">
        <v>17</v>
      </c>
      <c r="B117" t="str">
        <f>"601665"</f>
        <v>601665</v>
      </c>
      <c r="C117" t="s">
        <v>295</v>
      </c>
      <c r="D117" t="s">
        <v>31</v>
      </c>
      <c r="E117">
        <v>2395349000</v>
      </c>
      <c r="F117">
        <v>-1180725000</v>
      </c>
      <c r="G117">
        <v>134623000</v>
      </c>
      <c r="P117">
        <v>52</v>
      </c>
      <c r="Q117" t="s">
        <v>296</v>
      </c>
    </row>
    <row r="118" spans="1:17" x14ac:dyDescent="0.3">
      <c r="A118" t="s">
        <v>17</v>
      </c>
      <c r="B118" t="str">
        <f>"600089"</f>
        <v>600089</v>
      </c>
      <c r="C118" t="s">
        <v>297</v>
      </c>
      <c r="D118" t="s">
        <v>298</v>
      </c>
      <c r="E118">
        <v>2350581052</v>
      </c>
      <c r="F118">
        <v>323639732</v>
      </c>
      <c r="G118">
        <v>-481021086</v>
      </c>
      <c r="H118">
        <v>-1641544996</v>
      </c>
      <c r="I118">
        <v>-3794007485</v>
      </c>
      <c r="J118">
        <v>-1378302730</v>
      </c>
      <c r="K118">
        <v>-2692133120</v>
      </c>
      <c r="L118">
        <v>-1856218493</v>
      </c>
      <c r="M118">
        <v>-3402238461</v>
      </c>
      <c r="N118">
        <v>-2523720396</v>
      </c>
      <c r="O118">
        <v>-2597732813</v>
      </c>
      <c r="P118">
        <v>1281</v>
      </c>
      <c r="Q118" t="s">
        <v>299</v>
      </c>
    </row>
    <row r="119" spans="1:17" x14ac:dyDescent="0.3">
      <c r="A119" t="s">
        <v>17</v>
      </c>
      <c r="B119" t="str">
        <f>"600426"</f>
        <v>600426</v>
      </c>
      <c r="C119" t="s">
        <v>300</v>
      </c>
      <c r="D119" t="s">
        <v>301</v>
      </c>
      <c r="E119">
        <v>2301979145</v>
      </c>
      <c r="F119">
        <v>1067897758</v>
      </c>
      <c r="G119">
        <v>558197343</v>
      </c>
      <c r="H119">
        <v>1280152626</v>
      </c>
      <c r="I119">
        <v>826006275</v>
      </c>
      <c r="J119">
        <v>215230332</v>
      </c>
      <c r="K119">
        <v>474452628</v>
      </c>
      <c r="L119">
        <v>768039612</v>
      </c>
      <c r="M119">
        <v>485574244</v>
      </c>
      <c r="N119">
        <v>431655626</v>
      </c>
      <c r="O119">
        <v>72497217</v>
      </c>
      <c r="P119">
        <v>1013</v>
      </c>
      <c r="Q119" t="s">
        <v>302</v>
      </c>
    </row>
    <row r="120" spans="1:17" x14ac:dyDescent="0.3">
      <c r="A120" t="s">
        <v>33</v>
      </c>
      <c r="B120" t="str">
        <f>"002146"</f>
        <v>002146</v>
      </c>
      <c r="C120" t="s">
        <v>303</v>
      </c>
      <c r="D120" t="s">
        <v>167</v>
      </c>
      <c r="E120">
        <v>2269970300</v>
      </c>
      <c r="F120">
        <v>-5007313613</v>
      </c>
      <c r="G120">
        <v>-4917614717</v>
      </c>
      <c r="H120">
        <v>-1167274821</v>
      </c>
      <c r="I120">
        <v>-3354560618</v>
      </c>
      <c r="J120">
        <v>-807039555</v>
      </c>
      <c r="K120">
        <v>-6683002855</v>
      </c>
      <c r="L120">
        <v>-3113540606</v>
      </c>
      <c r="M120">
        <v>-838211797</v>
      </c>
      <c r="N120">
        <v>-2220140840</v>
      </c>
      <c r="O120">
        <v>-1142809601</v>
      </c>
      <c r="P120">
        <v>12588</v>
      </c>
      <c r="Q120" t="s">
        <v>304</v>
      </c>
    </row>
    <row r="121" spans="1:17" x14ac:dyDescent="0.3">
      <c r="A121" t="s">
        <v>17</v>
      </c>
      <c r="B121" t="str">
        <f>"601108"</f>
        <v>601108</v>
      </c>
      <c r="C121" t="s">
        <v>305</v>
      </c>
      <c r="D121" t="s">
        <v>52</v>
      </c>
      <c r="E121">
        <v>2193281649</v>
      </c>
      <c r="F121">
        <v>2936781419</v>
      </c>
      <c r="G121">
        <v>1844670632</v>
      </c>
      <c r="H121">
        <v>7825038222</v>
      </c>
      <c r="I121">
        <v>3448266155</v>
      </c>
      <c r="J121">
        <v>-3802845770</v>
      </c>
      <c r="L121">
        <v>4730553300</v>
      </c>
      <c r="P121">
        <v>980</v>
      </c>
      <c r="Q121" t="s">
        <v>306</v>
      </c>
    </row>
    <row r="122" spans="1:17" x14ac:dyDescent="0.3">
      <c r="A122" t="s">
        <v>17</v>
      </c>
      <c r="B122" t="str">
        <f>"601699"</f>
        <v>601699</v>
      </c>
      <c r="C122" t="s">
        <v>307</v>
      </c>
      <c r="D122" t="s">
        <v>265</v>
      </c>
      <c r="E122">
        <v>2138852874</v>
      </c>
      <c r="F122">
        <v>440473810</v>
      </c>
      <c r="G122">
        <v>-664006127</v>
      </c>
      <c r="H122">
        <v>1007705803</v>
      </c>
      <c r="I122">
        <v>543593189</v>
      </c>
      <c r="J122">
        <v>1236963237</v>
      </c>
      <c r="K122">
        <v>791282175</v>
      </c>
      <c r="L122">
        <v>1066006153</v>
      </c>
      <c r="M122">
        <v>224810223</v>
      </c>
      <c r="N122">
        <v>-133540485</v>
      </c>
      <c r="O122">
        <v>1119604261</v>
      </c>
      <c r="P122">
        <v>791</v>
      </c>
      <c r="Q122" t="s">
        <v>308</v>
      </c>
    </row>
    <row r="123" spans="1:17" x14ac:dyDescent="0.3">
      <c r="A123" t="s">
        <v>17</v>
      </c>
      <c r="B123" t="str">
        <f>"600025"</f>
        <v>600025</v>
      </c>
      <c r="C123" t="s">
        <v>309</v>
      </c>
      <c r="D123" t="s">
        <v>205</v>
      </c>
      <c r="E123">
        <v>2036740723</v>
      </c>
      <c r="F123">
        <v>2985819736</v>
      </c>
      <c r="G123">
        <v>2954060264</v>
      </c>
      <c r="H123">
        <v>2955725501</v>
      </c>
      <c r="I123">
        <v>2410208866</v>
      </c>
      <c r="J123">
        <v>1524841974</v>
      </c>
      <c r="P123">
        <v>766</v>
      </c>
      <c r="Q123" t="s">
        <v>310</v>
      </c>
    </row>
    <row r="124" spans="1:17" x14ac:dyDescent="0.3">
      <c r="A124" t="s">
        <v>17</v>
      </c>
      <c r="B124" t="str">
        <f>"601990"</f>
        <v>601990</v>
      </c>
      <c r="C124" t="s">
        <v>311</v>
      </c>
      <c r="D124" t="s">
        <v>52</v>
      </c>
      <c r="E124">
        <v>2032834531</v>
      </c>
      <c r="F124">
        <v>-633709343</v>
      </c>
      <c r="G124">
        <v>-2047578211</v>
      </c>
      <c r="H124">
        <v>2888599086</v>
      </c>
      <c r="I124">
        <v>781888800</v>
      </c>
      <c r="J124">
        <v>357696400</v>
      </c>
      <c r="P124">
        <v>722</v>
      </c>
      <c r="Q124" t="s">
        <v>312</v>
      </c>
    </row>
    <row r="125" spans="1:17" x14ac:dyDescent="0.3">
      <c r="A125" t="s">
        <v>17</v>
      </c>
      <c r="B125" t="str">
        <f>"600977"</f>
        <v>600977</v>
      </c>
      <c r="C125" t="s">
        <v>313</v>
      </c>
      <c r="D125" t="s">
        <v>314</v>
      </c>
      <c r="E125">
        <v>2018929149</v>
      </c>
      <c r="F125">
        <v>1628930490</v>
      </c>
      <c r="G125">
        <v>-562409307</v>
      </c>
      <c r="H125">
        <v>1621950628</v>
      </c>
      <c r="I125">
        <v>1384527771</v>
      </c>
      <c r="J125">
        <v>1201141921</v>
      </c>
      <c r="K125">
        <v>2335405700</v>
      </c>
      <c r="L125">
        <v>-71558800</v>
      </c>
      <c r="P125">
        <v>554</v>
      </c>
      <c r="Q125" t="s">
        <v>315</v>
      </c>
    </row>
    <row r="126" spans="1:17" x14ac:dyDescent="0.3">
      <c r="A126" t="s">
        <v>17</v>
      </c>
      <c r="B126" t="str">
        <f>"601155"</f>
        <v>601155</v>
      </c>
      <c r="C126" t="s">
        <v>316</v>
      </c>
      <c r="D126" t="s">
        <v>317</v>
      </c>
      <c r="E126">
        <v>2017588003</v>
      </c>
      <c r="F126">
        <v>-4771339656</v>
      </c>
      <c r="G126">
        <v>-5494674414</v>
      </c>
      <c r="H126">
        <v>-6759306702</v>
      </c>
      <c r="I126">
        <v>-2998611072</v>
      </c>
      <c r="J126">
        <v>-5245490397</v>
      </c>
      <c r="K126">
        <v>-649288141</v>
      </c>
      <c r="L126">
        <v>-2980188972</v>
      </c>
      <c r="P126">
        <v>7593</v>
      </c>
      <c r="Q126" t="s">
        <v>318</v>
      </c>
    </row>
    <row r="127" spans="1:17" x14ac:dyDescent="0.3">
      <c r="A127" t="s">
        <v>17</v>
      </c>
      <c r="B127" t="str">
        <f>"600031"</f>
        <v>600031</v>
      </c>
      <c r="C127" t="s">
        <v>319</v>
      </c>
      <c r="D127" t="s">
        <v>320</v>
      </c>
      <c r="E127">
        <v>1994399000</v>
      </c>
      <c r="F127">
        <v>956780000</v>
      </c>
      <c r="G127">
        <v>-894887000</v>
      </c>
      <c r="H127">
        <v>3823418000</v>
      </c>
      <c r="I127">
        <v>2592280000</v>
      </c>
      <c r="J127">
        <v>2999112000</v>
      </c>
      <c r="K127">
        <v>-286959000</v>
      </c>
      <c r="L127">
        <v>-962196000</v>
      </c>
      <c r="M127">
        <v>-806147000</v>
      </c>
      <c r="N127">
        <v>-3394038000</v>
      </c>
      <c r="O127">
        <v>-4389260744</v>
      </c>
      <c r="P127">
        <v>6538</v>
      </c>
      <c r="Q127" t="s">
        <v>321</v>
      </c>
    </row>
    <row r="128" spans="1:17" x14ac:dyDescent="0.3">
      <c r="A128" t="s">
        <v>17</v>
      </c>
      <c r="B128" t="str">
        <f>"600256"</f>
        <v>600256</v>
      </c>
      <c r="C128" t="s">
        <v>322</v>
      </c>
      <c r="D128" t="s">
        <v>323</v>
      </c>
      <c r="E128">
        <v>1982559660</v>
      </c>
      <c r="F128">
        <v>1534070666</v>
      </c>
      <c r="G128">
        <v>588091663</v>
      </c>
      <c r="H128">
        <v>518076264</v>
      </c>
      <c r="I128">
        <v>950267337</v>
      </c>
      <c r="J128">
        <v>76324489</v>
      </c>
      <c r="K128">
        <v>241452531</v>
      </c>
      <c r="L128">
        <v>541183300</v>
      </c>
      <c r="M128">
        <v>174730995</v>
      </c>
      <c r="N128">
        <v>60135735</v>
      </c>
      <c r="O128">
        <v>-166274501</v>
      </c>
      <c r="P128">
        <v>494</v>
      </c>
      <c r="Q128" t="s">
        <v>324</v>
      </c>
    </row>
    <row r="129" spans="1:17" x14ac:dyDescent="0.3">
      <c r="A129" t="s">
        <v>33</v>
      </c>
      <c r="B129" t="str">
        <f>"000898"</f>
        <v>000898</v>
      </c>
      <c r="C129" t="s">
        <v>325</v>
      </c>
      <c r="D129" t="s">
        <v>131</v>
      </c>
      <c r="E129">
        <v>1975000000</v>
      </c>
      <c r="F129">
        <v>1908000000</v>
      </c>
      <c r="G129">
        <v>-3064000000</v>
      </c>
      <c r="H129">
        <v>2009000000</v>
      </c>
      <c r="I129">
        <v>-658000000</v>
      </c>
      <c r="J129">
        <v>437000000</v>
      </c>
      <c r="K129">
        <v>-1385000000</v>
      </c>
      <c r="L129">
        <v>933000000</v>
      </c>
      <c r="M129">
        <v>1045000000</v>
      </c>
      <c r="N129">
        <v>5487000000</v>
      </c>
      <c r="O129">
        <v>2705000000</v>
      </c>
      <c r="P129">
        <v>646</v>
      </c>
      <c r="Q129" t="s">
        <v>326</v>
      </c>
    </row>
    <row r="130" spans="1:17" x14ac:dyDescent="0.3">
      <c r="A130" t="s">
        <v>17</v>
      </c>
      <c r="B130" t="str">
        <f>"600155"</f>
        <v>600155</v>
      </c>
      <c r="C130" t="s">
        <v>327</v>
      </c>
      <c r="D130" t="s">
        <v>52</v>
      </c>
      <c r="E130">
        <v>1959649218</v>
      </c>
      <c r="F130">
        <v>566784898</v>
      </c>
      <c r="G130">
        <v>2394057837</v>
      </c>
      <c r="H130">
        <v>811854908</v>
      </c>
      <c r="I130">
        <v>464509568</v>
      </c>
      <c r="J130">
        <v>-1210670282</v>
      </c>
      <c r="K130">
        <v>-34823477</v>
      </c>
      <c r="L130">
        <v>-26007196</v>
      </c>
      <c r="M130">
        <v>-109784038</v>
      </c>
      <c r="N130">
        <v>-5840021</v>
      </c>
      <c r="O130">
        <v>-40097845</v>
      </c>
      <c r="P130">
        <v>630</v>
      </c>
      <c r="Q130" t="s">
        <v>328</v>
      </c>
    </row>
    <row r="131" spans="1:17" x14ac:dyDescent="0.3">
      <c r="A131" t="s">
        <v>33</v>
      </c>
      <c r="B131" t="str">
        <f>"000951"</f>
        <v>000951</v>
      </c>
      <c r="C131" t="s">
        <v>329</v>
      </c>
      <c r="D131" t="s">
        <v>330</v>
      </c>
      <c r="E131">
        <v>1940194460</v>
      </c>
      <c r="F131">
        <v>-744661833</v>
      </c>
      <c r="G131">
        <v>770211046</v>
      </c>
      <c r="H131">
        <v>-236365811</v>
      </c>
      <c r="I131">
        <v>163031420</v>
      </c>
      <c r="J131">
        <v>-1424294670</v>
      </c>
      <c r="K131">
        <v>158184377</v>
      </c>
      <c r="L131">
        <v>307161108</v>
      </c>
      <c r="M131">
        <v>161893517</v>
      </c>
      <c r="N131">
        <v>-20209257</v>
      </c>
      <c r="O131">
        <v>-1038891641</v>
      </c>
      <c r="P131">
        <v>856</v>
      </c>
      <c r="Q131" t="s">
        <v>331</v>
      </c>
    </row>
    <row r="132" spans="1:17" x14ac:dyDescent="0.3">
      <c r="A132" t="s">
        <v>17</v>
      </c>
      <c r="B132" t="str">
        <f>"600111"</f>
        <v>600111</v>
      </c>
      <c r="C132" t="s">
        <v>332</v>
      </c>
      <c r="D132" t="s">
        <v>333</v>
      </c>
      <c r="E132">
        <v>1917681787</v>
      </c>
      <c r="F132">
        <v>660608370</v>
      </c>
      <c r="G132">
        <v>504165441</v>
      </c>
      <c r="H132">
        <v>319336273</v>
      </c>
      <c r="I132">
        <v>704853715</v>
      </c>
      <c r="J132">
        <v>-54315831</v>
      </c>
      <c r="K132">
        <v>105903963</v>
      </c>
      <c r="L132">
        <v>769370982</v>
      </c>
      <c r="M132">
        <v>33316121</v>
      </c>
      <c r="N132">
        <v>-378536115</v>
      </c>
      <c r="O132">
        <v>-667990770</v>
      </c>
      <c r="P132">
        <v>1179</v>
      </c>
      <c r="Q132" t="s">
        <v>334</v>
      </c>
    </row>
    <row r="133" spans="1:17" x14ac:dyDescent="0.3">
      <c r="A133" t="s">
        <v>33</v>
      </c>
      <c r="B133" t="str">
        <f>"002128"</f>
        <v>002128</v>
      </c>
      <c r="C133" t="s">
        <v>335</v>
      </c>
      <c r="D133" t="s">
        <v>77</v>
      </c>
      <c r="E133">
        <v>1915421977</v>
      </c>
      <c r="F133">
        <v>622286441</v>
      </c>
      <c r="G133">
        <v>875610780</v>
      </c>
      <c r="H133">
        <v>-195054217</v>
      </c>
      <c r="I133">
        <v>-162867221</v>
      </c>
      <c r="J133">
        <v>825466212</v>
      </c>
      <c r="K133">
        <v>-380608834</v>
      </c>
      <c r="L133">
        <v>-496794106</v>
      </c>
      <c r="M133">
        <v>-406466346</v>
      </c>
      <c r="N133">
        <v>-23333424</v>
      </c>
      <c r="O133">
        <v>-99130917</v>
      </c>
      <c r="P133">
        <v>1050</v>
      </c>
      <c r="Q133" t="s">
        <v>336</v>
      </c>
    </row>
    <row r="134" spans="1:17" x14ac:dyDescent="0.3">
      <c r="A134" t="s">
        <v>17</v>
      </c>
      <c r="B134" t="str">
        <f>"600546"</f>
        <v>600546</v>
      </c>
      <c r="C134" t="s">
        <v>337</v>
      </c>
      <c r="D134" t="s">
        <v>77</v>
      </c>
      <c r="E134">
        <v>1909655346</v>
      </c>
      <c r="F134">
        <v>371245628</v>
      </c>
      <c r="G134">
        <v>-71588523</v>
      </c>
      <c r="H134">
        <v>624731632</v>
      </c>
      <c r="I134">
        <v>385850626</v>
      </c>
      <c r="J134">
        <v>422478235</v>
      </c>
      <c r="K134">
        <v>48721153</v>
      </c>
      <c r="L134">
        <v>441917366</v>
      </c>
      <c r="M134">
        <v>877941773</v>
      </c>
      <c r="N134">
        <v>940454054</v>
      </c>
      <c r="O134">
        <v>-542215722</v>
      </c>
      <c r="P134">
        <v>357</v>
      </c>
      <c r="Q134" t="s">
        <v>338</v>
      </c>
    </row>
    <row r="135" spans="1:17" x14ac:dyDescent="0.3">
      <c r="A135" t="s">
        <v>17</v>
      </c>
      <c r="B135" t="str">
        <f>"600985"</f>
        <v>600985</v>
      </c>
      <c r="C135" t="s">
        <v>339</v>
      </c>
      <c r="D135" t="s">
        <v>265</v>
      </c>
      <c r="E135">
        <v>1795392258</v>
      </c>
      <c r="F135">
        <v>985372820</v>
      </c>
      <c r="G135">
        <v>430456689</v>
      </c>
      <c r="H135">
        <v>2337398080</v>
      </c>
      <c r="I135">
        <v>-7294879</v>
      </c>
      <c r="J135">
        <v>9308343</v>
      </c>
      <c r="K135">
        <v>-5735616</v>
      </c>
      <c r="L135">
        <v>-17625645</v>
      </c>
      <c r="M135">
        <v>15002726</v>
      </c>
      <c r="N135">
        <v>-20952572</v>
      </c>
      <c r="O135">
        <v>-13123841</v>
      </c>
      <c r="P135">
        <v>1007</v>
      </c>
      <c r="Q135" t="s">
        <v>340</v>
      </c>
    </row>
    <row r="136" spans="1:17" x14ac:dyDescent="0.3">
      <c r="A136" t="s">
        <v>17</v>
      </c>
      <c r="B136" t="str">
        <f>"688298"</f>
        <v>688298</v>
      </c>
      <c r="C136" t="s">
        <v>341</v>
      </c>
      <c r="D136" t="s">
        <v>221</v>
      </c>
      <c r="E136">
        <v>1774121997</v>
      </c>
      <c r="F136">
        <v>1277675312</v>
      </c>
      <c r="G136">
        <v>143151309</v>
      </c>
      <c r="H136">
        <v>2410889</v>
      </c>
      <c r="P136">
        <v>477</v>
      </c>
      <c r="Q136" t="s">
        <v>342</v>
      </c>
    </row>
    <row r="137" spans="1:17" x14ac:dyDescent="0.3">
      <c r="A137" t="s">
        <v>17</v>
      </c>
      <c r="B137" t="str">
        <f>"601138"</f>
        <v>601138</v>
      </c>
      <c r="C137" t="s">
        <v>343</v>
      </c>
      <c r="D137" t="s">
        <v>226</v>
      </c>
      <c r="E137">
        <v>1756798000</v>
      </c>
      <c r="F137">
        <v>7284969000</v>
      </c>
      <c r="G137">
        <v>-487139000</v>
      </c>
      <c r="H137">
        <v>3820118000</v>
      </c>
      <c r="I137">
        <v>18025785000</v>
      </c>
      <c r="J137">
        <v>9284511000</v>
      </c>
      <c r="P137">
        <v>1318</v>
      </c>
      <c r="Q137" t="s">
        <v>344</v>
      </c>
    </row>
    <row r="138" spans="1:17" x14ac:dyDescent="0.3">
      <c r="A138" t="s">
        <v>17</v>
      </c>
      <c r="B138" t="str">
        <f>"601018"</f>
        <v>601018</v>
      </c>
      <c r="C138" t="s">
        <v>345</v>
      </c>
      <c r="D138" t="s">
        <v>289</v>
      </c>
      <c r="E138">
        <v>1751517000</v>
      </c>
      <c r="F138">
        <v>-390773000</v>
      </c>
      <c r="G138">
        <v>4573282000</v>
      </c>
      <c r="H138">
        <v>-1751766000</v>
      </c>
      <c r="I138">
        <v>1483879000</v>
      </c>
      <c r="J138">
        <v>-867503000</v>
      </c>
      <c r="K138">
        <v>324698000</v>
      </c>
      <c r="L138">
        <v>-858606000</v>
      </c>
      <c r="M138">
        <v>501588000</v>
      </c>
      <c r="N138">
        <v>374449000</v>
      </c>
      <c r="O138">
        <v>-232795000</v>
      </c>
      <c r="P138">
        <v>335</v>
      </c>
      <c r="Q138" t="s">
        <v>346</v>
      </c>
    </row>
    <row r="139" spans="1:17" x14ac:dyDescent="0.3">
      <c r="A139" t="s">
        <v>17</v>
      </c>
      <c r="B139" t="str">
        <f>"600968"</f>
        <v>600968</v>
      </c>
      <c r="C139" t="s">
        <v>347</v>
      </c>
      <c r="D139" t="s">
        <v>348</v>
      </c>
      <c r="E139">
        <v>1735740934</v>
      </c>
      <c r="F139">
        <v>101664657</v>
      </c>
      <c r="G139">
        <v>687399267</v>
      </c>
      <c r="H139">
        <v>1256254321</v>
      </c>
      <c r="I139">
        <v>1572428197</v>
      </c>
      <c r="P139">
        <v>189</v>
      </c>
      <c r="Q139" t="s">
        <v>349</v>
      </c>
    </row>
    <row r="140" spans="1:17" x14ac:dyDescent="0.3">
      <c r="A140" t="s">
        <v>33</v>
      </c>
      <c r="B140" t="str">
        <f>"002416"</f>
        <v>002416</v>
      </c>
      <c r="C140" t="s">
        <v>350</v>
      </c>
      <c r="D140" t="s">
        <v>351</v>
      </c>
      <c r="E140">
        <v>1723713926</v>
      </c>
      <c r="F140">
        <v>806983151</v>
      </c>
      <c r="G140">
        <v>1372974955</v>
      </c>
      <c r="H140">
        <v>1233219547</v>
      </c>
      <c r="I140">
        <v>474555901</v>
      </c>
      <c r="J140">
        <v>-274387379</v>
      </c>
      <c r="K140">
        <v>28147195</v>
      </c>
      <c r="L140">
        <v>-922089983</v>
      </c>
      <c r="M140">
        <v>804619370</v>
      </c>
      <c r="N140">
        <v>-1528898198</v>
      </c>
      <c r="O140">
        <v>-391884860</v>
      </c>
      <c r="P140">
        <v>251</v>
      </c>
      <c r="Q140" t="s">
        <v>352</v>
      </c>
    </row>
    <row r="141" spans="1:17" x14ac:dyDescent="0.3">
      <c r="A141" t="s">
        <v>17</v>
      </c>
      <c r="B141" t="str">
        <f>"601666"</f>
        <v>601666</v>
      </c>
      <c r="C141" t="s">
        <v>353</v>
      </c>
      <c r="D141" t="s">
        <v>265</v>
      </c>
      <c r="E141">
        <v>1717807357</v>
      </c>
      <c r="F141">
        <v>1937833863</v>
      </c>
      <c r="G141">
        <v>69570968</v>
      </c>
      <c r="H141">
        <v>835849089</v>
      </c>
      <c r="I141">
        <v>1596086139</v>
      </c>
      <c r="J141">
        <v>539826220</v>
      </c>
      <c r="K141">
        <v>-577283887</v>
      </c>
      <c r="L141">
        <v>462838423</v>
      </c>
      <c r="M141">
        <v>658737538</v>
      </c>
      <c r="N141">
        <v>368709921</v>
      </c>
      <c r="O141">
        <v>408873514</v>
      </c>
      <c r="P141">
        <v>401</v>
      </c>
      <c r="Q141" t="s">
        <v>354</v>
      </c>
    </row>
    <row r="142" spans="1:17" x14ac:dyDescent="0.3">
      <c r="A142" t="s">
        <v>33</v>
      </c>
      <c r="B142" t="str">
        <f>"000736"</f>
        <v>000736</v>
      </c>
      <c r="C142" t="s">
        <v>355</v>
      </c>
      <c r="D142" t="s">
        <v>167</v>
      </c>
      <c r="E142">
        <v>1706336489</v>
      </c>
      <c r="F142">
        <v>-3310650691</v>
      </c>
      <c r="G142">
        <v>-9018759201</v>
      </c>
      <c r="H142">
        <v>-3431330553</v>
      </c>
      <c r="I142">
        <v>-100563623</v>
      </c>
      <c r="J142">
        <v>889885545</v>
      </c>
      <c r="K142">
        <v>235618297</v>
      </c>
      <c r="L142">
        <v>-196775480</v>
      </c>
      <c r="M142">
        <v>-164517425</v>
      </c>
      <c r="N142">
        <v>-131865289</v>
      </c>
      <c r="O142">
        <v>-4984268</v>
      </c>
      <c r="P142">
        <v>189</v>
      </c>
      <c r="Q142" t="s">
        <v>356</v>
      </c>
    </row>
    <row r="143" spans="1:17" x14ac:dyDescent="0.3">
      <c r="A143" t="s">
        <v>33</v>
      </c>
      <c r="B143" t="str">
        <f>"300999"</f>
        <v>300999</v>
      </c>
      <c r="C143" t="s">
        <v>357</v>
      </c>
      <c r="D143" t="s">
        <v>358</v>
      </c>
      <c r="E143">
        <v>1699468000</v>
      </c>
      <c r="F143">
        <v>1479923000</v>
      </c>
      <c r="G143">
        <v>7824560000</v>
      </c>
      <c r="H143">
        <v>7383060000</v>
      </c>
      <c r="P143">
        <v>1181</v>
      </c>
      <c r="Q143" t="s">
        <v>359</v>
      </c>
    </row>
    <row r="144" spans="1:17" x14ac:dyDescent="0.3">
      <c r="A144" t="s">
        <v>17</v>
      </c>
      <c r="B144" t="str">
        <f>"601231"</f>
        <v>601231</v>
      </c>
      <c r="C144" t="s">
        <v>360</v>
      </c>
      <c r="D144" t="s">
        <v>226</v>
      </c>
      <c r="E144">
        <v>1693989779</v>
      </c>
      <c r="F144">
        <v>-217236056</v>
      </c>
      <c r="G144">
        <v>328147983</v>
      </c>
      <c r="H144">
        <v>884269019</v>
      </c>
      <c r="I144">
        <v>515200192</v>
      </c>
      <c r="J144">
        <v>721091175</v>
      </c>
      <c r="K144">
        <v>266280058</v>
      </c>
      <c r="L144">
        <v>121100357</v>
      </c>
      <c r="M144">
        <v>767597534</v>
      </c>
      <c r="N144">
        <v>923575351</v>
      </c>
      <c r="O144">
        <v>258499988</v>
      </c>
      <c r="P144">
        <v>735</v>
      </c>
      <c r="Q144" t="s">
        <v>361</v>
      </c>
    </row>
    <row r="145" spans="1:17" x14ac:dyDescent="0.3">
      <c r="A145" t="s">
        <v>17</v>
      </c>
      <c r="B145" t="str">
        <f>"600846"</f>
        <v>600846</v>
      </c>
      <c r="C145" t="s">
        <v>362</v>
      </c>
      <c r="D145" t="s">
        <v>167</v>
      </c>
      <c r="E145">
        <v>1664212333</v>
      </c>
      <c r="F145">
        <v>-323286582</v>
      </c>
      <c r="G145">
        <v>-754667661</v>
      </c>
      <c r="H145">
        <v>-522390461</v>
      </c>
      <c r="I145">
        <v>1386941116</v>
      </c>
      <c r="J145">
        <v>-217401774</v>
      </c>
      <c r="K145">
        <v>257504709</v>
      </c>
      <c r="L145">
        <v>-14815286</v>
      </c>
      <c r="M145">
        <v>-861899562</v>
      </c>
      <c r="N145">
        <v>80930991</v>
      </c>
      <c r="O145">
        <v>-109884218</v>
      </c>
      <c r="P145">
        <v>357</v>
      </c>
      <c r="Q145" t="s">
        <v>363</v>
      </c>
    </row>
    <row r="146" spans="1:17" x14ac:dyDescent="0.3">
      <c r="A146" t="s">
        <v>33</v>
      </c>
      <c r="B146" t="str">
        <f>"000807"</f>
        <v>000807</v>
      </c>
      <c r="C146" t="s">
        <v>364</v>
      </c>
      <c r="D146" t="s">
        <v>140</v>
      </c>
      <c r="E146">
        <v>1650792352</v>
      </c>
      <c r="F146">
        <v>1454741843</v>
      </c>
      <c r="G146">
        <v>382623180</v>
      </c>
      <c r="H146">
        <v>695662692</v>
      </c>
      <c r="I146">
        <v>476496505</v>
      </c>
      <c r="J146">
        <v>405352172</v>
      </c>
      <c r="K146">
        <v>65507880</v>
      </c>
      <c r="L146">
        <v>-559712126</v>
      </c>
      <c r="M146">
        <v>599905930</v>
      </c>
      <c r="N146">
        <v>-70527748</v>
      </c>
      <c r="O146">
        <v>324030711</v>
      </c>
      <c r="P146">
        <v>551</v>
      </c>
      <c r="Q146" t="s">
        <v>365</v>
      </c>
    </row>
    <row r="147" spans="1:17" x14ac:dyDescent="0.3">
      <c r="A147" t="s">
        <v>17</v>
      </c>
      <c r="B147" t="str">
        <f>"600905"</f>
        <v>600905</v>
      </c>
      <c r="C147" t="s">
        <v>366</v>
      </c>
      <c r="D147" t="s">
        <v>367</v>
      </c>
      <c r="E147">
        <v>1646487361</v>
      </c>
      <c r="F147">
        <v>1915810490</v>
      </c>
      <c r="G147">
        <v>991507420</v>
      </c>
      <c r="P147">
        <v>657</v>
      </c>
      <c r="Q147" t="s">
        <v>368</v>
      </c>
    </row>
    <row r="148" spans="1:17" x14ac:dyDescent="0.3">
      <c r="A148" t="s">
        <v>17</v>
      </c>
      <c r="B148" t="str">
        <f>"600584"</f>
        <v>600584</v>
      </c>
      <c r="C148" t="s">
        <v>369</v>
      </c>
      <c r="D148" t="s">
        <v>370</v>
      </c>
      <c r="E148">
        <v>1639597961</v>
      </c>
      <c r="F148">
        <v>1204363802</v>
      </c>
      <c r="G148">
        <v>1148584190</v>
      </c>
      <c r="H148">
        <v>169193210</v>
      </c>
      <c r="I148">
        <v>138083389</v>
      </c>
      <c r="J148">
        <v>268301122</v>
      </c>
      <c r="K148">
        <v>191157676</v>
      </c>
      <c r="L148">
        <v>99292853</v>
      </c>
      <c r="M148">
        <v>42401828</v>
      </c>
      <c r="N148">
        <v>93777264</v>
      </c>
      <c r="O148">
        <v>188477240</v>
      </c>
      <c r="P148">
        <v>1664</v>
      </c>
      <c r="Q148" t="s">
        <v>371</v>
      </c>
    </row>
    <row r="149" spans="1:17" x14ac:dyDescent="0.3">
      <c r="A149" t="s">
        <v>17</v>
      </c>
      <c r="B149" t="str">
        <f>"600808"</f>
        <v>600808</v>
      </c>
      <c r="C149" t="s">
        <v>372</v>
      </c>
      <c r="D149" t="s">
        <v>131</v>
      </c>
      <c r="E149">
        <v>1637434029</v>
      </c>
      <c r="F149">
        <v>2193893473</v>
      </c>
      <c r="G149">
        <v>-3126708674</v>
      </c>
      <c r="H149">
        <v>-2289422589</v>
      </c>
      <c r="I149">
        <v>633496091</v>
      </c>
      <c r="J149">
        <v>1644749451</v>
      </c>
      <c r="K149">
        <v>2385380026</v>
      </c>
      <c r="L149">
        <v>2300177640</v>
      </c>
      <c r="M149">
        <v>-522528126</v>
      </c>
      <c r="N149">
        <v>678309882</v>
      </c>
      <c r="O149">
        <v>816555994</v>
      </c>
      <c r="P149">
        <v>636</v>
      </c>
      <c r="Q149" t="s">
        <v>373</v>
      </c>
    </row>
    <row r="150" spans="1:17" x14ac:dyDescent="0.3">
      <c r="A150" t="s">
        <v>17</v>
      </c>
      <c r="B150" t="str">
        <f>"600823"</f>
        <v>600823</v>
      </c>
      <c r="C150" t="s">
        <v>374</v>
      </c>
      <c r="D150" t="s">
        <v>167</v>
      </c>
      <c r="E150">
        <v>1636051250</v>
      </c>
      <c r="F150">
        <v>-1213070033</v>
      </c>
      <c r="G150">
        <v>-793554265</v>
      </c>
      <c r="H150">
        <v>-2595541338</v>
      </c>
      <c r="I150">
        <v>-349765731</v>
      </c>
      <c r="J150">
        <v>-244200517</v>
      </c>
      <c r="K150">
        <v>523045384</v>
      </c>
      <c r="L150">
        <v>-1177909647</v>
      </c>
      <c r="M150">
        <v>-2166516505</v>
      </c>
      <c r="N150">
        <v>166943139</v>
      </c>
      <c r="O150">
        <v>-1347198130</v>
      </c>
      <c r="P150">
        <v>1056</v>
      </c>
      <c r="Q150" t="s">
        <v>375</v>
      </c>
    </row>
    <row r="151" spans="1:17" x14ac:dyDescent="0.3">
      <c r="A151" t="s">
        <v>33</v>
      </c>
      <c r="B151" t="str">
        <f>"002027"</f>
        <v>002027</v>
      </c>
      <c r="C151" t="s">
        <v>376</v>
      </c>
      <c r="D151" t="s">
        <v>377</v>
      </c>
      <c r="E151">
        <v>1620514397</v>
      </c>
      <c r="F151">
        <v>1572633573</v>
      </c>
      <c r="G151">
        <v>658313702</v>
      </c>
      <c r="H151">
        <v>581559069</v>
      </c>
      <c r="I151">
        <v>683465999</v>
      </c>
      <c r="J151">
        <v>951616034</v>
      </c>
      <c r="K151">
        <v>510278838</v>
      </c>
      <c r="L151">
        <v>18632805</v>
      </c>
      <c r="M151">
        <v>13056240</v>
      </c>
      <c r="N151">
        <v>-2256590</v>
      </c>
      <c r="O151">
        <v>-52435739</v>
      </c>
      <c r="P151">
        <v>5236</v>
      </c>
      <c r="Q151" t="s">
        <v>378</v>
      </c>
    </row>
    <row r="152" spans="1:17" x14ac:dyDescent="0.3">
      <c r="A152" t="s">
        <v>17</v>
      </c>
      <c r="B152" t="str">
        <f>"601528"</f>
        <v>601528</v>
      </c>
      <c r="C152" t="s">
        <v>379</v>
      </c>
      <c r="D152" t="s">
        <v>58</v>
      </c>
      <c r="E152">
        <v>1597189000</v>
      </c>
      <c r="F152">
        <v>-4872253385</v>
      </c>
      <c r="G152">
        <v>-3022564900</v>
      </c>
      <c r="P152">
        <v>49</v>
      </c>
      <c r="Q152" t="s">
        <v>380</v>
      </c>
    </row>
    <row r="153" spans="1:17" x14ac:dyDescent="0.3">
      <c r="A153" t="s">
        <v>33</v>
      </c>
      <c r="B153" t="str">
        <f>"000825"</f>
        <v>000825</v>
      </c>
      <c r="C153" t="s">
        <v>381</v>
      </c>
      <c r="D153" t="s">
        <v>253</v>
      </c>
      <c r="E153">
        <v>1588343449</v>
      </c>
      <c r="F153">
        <v>3361754978</v>
      </c>
      <c r="G153">
        <v>-1136066669</v>
      </c>
      <c r="H153">
        <v>1451912361</v>
      </c>
      <c r="I153">
        <v>1149288491</v>
      </c>
      <c r="J153">
        <v>542644123</v>
      </c>
      <c r="K153">
        <v>2126118447</v>
      </c>
      <c r="L153">
        <v>875731445</v>
      </c>
      <c r="M153">
        <v>144951546</v>
      </c>
      <c r="N153">
        <v>536180395</v>
      </c>
      <c r="O153">
        <v>2321972570</v>
      </c>
      <c r="P153">
        <v>581</v>
      </c>
      <c r="Q153" t="s">
        <v>382</v>
      </c>
    </row>
    <row r="154" spans="1:17" x14ac:dyDescent="0.3">
      <c r="A154" t="s">
        <v>17</v>
      </c>
      <c r="B154" t="str">
        <f>"600236"</f>
        <v>600236</v>
      </c>
      <c r="C154" t="s">
        <v>383</v>
      </c>
      <c r="D154" t="s">
        <v>205</v>
      </c>
      <c r="E154">
        <v>1583946992</v>
      </c>
      <c r="F154">
        <v>1551050608</v>
      </c>
      <c r="G154">
        <v>1051332489</v>
      </c>
      <c r="H154">
        <v>1434771158</v>
      </c>
      <c r="I154">
        <v>1751640876</v>
      </c>
      <c r="J154">
        <v>1037053587</v>
      </c>
      <c r="K154">
        <v>1304782505</v>
      </c>
      <c r="L154">
        <v>798448890</v>
      </c>
      <c r="M154">
        <v>513356779</v>
      </c>
      <c r="N154">
        <v>779158577</v>
      </c>
      <c r="O154">
        <v>173701078</v>
      </c>
      <c r="P154">
        <v>651</v>
      </c>
      <c r="Q154" t="s">
        <v>384</v>
      </c>
    </row>
    <row r="155" spans="1:17" x14ac:dyDescent="0.3">
      <c r="A155" t="s">
        <v>17</v>
      </c>
      <c r="B155" t="str">
        <f>"600096"</f>
        <v>600096</v>
      </c>
      <c r="C155" t="s">
        <v>385</v>
      </c>
      <c r="D155" t="s">
        <v>386</v>
      </c>
      <c r="E155">
        <v>1525790686</v>
      </c>
      <c r="F155">
        <v>1256469919</v>
      </c>
      <c r="G155">
        <v>1026878924</v>
      </c>
      <c r="H155">
        <v>981242574</v>
      </c>
      <c r="I155">
        <v>351846980</v>
      </c>
      <c r="J155">
        <v>104747462</v>
      </c>
      <c r="K155">
        <v>-436721410</v>
      </c>
      <c r="L155">
        <v>868743076</v>
      </c>
      <c r="M155">
        <v>-2132421701</v>
      </c>
      <c r="N155">
        <v>4980391</v>
      </c>
      <c r="O155">
        <v>279580490</v>
      </c>
      <c r="P155">
        <v>390</v>
      </c>
      <c r="Q155" t="s">
        <v>387</v>
      </c>
    </row>
    <row r="156" spans="1:17" x14ac:dyDescent="0.3">
      <c r="A156" t="s">
        <v>33</v>
      </c>
      <c r="B156" t="str">
        <f>"002241"</f>
        <v>002241</v>
      </c>
      <c r="C156" t="s">
        <v>388</v>
      </c>
      <c r="D156" t="s">
        <v>226</v>
      </c>
      <c r="E156">
        <v>1466497951</v>
      </c>
      <c r="F156">
        <v>873274389</v>
      </c>
      <c r="G156">
        <v>398369722</v>
      </c>
      <c r="H156">
        <v>523495029</v>
      </c>
      <c r="I156">
        <v>742372492</v>
      </c>
      <c r="J156">
        <v>357015080</v>
      </c>
      <c r="K156">
        <v>49948939</v>
      </c>
      <c r="L156">
        <v>358421586</v>
      </c>
      <c r="M156">
        <v>437944441</v>
      </c>
      <c r="N156">
        <v>182383582</v>
      </c>
      <c r="O156">
        <v>53236211</v>
      </c>
      <c r="P156">
        <v>3528</v>
      </c>
      <c r="Q156" t="s">
        <v>389</v>
      </c>
    </row>
    <row r="157" spans="1:17" x14ac:dyDescent="0.3">
      <c r="A157" t="s">
        <v>17</v>
      </c>
      <c r="B157" t="str">
        <f>"600711"</f>
        <v>600711</v>
      </c>
      <c r="C157" t="s">
        <v>390</v>
      </c>
      <c r="D157" t="s">
        <v>391</v>
      </c>
      <c r="E157">
        <v>1445895257</v>
      </c>
      <c r="F157">
        <v>916300222</v>
      </c>
      <c r="G157">
        <v>-376979756</v>
      </c>
      <c r="H157">
        <v>-145799421</v>
      </c>
      <c r="I157">
        <v>-1519369919</v>
      </c>
      <c r="J157">
        <v>48994836</v>
      </c>
      <c r="K157">
        <v>-44038953</v>
      </c>
      <c r="L157">
        <v>-319229945</v>
      </c>
      <c r="M157">
        <v>-271389190</v>
      </c>
      <c r="N157">
        <v>14093458</v>
      </c>
      <c r="O157">
        <v>2786281</v>
      </c>
      <c r="P157">
        <v>377</v>
      </c>
      <c r="Q157" t="s">
        <v>392</v>
      </c>
    </row>
    <row r="158" spans="1:17" x14ac:dyDescent="0.3">
      <c r="A158" t="s">
        <v>33</v>
      </c>
      <c r="B158" t="str">
        <f>"000785"</f>
        <v>000785</v>
      </c>
      <c r="C158" t="s">
        <v>393</v>
      </c>
      <c r="D158" t="s">
        <v>394</v>
      </c>
      <c r="E158">
        <v>1440136814</v>
      </c>
      <c r="F158">
        <v>1188489133</v>
      </c>
      <c r="G158">
        <v>-1232004357</v>
      </c>
      <c r="H158">
        <v>-138030776</v>
      </c>
      <c r="I158">
        <v>-75539208</v>
      </c>
      <c r="J158">
        <v>-29145890</v>
      </c>
      <c r="K158">
        <v>-27962697</v>
      </c>
      <c r="L158">
        <v>-51461273</v>
      </c>
      <c r="M158">
        <v>-20923581</v>
      </c>
      <c r="N158">
        <v>66314291</v>
      </c>
      <c r="O158">
        <v>108441947</v>
      </c>
      <c r="P158">
        <v>333</v>
      </c>
      <c r="Q158" t="s">
        <v>395</v>
      </c>
    </row>
    <row r="159" spans="1:17" x14ac:dyDescent="0.3">
      <c r="A159" t="s">
        <v>17</v>
      </c>
      <c r="B159" t="str">
        <f>"601377"</f>
        <v>601377</v>
      </c>
      <c r="C159" t="s">
        <v>396</v>
      </c>
      <c r="D159" t="s">
        <v>52</v>
      </c>
      <c r="E159">
        <v>1422425379</v>
      </c>
      <c r="F159">
        <v>7971845094</v>
      </c>
      <c r="G159">
        <v>11344016829</v>
      </c>
      <c r="H159">
        <v>10225648525</v>
      </c>
      <c r="I159">
        <v>3466417965</v>
      </c>
      <c r="J159">
        <v>-4758462212</v>
      </c>
      <c r="K159">
        <v>-4479933434</v>
      </c>
      <c r="L159">
        <v>-2954905857</v>
      </c>
      <c r="M159">
        <v>49675960</v>
      </c>
      <c r="N159">
        <v>580846858</v>
      </c>
      <c r="O159">
        <v>1636005703</v>
      </c>
      <c r="P159">
        <v>1731</v>
      </c>
      <c r="Q159" t="s">
        <v>397</v>
      </c>
    </row>
    <row r="160" spans="1:17" x14ac:dyDescent="0.3">
      <c r="A160" t="s">
        <v>33</v>
      </c>
      <c r="B160" t="str">
        <f>"002532"</f>
        <v>002532</v>
      </c>
      <c r="C160" t="s">
        <v>398</v>
      </c>
      <c r="D160" t="s">
        <v>140</v>
      </c>
      <c r="E160">
        <v>1387245885</v>
      </c>
      <c r="F160">
        <v>-1249094902</v>
      </c>
      <c r="G160">
        <v>24845015</v>
      </c>
      <c r="H160">
        <v>-12631611</v>
      </c>
      <c r="I160">
        <v>-53969343</v>
      </c>
      <c r="J160">
        <v>-37289732</v>
      </c>
      <c r="K160">
        <v>22849248</v>
      </c>
      <c r="L160">
        <v>-40977700</v>
      </c>
      <c r="M160">
        <v>-71011284</v>
      </c>
      <c r="N160">
        <v>-36561557</v>
      </c>
      <c r="O160">
        <v>-8877335</v>
      </c>
      <c r="P160">
        <v>424</v>
      </c>
      <c r="Q160" t="s">
        <v>399</v>
      </c>
    </row>
    <row r="161" spans="1:17" x14ac:dyDescent="0.3">
      <c r="A161" t="s">
        <v>17</v>
      </c>
      <c r="B161" t="str">
        <f>"600989"</f>
        <v>600989</v>
      </c>
      <c r="C161" t="s">
        <v>400</v>
      </c>
      <c r="D161" t="s">
        <v>301</v>
      </c>
      <c r="E161">
        <v>1382505802</v>
      </c>
      <c r="F161">
        <v>1676416264</v>
      </c>
      <c r="G161">
        <v>1290554885</v>
      </c>
      <c r="H161">
        <v>879765721</v>
      </c>
      <c r="J161">
        <v>763848907</v>
      </c>
      <c r="P161">
        <v>769</v>
      </c>
      <c r="Q161" t="s">
        <v>401</v>
      </c>
    </row>
    <row r="162" spans="1:17" x14ac:dyDescent="0.3">
      <c r="A162" t="s">
        <v>17</v>
      </c>
      <c r="B162" t="str">
        <f>"601816"</f>
        <v>601816</v>
      </c>
      <c r="C162" t="s">
        <v>402</v>
      </c>
      <c r="D162" t="s">
        <v>403</v>
      </c>
      <c r="E162">
        <v>1374523780</v>
      </c>
      <c r="F162">
        <v>1964084525</v>
      </c>
      <c r="G162">
        <v>2615795972</v>
      </c>
      <c r="H162">
        <v>4013690780</v>
      </c>
      <c r="P162">
        <v>977</v>
      </c>
      <c r="Q162" t="s">
        <v>404</v>
      </c>
    </row>
    <row r="163" spans="1:17" x14ac:dyDescent="0.3">
      <c r="A163" t="s">
        <v>33</v>
      </c>
      <c r="B163" t="str">
        <f>"000027"</f>
        <v>000027</v>
      </c>
      <c r="C163" t="s">
        <v>405</v>
      </c>
      <c r="D163" t="s">
        <v>145</v>
      </c>
      <c r="E163">
        <v>1366930954</v>
      </c>
      <c r="F163">
        <v>686948231</v>
      </c>
      <c r="G163">
        <v>920843045</v>
      </c>
      <c r="H163">
        <v>1770994700</v>
      </c>
      <c r="I163">
        <v>461910857</v>
      </c>
      <c r="J163">
        <v>606244680</v>
      </c>
      <c r="K163">
        <v>488794786</v>
      </c>
      <c r="L163">
        <v>1037835143</v>
      </c>
      <c r="M163">
        <v>1209922498</v>
      </c>
      <c r="N163">
        <v>192627830</v>
      </c>
      <c r="O163">
        <v>385078086</v>
      </c>
      <c r="P163">
        <v>509</v>
      </c>
      <c r="Q163" t="s">
        <v>406</v>
      </c>
    </row>
    <row r="164" spans="1:17" x14ac:dyDescent="0.3">
      <c r="A164" t="s">
        <v>17</v>
      </c>
      <c r="B164" t="str">
        <f>"600660"</f>
        <v>600660</v>
      </c>
      <c r="C164" t="s">
        <v>407</v>
      </c>
      <c r="D164" t="s">
        <v>200</v>
      </c>
      <c r="E164">
        <v>1341209694</v>
      </c>
      <c r="F164">
        <v>1757993567</v>
      </c>
      <c r="G164">
        <v>870222855</v>
      </c>
      <c r="H164">
        <v>742548725</v>
      </c>
      <c r="I164">
        <v>1124024008</v>
      </c>
      <c r="J164">
        <v>1052335467</v>
      </c>
      <c r="K164">
        <v>595019344</v>
      </c>
      <c r="L164">
        <v>265239855</v>
      </c>
      <c r="M164">
        <v>516935027</v>
      </c>
      <c r="N164">
        <v>365380488</v>
      </c>
      <c r="O164">
        <v>449940296</v>
      </c>
      <c r="P164">
        <v>13818</v>
      </c>
      <c r="Q164" t="s">
        <v>408</v>
      </c>
    </row>
    <row r="165" spans="1:17" x14ac:dyDescent="0.3">
      <c r="A165" t="s">
        <v>17</v>
      </c>
      <c r="B165" t="str">
        <f>"600176"</f>
        <v>600176</v>
      </c>
      <c r="C165" t="s">
        <v>409</v>
      </c>
      <c r="D165" t="s">
        <v>410</v>
      </c>
      <c r="E165">
        <v>1335531221</v>
      </c>
      <c r="F165">
        <v>1219190652</v>
      </c>
      <c r="G165">
        <v>565705740</v>
      </c>
      <c r="H165">
        <v>538188993</v>
      </c>
      <c r="I165">
        <v>477444625</v>
      </c>
      <c r="J165">
        <v>425241801</v>
      </c>
      <c r="K165">
        <v>642273059</v>
      </c>
      <c r="L165">
        <v>300658158</v>
      </c>
      <c r="M165">
        <v>128696180</v>
      </c>
      <c r="N165">
        <v>2139743</v>
      </c>
      <c r="O165">
        <v>-12257727</v>
      </c>
      <c r="P165">
        <v>2781</v>
      </c>
      <c r="Q165" t="s">
        <v>411</v>
      </c>
    </row>
    <row r="166" spans="1:17" x14ac:dyDescent="0.3">
      <c r="A166" t="s">
        <v>17</v>
      </c>
      <c r="B166" t="str">
        <f>"600188"</f>
        <v>600188</v>
      </c>
      <c r="C166" t="s">
        <v>412</v>
      </c>
      <c r="D166" t="s">
        <v>77</v>
      </c>
      <c r="E166">
        <v>1332272000</v>
      </c>
      <c r="F166">
        <v>3158823000</v>
      </c>
      <c r="G166">
        <v>1336342000</v>
      </c>
      <c r="H166">
        <v>4424475000</v>
      </c>
      <c r="I166">
        <v>3270162000</v>
      </c>
      <c r="J166">
        <v>1060454000</v>
      </c>
      <c r="K166">
        <v>-296898000</v>
      </c>
      <c r="L166">
        <v>-3592589000</v>
      </c>
      <c r="M166">
        <v>-747074000</v>
      </c>
      <c r="N166">
        <v>-1993219171</v>
      </c>
      <c r="O166">
        <v>4253863273</v>
      </c>
      <c r="P166">
        <v>1939</v>
      </c>
      <c r="Q166" t="s">
        <v>413</v>
      </c>
    </row>
    <row r="167" spans="1:17" x14ac:dyDescent="0.3">
      <c r="A167" t="s">
        <v>33</v>
      </c>
      <c r="B167" t="str">
        <f>"002758"</f>
        <v>002758</v>
      </c>
      <c r="C167" t="s">
        <v>414</v>
      </c>
      <c r="D167" t="s">
        <v>415</v>
      </c>
      <c r="E167">
        <v>1321774181</v>
      </c>
      <c r="F167">
        <v>161456391</v>
      </c>
      <c r="G167">
        <v>-53274432</v>
      </c>
      <c r="H167">
        <v>-56552949</v>
      </c>
      <c r="I167">
        <v>-49070364</v>
      </c>
      <c r="J167">
        <v>-100551373</v>
      </c>
      <c r="K167">
        <v>-67460830</v>
      </c>
      <c r="L167">
        <v>-85697501</v>
      </c>
      <c r="M167">
        <v>-85235855</v>
      </c>
      <c r="P167">
        <v>180</v>
      </c>
      <c r="Q167" t="s">
        <v>416</v>
      </c>
    </row>
    <row r="168" spans="1:17" x14ac:dyDescent="0.3">
      <c r="A168" t="s">
        <v>33</v>
      </c>
      <c r="B168" t="str">
        <f>"002648"</f>
        <v>002648</v>
      </c>
      <c r="C168" t="s">
        <v>417</v>
      </c>
      <c r="D168" t="s">
        <v>418</v>
      </c>
      <c r="E168">
        <v>1316355709</v>
      </c>
      <c r="F168">
        <v>-367206925</v>
      </c>
      <c r="G168">
        <v>-395053098</v>
      </c>
      <c r="H168">
        <v>208061510</v>
      </c>
      <c r="I168">
        <v>-35325339</v>
      </c>
      <c r="J168">
        <v>9902084</v>
      </c>
      <c r="K168">
        <v>202911355</v>
      </c>
      <c r="L168">
        <v>320383582</v>
      </c>
      <c r="M168">
        <v>-413988909</v>
      </c>
      <c r="N168">
        <v>254641747</v>
      </c>
      <c r="O168">
        <v>10862255</v>
      </c>
      <c r="P168">
        <v>526</v>
      </c>
      <c r="Q168" t="s">
        <v>419</v>
      </c>
    </row>
    <row r="169" spans="1:17" x14ac:dyDescent="0.3">
      <c r="A169" t="s">
        <v>17</v>
      </c>
      <c r="B169" t="str">
        <f>"688303"</f>
        <v>688303</v>
      </c>
      <c r="C169" t="s">
        <v>420</v>
      </c>
      <c r="D169" t="s">
        <v>242</v>
      </c>
      <c r="E169">
        <v>1316050889</v>
      </c>
      <c r="F169">
        <v>293356591</v>
      </c>
      <c r="G169">
        <v>53189106</v>
      </c>
      <c r="P169">
        <v>108</v>
      </c>
      <c r="Q169" t="s">
        <v>421</v>
      </c>
    </row>
    <row r="170" spans="1:17" x14ac:dyDescent="0.3">
      <c r="A170" t="s">
        <v>33</v>
      </c>
      <c r="B170" t="str">
        <f>"000630"</f>
        <v>000630</v>
      </c>
      <c r="C170" t="s">
        <v>422</v>
      </c>
      <c r="D170" t="s">
        <v>153</v>
      </c>
      <c r="E170">
        <v>1312822933</v>
      </c>
      <c r="F170">
        <v>-1829739731</v>
      </c>
      <c r="G170">
        <v>1610124780</v>
      </c>
      <c r="H170">
        <v>280571805</v>
      </c>
      <c r="I170">
        <v>-686571373</v>
      </c>
      <c r="J170">
        <v>-1772133058</v>
      </c>
      <c r="K170">
        <v>1071414018</v>
      </c>
      <c r="L170">
        <v>1082571237</v>
      </c>
      <c r="M170">
        <v>128215709</v>
      </c>
      <c r="N170">
        <v>-1027901022</v>
      </c>
      <c r="O170">
        <v>-2066634277</v>
      </c>
      <c r="P170">
        <v>464</v>
      </c>
      <c r="Q170" t="s">
        <v>423</v>
      </c>
    </row>
    <row r="171" spans="1:17" x14ac:dyDescent="0.3">
      <c r="A171" t="s">
        <v>17</v>
      </c>
      <c r="B171" t="str">
        <f>"600578"</f>
        <v>600578</v>
      </c>
      <c r="C171" t="s">
        <v>424</v>
      </c>
      <c r="D171" t="s">
        <v>145</v>
      </c>
      <c r="E171">
        <v>1308942708</v>
      </c>
      <c r="F171">
        <v>1314614934</v>
      </c>
      <c r="G171">
        <v>1204463010</v>
      </c>
      <c r="H171">
        <v>930070654</v>
      </c>
      <c r="I171">
        <v>577150264</v>
      </c>
      <c r="J171">
        <v>125196132</v>
      </c>
      <c r="K171">
        <v>698939691</v>
      </c>
      <c r="L171">
        <v>1188192817</v>
      </c>
      <c r="M171">
        <v>1189463116</v>
      </c>
      <c r="N171">
        <v>1209477261</v>
      </c>
      <c r="O171">
        <v>463912102</v>
      </c>
      <c r="P171">
        <v>355</v>
      </c>
      <c r="Q171" t="s">
        <v>425</v>
      </c>
    </row>
    <row r="172" spans="1:17" x14ac:dyDescent="0.3">
      <c r="A172" t="s">
        <v>17</v>
      </c>
      <c r="B172" t="str">
        <f>"600997"</f>
        <v>600997</v>
      </c>
      <c r="C172" t="s">
        <v>426</v>
      </c>
      <c r="D172" t="s">
        <v>427</v>
      </c>
      <c r="E172">
        <v>1298735619</v>
      </c>
      <c r="F172">
        <v>726254906</v>
      </c>
      <c r="G172">
        <v>777313249</v>
      </c>
      <c r="H172">
        <v>611571498</v>
      </c>
      <c r="I172">
        <v>919505584</v>
      </c>
      <c r="J172">
        <v>108875709</v>
      </c>
      <c r="K172">
        <v>-89420289</v>
      </c>
      <c r="L172">
        <v>102182518</v>
      </c>
      <c r="M172">
        <v>661500409</v>
      </c>
      <c r="N172">
        <v>219878833</v>
      </c>
      <c r="O172">
        <v>538671856</v>
      </c>
      <c r="P172">
        <v>729</v>
      </c>
      <c r="Q172" t="s">
        <v>428</v>
      </c>
    </row>
    <row r="173" spans="1:17" x14ac:dyDescent="0.3">
      <c r="A173" t="s">
        <v>33</v>
      </c>
      <c r="B173" t="str">
        <f>"002024"</f>
        <v>002024</v>
      </c>
      <c r="C173" t="s">
        <v>429</v>
      </c>
      <c r="D173" t="s">
        <v>430</v>
      </c>
      <c r="E173">
        <v>1295878000</v>
      </c>
      <c r="F173">
        <v>468109000</v>
      </c>
      <c r="G173">
        <v>-3925437000</v>
      </c>
      <c r="H173">
        <v>-5817083000</v>
      </c>
      <c r="I173">
        <v>-2648892000</v>
      </c>
      <c r="J173">
        <v>-5028809000</v>
      </c>
      <c r="K173">
        <v>-2511065000</v>
      </c>
      <c r="L173">
        <v>1802250000</v>
      </c>
      <c r="M173">
        <v>-2181351000</v>
      </c>
      <c r="N173">
        <v>-746027000</v>
      </c>
      <c r="O173">
        <v>-739411000</v>
      </c>
      <c r="P173">
        <v>1902</v>
      </c>
      <c r="Q173" t="s">
        <v>431</v>
      </c>
    </row>
    <row r="174" spans="1:17" x14ac:dyDescent="0.3">
      <c r="A174" t="s">
        <v>17</v>
      </c>
      <c r="B174" t="str">
        <f>"600141"</f>
        <v>600141</v>
      </c>
      <c r="C174" t="s">
        <v>432</v>
      </c>
      <c r="D174" t="s">
        <v>386</v>
      </c>
      <c r="E174">
        <v>1290517160</v>
      </c>
      <c r="F174">
        <v>444710532</v>
      </c>
      <c r="G174">
        <v>124513484</v>
      </c>
      <c r="H174">
        <v>175566003</v>
      </c>
      <c r="I174">
        <v>232395943</v>
      </c>
      <c r="J174">
        <v>169011860</v>
      </c>
      <c r="K174">
        <v>202347291</v>
      </c>
      <c r="L174">
        <v>254725438</v>
      </c>
      <c r="M174">
        <v>253058560</v>
      </c>
      <c r="N174">
        <v>112657059</v>
      </c>
      <c r="O174">
        <v>40615925</v>
      </c>
      <c r="P174">
        <v>426</v>
      </c>
      <c r="Q174" t="s">
        <v>433</v>
      </c>
    </row>
    <row r="175" spans="1:17" x14ac:dyDescent="0.3">
      <c r="A175" t="s">
        <v>33</v>
      </c>
      <c r="B175" t="str">
        <f>"002475"</f>
        <v>002475</v>
      </c>
      <c r="C175" t="s">
        <v>434</v>
      </c>
      <c r="D175" t="s">
        <v>226</v>
      </c>
      <c r="E175">
        <v>1278178911</v>
      </c>
      <c r="F175">
        <v>663348870</v>
      </c>
      <c r="G175">
        <v>1319173418</v>
      </c>
      <c r="H175">
        <v>1300528133</v>
      </c>
      <c r="I175">
        <v>1861607194</v>
      </c>
      <c r="J175">
        <v>275969748</v>
      </c>
      <c r="K175">
        <v>452495744</v>
      </c>
      <c r="L175">
        <v>-45304342</v>
      </c>
      <c r="M175">
        <v>45604340</v>
      </c>
      <c r="N175">
        <v>33614066</v>
      </c>
      <c r="O175">
        <v>89545930</v>
      </c>
      <c r="P175">
        <v>5894</v>
      </c>
      <c r="Q175" t="s">
        <v>435</v>
      </c>
    </row>
    <row r="176" spans="1:17" x14ac:dyDescent="0.3">
      <c r="A176" t="s">
        <v>17</v>
      </c>
      <c r="B176" t="str">
        <f>"600219"</f>
        <v>600219</v>
      </c>
      <c r="C176" t="s">
        <v>436</v>
      </c>
      <c r="D176" t="s">
        <v>140</v>
      </c>
      <c r="E176">
        <v>1272640955</v>
      </c>
      <c r="F176">
        <v>781770526</v>
      </c>
      <c r="G176">
        <v>520591915</v>
      </c>
      <c r="H176">
        <v>281443354</v>
      </c>
      <c r="I176">
        <v>321726687</v>
      </c>
      <c r="J176">
        <v>558408849</v>
      </c>
      <c r="K176">
        <v>25316728</v>
      </c>
      <c r="L176">
        <v>35971881</v>
      </c>
      <c r="M176">
        <v>9528608</v>
      </c>
      <c r="N176">
        <v>-71846614</v>
      </c>
      <c r="O176">
        <v>100874887</v>
      </c>
      <c r="P176">
        <v>609</v>
      </c>
      <c r="Q176" t="s">
        <v>437</v>
      </c>
    </row>
    <row r="177" spans="1:17" x14ac:dyDescent="0.3">
      <c r="A177" t="s">
        <v>17</v>
      </c>
      <c r="B177" t="str">
        <f>"600777"</f>
        <v>600777</v>
      </c>
      <c r="C177" t="s">
        <v>438</v>
      </c>
      <c r="D177" t="s">
        <v>439</v>
      </c>
      <c r="E177">
        <v>1261413934</v>
      </c>
      <c r="F177">
        <v>525591515</v>
      </c>
      <c r="G177">
        <v>914678688</v>
      </c>
      <c r="H177">
        <v>509551285</v>
      </c>
      <c r="I177">
        <v>624518161</v>
      </c>
      <c r="J177">
        <v>-75995210</v>
      </c>
      <c r="K177">
        <v>3949464</v>
      </c>
      <c r="L177">
        <v>3223223</v>
      </c>
      <c r="M177">
        <v>-76286592</v>
      </c>
      <c r="N177">
        <v>21969698</v>
      </c>
      <c r="O177">
        <v>28591695</v>
      </c>
      <c r="P177">
        <v>212</v>
      </c>
      <c r="Q177" t="s">
        <v>440</v>
      </c>
    </row>
    <row r="178" spans="1:17" x14ac:dyDescent="0.3">
      <c r="A178" t="s">
        <v>17</v>
      </c>
      <c r="B178" t="str">
        <f>"600126"</f>
        <v>600126</v>
      </c>
      <c r="C178" t="s">
        <v>441</v>
      </c>
      <c r="D178" t="s">
        <v>131</v>
      </c>
      <c r="E178">
        <v>1261226319</v>
      </c>
      <c r="F178">
        <v>-64367046</v>
      </c>
      <c r="G178">
        <v>805827258</v>
      </c>
      <c r="H178">
        <v>941794015</v>
      </c>
      <c r="I178">
        <v>-374904703</v>
      </c>
      <c r="J178">
        <v>290528316</v>
      </c>
      <c r="K178">
        <v>748002679</v>
      </c>
      <c r="L178">
        <v>31734073</v>
      </c>
      <c r="M178">
        <v>1230954</v>
      </c>
      <c r="N178">
        <v>123432821</v>
      </c>
      <c r="O178">
        <v>-49665057</v>
      </c>
      <c r="P178">
        <v>231</v>
      </c>
      <c r="Q178" t="s">
        <v>442</v>
      </c>
    </row>
    <row r="179" spans="1:17" x14ac:dyDescent="0.3">
      <c r="A179" t="s">
        <v>17</v>
      </c>
      <c r="B179" t="str">
        <f>"601828"</f>
        <v>601828</v>
      </c>
      <c r="C179" t="s">
        <v>443</v>
      </c>
      <c r="D179" t="s">
        <v>394</v>
      </c>
      <c r="E179">
        <v>1260086068</v>
      </c>
      <c r="F179">
        <v>736290529</v>
      </c>
      <c r="G179">
        <v>-1060020837</v>
      </c>
      <c r="H179">
        <v>116476958</v>
      </c>
      <c r="I179">
        <v>-108049000</v>
      </c>
      <c r="J179">
        <v>641670464</v>
      </c>
      <c r="P179">
        <v>351</v>
      </c>
      <c r="Q179" t="s">
        <v>444</v>
      </c>
    </row>
    <row r="180" spans="1:17" x14ac:dyDescent="0.3">
      <c r="A180" t="s">
        <v>17</v>
      </c>
      <c r="B180" t="str">
        <f>"600077"</f>
        <v>600077</v>
      </c>
      <c r="C180" t="s">
        <v>445</v>
      </c>
      <c r="D180" t="s">
        <v>167</v>
      </c>
      <c r="E180">
        <v>1257424762</v>
      </c>
      <c r="F180">
        <v>181170669</v>
      </c>
      <c r="G180">
        <v>-4374859126</v>
      </c>
      <c r="H180">
        <v>-592053076</v>
      </c>
      <c r="I180">
        <v>583673248</v>
      </c>
      <c r="J180">
        <v>45814939</v>
      </c>
      <c r="K180">
        <v>661642550</v>
      </c>
      <c r="L180">
        <v>-438219953</v>
      </c>
      <c r="M180">
        <v>-41448527</v>
      </c>
      <c r="N180">
        <v>43625017</v>
      </c>
      <c r="O180">
        <v>205693607</v>
      </c>
      <c r="P180">
        <v>126</v>
      </c>
      <c r="Q180" t="s">
        <v>446</v>
      </c>
    </row>
    <row r="181" spans="1:17" x14ac:dyDescent="0.3">
      <c r="A181" t="s">
        <v>17</v>
      </c>
      <c r="B181" t="str">
        <f>"600409"</f>
        <v>600409</v>
      </c>
      <c r="C181" t="s">
        <v>447</v>
      </c>
      <c r="D181" t="s">
        <v>448</v>
      </c>
      <c r="E181">
        <v>1257395123</v>
      </c>
      <c r="F181">
        <v>438785225</v>
      </c>
      <c r="G181">
        <v>186608607</v>
      </c>
      <c r="H181">
        <v>228298326</v>
      </c>
      <c r="I181">
        <v>430525736</v>
      </c>
      <c r="J181">
        <v>233156806</v>
      </c>
      <c r="K181">
        <v>183673292</v>
      </c>
      <c r="L181">
        <v>-7227577</v>
      </c>
      <c r="M181">
        <v>-186153157</v>
      </c>
      <c r="N181">
        <v>-194845446</v>
      </c>
      <c r="O181">
        <v>-164438839</v>
      </c>
      <c r="P181">
        <v>733</v>
      </c>
      <c r="Q181" t="s">
        <v>449</v>
      </c>
    </row>
    <row r="182" spans="1:17" x14ac:dyDescent="0.3">
      <c r="A182" t="s">
        <v>17</v>
      </c>
      <c r="B182" t="str">
        <f>"600060"</f>
        <v>600060</v>
      </c>
      <c r="C182" t="s">
        <v>450</v>
      </c>
      <c r="D182" t="s">
        <v>451</v>
      </c>
      <c r="E182">
        <v>1248285629</v>
      </c>
      <c r="F182">
        <v>-1346265170</v>
      </c>
      <c r="G182">
        <v>267285877</v>
      </c>
      <c r="H182">
        <v>1433746837</v>
      </c>
      <c r="I182">
        <v>-269349772</v>
      </c>
      <c r="J182">
        <v>-118482472</v>
      </c>
      <c r="K182">
        <v>447389629</v>
      </c>
      <c r="L182">
        <v>154600636</v>
      </c>
      <c r="M182">
        <v>388872273</v>
      </c>
      <c r="N182">
        <v>692333747</v>
      </c>
      <c r="O182">
        <v>-237423140</v>
      </c>
      <c r="P182">
        <v>532</v>
      </c>
      <c r="Q182" t="s">
        <v>452</v>
      </c>
    </row>
    <row r="183" spans="1:17" x14ac:dyDescent="0.3">
      <c r="A183" t="s">
        <v>33</v>
      </c>
      <c r="B183" t="str">
        <f>"201872"</f>
        <v>201872</v>
      </c>
      <c r="C183" t="s">
        <v>453</v>
      </c>
      <c r="E183">
        <v>1233092103.01</v>
      </c>
      <c r="F183">
        <v>1043473658.6085</v>
      </c>
      <c r="G183">
        <v>925867035.05879998</v>
      </c>
      <c r="H183">
        <v>1343252785.9302001</v>
      </c>
      <c r="I183">
        <v>131883353.4985</v>
      </c>
      <c r="J183">
        <v>278085254.7396</v>
      </c>
      <c r="K183">
        <v>122045047.5898</v>
      </c>
      <c r="L183">
        <v>201451061.25</v>
      </c>
      <c r="M183">
        <v>183704451.93439999</v>
      </c>
      <c r="N183">
        <v>177461826.56400001</v>
      </c>
      <c r="O183">
        <v>162805640.58000001</v>
      </c>
      <c r="P183">
        <v>90</v>
      </c>
      <c r="Q183" t="s">
        <v>454</v>
      </c>
    </row>
    <row r="184" spans="1:17" x14ac:dyDescent="0.3">
      <c r="A184" t="s">
        <v>33</v>
      </c>
      <c r="B184" t="str">
        <f>"000830"</f>
        <v>000830</v>
      </c>
      <c r="C184" t="s">
        <v>455</v>
      </c>
      <c r="D184" t="s">
        <v>301</v>
      </c>
      <c r="E184">
        <v>1219022136</v>
      </c>
      <c r="F184">
        <v>1919692832</v>
      </c>
      <c r="G184">
        <v>482476983</v>
      </c>
      <c r="H184">
        <v>604370933</v>
      </c>
      <c r="I184">
        <v>495438705</v>
      </c>
      <c r="J184">
        <v>696782145</v>
      </c>
      <c r="K184">
        <v>-44606991</v>
      </c>
      <c r="L184">
        <v>344945549</v>
      </c>
      <c r="M184">
        <v>304627645</v>
      </c>
      <c r="N184">
        <v>402748936</v>
      </c>
      <c r="O184">
        <v>360593789</v>
      </c>
      <c r="P184">
        <v>891</v>
      </c>
      <c r="Q184" t="s">
        <v>456</v>
      </c>
    </row>
    <row r="185" spans="1:17" x14ac:dyDescent="0.3">
      <c r="A185" t="s">
        <v>17</v>
      </c>
      <c r="B185" t="str">
        <f>"600350"</f>
        <v>600350</v>
      </c>
      <c r="C185" t="s">
        <v>457</v>
      </c>
      <c r="D185" t="s">
        <v>458</v>
      </c>
      <c r="E185">
        <v>1210828489</v>
      </c>
      <c r="F185">
        <v>2496404853</v>
      </c>
      <c r="G185">
        <v>113249143</v>
      </c>
      <c r="H185">
        <v>1541058011</v>
      </c>
      <c r="I185">
        <v>398291052</v>
      </c>
      <c r="J185">
        <v>492840883</v>
      </c>
      <c r="K185">
        <v>1232812639</v>
      </c>
      <c r="L185">
        <v>118274241</v>
      </c>
      <c r="M185">
        <v>149211787</v>
      </c>
      <c r="N185">
        <v>11633790</v>
      </c>
      <c r="O185">
        <v>244945121</v>
      </c>
      <c r="P185">
        <v>1230</v>
      </c>
      <c r="Q185" t="s">
        <v>459</v>
      </c>
    </row>
    <row r="186" spans="1:17" x14ac:dyDescent="0.3">
      <c r="A186" t="s">
        <v>33</v>
      </c>
      <c r="B186" t="str">
        <f>"000063"</f>
        <v>000063</v>
      </c>
      <c r="C186" t="s">
        <v>460</v>
      </c>
      <c r="D186" t="s">
        <v>461</v>
      </c>
      <c r="E186">
        <v>1187207000</v>
      </c>
      <c r="F186">
        <v>2388242000</v>
      </c>
      <c r="G186">
        <v>372361000</v>
      </c>
      <c r="H186">
        <v>1259978000</v>
      </c>
      <c r="I186">
        <v>-171149000</v>
      </c>
      <c r="J186">
        <v>-971165000</v>
      </c>
      <c r="K186">
        <v>3945521000</v>
      </c>
      <c r="L186">
        <v>-3813204000</v>
      </c>
      <c r="M186">
        <v>-2190102000</v>
      </c>
      <c r="N186">
        <v>-3173773000</v>
      </c>
      <c r="O186">
        <v>-6363569000</v>
      </c>
      <c r="P186">
        <v>3203</v>
      </c>
      <c r="Q186" t="s">
        <v>462</v>
      </c>
    </row>
    <row r="187" spans="1:17" x14ac:dyDescent="0.3">
      <c r="A187" t="s">
        <v>33</v>
      </c>
      <c r="B187" t="str">
        <f>"002251"</f>
        <v>002251</v>
      </c>
      <c r="C187" t="s">
        <v>463</v>
      </c>
      <c r="D187" t="s">
        <v>279</v>
      </c>
      <c r="E187">
        <v>1181500555</v>
      </c>
      <c r="F187">
        <v>1263796426</v>
      </c>
      <c r="G187">
        <v>632883280</v>
      </c>
      <c r="H187">
        <v>1087103249</v>
      </c>
      <c r="I187">
        <v>1104331591</v>
      </c>
      <c r="J187">
        <v>545040680</v>
      </c>
      <c r="K187">
        <v>446748416</v>
      </c>
      <c r="L187">
        <v>823635383</v>
      </c>
      <c r="M187">
        <v>235717999</v>
      </c>
      <c r="N187">
        <v>503564696</v>
      </c>
      <c r="O187">
        <v>296812200</v>
      </c>
      <c r="P187">
        <v>196</v>
      </c>
      <c r="Q187" t="s">
        <v>464</v>
      </c>
    </row>
    <row r="188" spans="1:17" x14ac:dyDescent="0.3">
      <c r="A188" t="s">
        <v>17</v>
      </c>
      <c r="B188" t="str">
        <f>"600392"</f>
        <v>600392</v>
      </c>
      <c r="C188" t="s">
        <v>465</v>
      </c>
      <c r="D188" t="s">
        <v>333</v>
      </c>
      <c r="E188">
        <v>1178518648</v>
      </c>
      <c r="F188">
        <v>-280322441</v>
      </c>
      <c r="G188">
        <v>-133714649</v>
      </c>
      <c r="H188">
        <v>-152801867</v>
      </c>
      <c r="I188">
        <v>117194664</v>
      </c>
      <c r="J188">
        <v>-185223377</v>
      </c>
      <c r="K188">
        <v>-165902630</v>
      </c>
      <c r="L188">
        <v>-71607100</v>
      </c>
      <c r="M188">
        <v>-191745839</v>
      </c>
      <c r="N188">
        <v>-90476503</v>
      </c>
      <c r="O188">
        <v>-31075637</v>
      </c>
      <c r="P188">
        <v>439</v>
      </c>
      <c r="Q188" t="s">
        <v>466</v>
      </c>
    </row>
    <row r="189" spans="1:17" x14ac:dyDescent="0.3">
      <c r="A189" t="s">
        <v>33</v>
      </c>
      <c r="B189" t="str">
        <f>"002429"</f>
        <v>002429</v>
      </c>
      <c r="C189" t="s">
        <v>467</v>
      </c>
      <c r="D189" t="s">
        <v>451</v>
      </c>
      <c r="E189">
        <v>1174802257</v>
      </c>
      <c r="F189">
        <v>340126090</v>
      </c>
      <c r="G189">
        <v>634985494</v>
      </c>
      <c r="H189">
        <v>291940187</v>
      </c>
      <c r="I189">
        <v>-184883794</v>
      </c>
      <c r="J189">
        <v>-638702120</v>
      </c>
      <c r="K189">
        <v>123726610</v>
      </c>
      <c r="L189">
        <v>-699843</v>
      </c>
      <c r="M189">
        <v>107553974</v>
      </c>
      <c r="N189">
        <v>-96046353</v>
      </c>
      <c r="O189">
        <v>124779204</v>
      </c>
      <c r="P189">
        <v>454</v>
      </c>
      <c r="Q189" t="s">
        <v>468</v>
      </c>
    </row>
    <row r="190" spans="1:17" x14ac:dyDescent="0.3">
      <c r="A190" t="s">
        <v>33</v>
      </c>
      <c r="B190" t="str">
        <f>"300207"</f>
        <v>300207</v>
      </c>
      <c r="C190" t="s">
        <v>469</v>
      </c>
      <c r="D190" t="s">
        <v>156</v>
      </c>
      <c r="E190">
        <v>1168242569</v>
      </c>
      <c r="F190">
        <v>541433598</v>
      </c>
      <c r="G190">
        <v>173899288</v>
      </c>
      <c r="H190">
        <v>315512234</v>
      </c>
      <c r="I190">
        <v>181549242</v>
      </c>
      <c r="J190">
        <v>11655535</v>
      </c>
      <c r="K190">
        <v>328243023</v>
      </c>
      <c r="L190">
        <v>309938331</v>
      </c>
      <c r="M190">
        <v>51152618</v>
      </c>
      <c r="N190">
        <v>-9119811</v>
      </c>
      <c r="O190">
        <v>32430328</v>
      </c>
      <c r="P190">
        <v>1012</v>
      </c>
      <c r="Q190" t="s">
        <v>470</v>
      </c>
    </row>
    <row r="191" spans="1:17" x14ac:dyDescent="0.3">
      <c r="A191" t="s">
        <v>17</v>
      </c>
      <c r="B191" t="str">
        <f>"600418"</f>
        <v>600418</v>
      </c>
      <c r="C191" t="s">
        <v>471</v>
      </c>
      <c r="D191" t="s">
        <v>330</v>
      </c>
      <c r="E191">
        <v>1164941744</v>
      </c>
      <c r="F191">
        <v>346545207</v>
      </c>
      <c r="G191">
        <v>-1914557616</v>
      </c>
      <c r="H191">
        <v>28555593</v>
      </c>
      <c r="I191">
        <v>-2508430993</v>
      </c>
      <c r="J191">
        <v>-2518396063</v>
      </c>
      <c r="K191">
        <v>1702890629</v>
      </c>
      <c r="L191">
        <v>1287265822</v>
      </c>
      <c r="M191">
        <v>-41810903</v>
      </c>
      <c r="N191">
        <v>1141542248</v>
      </c>
      <c r="O191">
        <v>-349526398</v>
      </c>
      <c r="P191">
        <v>429</v>
      </c>
      <c r="Q191" t="s">
        <v>472</v>
      </c>
    </row>
    <row r="192" spans="1:17" x14ac:dyDescent="0.3">
      <c r="A192" t="s">
        <v>17</v>
      </c>
      <c r="B192" t="str">
        <f>"600690"</f>
        <v>600690</v>
      </c>
      <c r="C192" t="s">
        <v>473</v>
      </c>
      <c r="D192" t="s">
        <v>474</v>
      </c>
      <c r="E192">
        <v>1154796354</v>
      </c>
      <c r="F192">
        <v>2863386936</v>
      </c>
      <c r="G192">
        <v>-5787626102</v>
      </c>
      <c r="H192">
        <v>1323519988</v>
      </c>
      <c r="I192">
        <v>1990934744</v>
      </c>
      <c r="J192">
        <v>5809318531</v>
      </c>
      <c r="K192">
        <v>1046237079</v>
      </c>
      <c r="L192">
        <v>1823030842</v>
      </c>
      <c r="M192">
        <v>1790864424</v>
      </c>
      <c r="N192">
        <v>1706234281</v>
      </c>
      <c r="O192">
        <v>1573897916</v>
      </c>
      <c r="P192">
        <v>41083</v>
      </c>
      <c r="Q192" t="s">
        <v>475</v>
      </c>
    </row>
    <row r="193" spans="1:17" x14ac:dyDescent="0.3">
      <c r="A193" t="s">
        <v>17</v>
      </c>
      <c r="B193" t="str">
        <f>"600745"</f>
        <v>600745</v>
      </c>
      <c r="C193" t="s">
        <v>476</v>
      </c>
      <c r="D193" t="s">
        <v>226</v>
      </c>
      <c r="E193">
        <v>1143943434</v>
      </c>
      <c r="F193">
        <v>-394833185</v>
      </c>
      <c r="G193">
        <v>-24581195</v>
      </c>
      <c r="H193">
        <v>312387331</v>
      </c>
      <c r="I193">
        <v>-240061961</v>
      </c>
      <c r="J193">
        <v>337646808</v>
      </c>
      <c r="K193">
        <v>-203166383</v>
      </c>
      <c r="L193">
        <v>-142002652</v>
      </c>
      <c r="M193">
        <v>-569620572</v>
      </c>
      <c r="N193">
        <v>-13776395</v>
      </c>
      <c r="O193">
        <v>-39835725</v>
      </c>
      <c r="P193">
        <v>1617</v>
      </c>
      <c r="Q193" t="s">
        <v>477</v>
      </c>
    </row>
    <row r="194" spans="1:17" x14ac:dyDescent="0.3">
      <c r="A194" t="s">
        <v>33</v>
      </c>
      <c r="B194" t="str">
        <f>"002460"</f>
        <v>002460</v>
      </c>
      <c r="C194" t="s">
        <v>478</v>
      </c>
      <c r="D194" t="s">
        <v>212</v>
      </c>
      <c r="E194">
        <v>1134889135</v>
      </c>
      <c r="F194">
        <v>-217010376</v>
      </c>
      <c r="G194">
        <v>-138580433</v>
      </c>
      <c r="H194">
        <v>233727873</v>
      </c>
      <c r="I194">
        <v>-136397089</v>
      </c>
      <c r="J194">
        <v>-29051709</v>
      </c>
      <c r="K194">
        <v>35123980</v>
      </c>
      <c r="L194">
        <v>18291556</v>
      </c>
      <c r="M194">
        <v>-20437153</v>
      </c>
      <c r="N194">
        <v>-15334558</v>
      </c>
      <c r="O194">
        <v>-12539676</v>
      </c>
      <c r="P194">
        <v>2486</v>
      </c>
      <c r="Q194" t="s">
        <v>479</v>
      </c>
    </row>
    <row r="195" spans="1:17" x14ac:dyDescent="0.3">
      <c r="A195" t="s">
        <v>17</v>
      </c>
      <c r="B195" t="str">
        <f>"600132"</f>
        <v>600132</v>
      </c>
      <c r="C195" t="s">
        <v>480</v>
      </c>
      <c r="D195" t="s">
        <v>481</v>
      </c>
      <c r="E195">
        <v>1131694377</v>
      </c>
      <c r="F195">
        <v>1314182658</v>
      </c>
      <c r="G195">
        <v>91391826</v>
      </c>
      <c r="H195">
        <v>223724310</v>
      </c>
      <c r="I195">
        <v>110406978</v>
      </c>
      <c r="J195">
        <v>174515902</v>
      </c>
      <c r="K195">
        <v>179347182</v>
      </c>
      <c r="L195">
        <v>128124878</v>
      </c>
      <c r="M195">
        <v>5751893</v>
      </c>
      <c r="N195">
        <v>143155245</v>
      </c>
      <c r="O195">
        <v>49567702</v>
      </c>
      <c r="P195">
        <v>2098</v>
      </c>
      <c r="Q195" t="s">
        <v>482</v>
      </c>
    </row>
    <row r="196" spans="1:17" x14ac:dyDescent="0.3">
      <c r="A196" t="s">
        <v>33</v>
      </c>
      <c r="B196" t="str">
        <f>"000568"</f>
        <v>000568</v>
      </c>
      <c r="C196" t="s">
        <v>483</v>
      </c>
      <c r="D196" t="s">
        <v>229</v>
      </c>
      <c r="E196">
        <v>1131497886</v>
      </c>
      <c r="F196">
        <v>1310035684</v>
      </c>
      <c r="G196">
        <v>-316284597</v>
      </c>
      <c r="H196">
        <v>561024532</v>
      </c>
      <c r="I196">
        <v>348487394</v>
      </c>
      <c r="J196">
        <v>144867648</v>
      </c>
      <c r="K196">
        <v>725109595</v>
      </c>
      <c r="L196">
        <v>-317057984</v>
      </c>
      <c r="M196">
        <v>915043370</v>
      </c>
      <c r="N196">
        <v>194511708</v>
      </c>
      <c r="O196">
        <v>603793390</v>
      </c>
      <c r="P196">
        <v>6440</v>
      </c>
      <c r="Q196" t="s">
        <v>484</v>
      </c>
    </row>
    <row r="197" spans="1:17" x14ac:dyDescent="0.3">
      <c r="A197" t="s">
        <v>17</v>
      </c>
      <c r="B197" t="str">
        <f>"601878"</f>
        <v>601878</v>
      </c>
      <c r="C197" t="s">
        <v>485</v>
      </c>
      <c r="D197" t="s">
        <v>52</v>
      </c>
      <c r="E197">
        <v>1127850457</v>
      </c>
      <c r="F197">
        <v>2583848120</v>
      </c>
      <c r="G197">
        <v>4835022379</v>
      </c>
      <c r="H197">
        <v>6915524263</v>
      </c>
      <c r="I197">
        <v>1659305648</v>
      </c>
      <c r="J197">
        <v>-1320930074</v>
      </c>
      <c r="K197">
        <v>-4008092500</v>
      </c>
      <c r="P197">
        <v>842</v>
      </c>
      <c r="Q197" t="s">
        <v>486</v>
      </c>
    </row>
    <row r="198" spans="1:17" x14ac:dyDescent="0.3">
      <c r="A198" t="s">
        <v>17</v>
      </c>
      <c r="B198" t="str">
        <f>"600377"</f>
        <v>600377</v>
      </c>
      <c r="C198" t="s">
        <v>487</v>
      </c>
      <c r="D198" t="s">
        <v>458</v>
      </c>
      <c r="E198">
        <v>1102847759</v>
      </c>
      <c r="F198">
        <v>1037934638</v>
      </c>
      <c r="G198">
        <v>112654156</v>
      </c>
      <c r="H198">
        <v>1426162773</v>
      </c>
      <c r="I198">
        <v>1204204675</v>
      </c>
      <c r="J198">
        <v>1273304540</v>
      </c>
      <c r="K198">
        <v>1442033240</v>
      </c>
      <c r="L198">
        <v>760837550</v>
      </c>
      <c r="M198">
        <v>811044349</v>
      </c>
      <c r="N198">
        <v>814618881</v>
      </c>
      <c r="O198">
        <v>720326955</v>
      </c>
      <c r="P198">
        <v>1722</v>
      </c>
      <c r="Q198" t="s">
        <v>488</v>
      </c>
    </row>
    <row r="199" spans="1:17" x14ac:dyDescent="0.3">
      <c r="A199" t="s">
        <v>17</v>
      </c>
      <c r="B199" t="str">
        <f>"600928"</f>
        <v>600928</v>
      </c>
      <c r="C199" t="s">
        <v>489</v>
      </c>
      <c r="D199" t="s">
        <v>31</v>
      </c>
      <c r="E199">
        <v>1102107000</v>
      </c>
      <c r="F199">
        <v>-931103000</v>
      </c>
      <c r="G199">
        <v>1395211000</v>
      </c>
      <c r="H199">
        <v>-290208000</v>
      </c>
      <c r="I199">
        <v>-17697956000</v>
      </c>
      <c r="P199">
        <v>409</v>
      </c>
      <c r="Q199" t="s">
        <v>490</v>
      </c>
    </row>
    <row r="200" spans="1:17" x14ac:dyDescent="0.3">
      <c r="A200" t="s">
        <v>17</v>
      </c>
      <c r="B200" t="str">
        <f>"601006"</f>
        <v>601006</v>
      </c>
      <c r="C200" t="s">
        <v>491</v>
      </c>
      <c r="D200" t="s">
        <v>403</v>
      </c>
      <c r="E200">
        <v>1100274952</v>
      </c>
      <c r="F200">
        <v>4266067582</v>
      </c>
      <c r="G200">
        <v>-25317674</v>
      </c>
      <c r="H200">
        <v>3406031064</v>
      </c>
      <c r="I200">
        <v>2934390602</v>
      </c>
      <c r="J200">
        <v>3097364355</v>
      </c>
      <c r="K200">
        <v>-302637060</v>
      </c>
      <c r="L200">
        <v>2663458836</v>
      </c>
      <c r="M200">
        <v>2268839024</v>
      </c>
      <c r="N200">
        <v>2089278091</v>
      </c>
      <c r="O200">
        <v>1119292295</v>
      </c>
      <c r="P200">
        <v>4202</v>
      </c>
      <c r="Q200" t="s">
        <v>492</v>
      </c>
    </row>
    <row r="201" spans="1:17" x14ac:dyDescent="0.3">
      <c r="A201" t="s">
        <v>33</v>
      </c>
      <c r="B201" t="str">
        <f>"300182"</f>
        <v>300182</v>
      </c>
      <c r="C201" t="s">
        <v>493</v>
      </c>
      <c r="D201" t="s">
        <v>314</v>
      </c>
      <c r="E201">
        <v>1099451316</v>
      </c>
      <c r="F201">
        <v>349801207</v>
      </c>
      <c r="G201">
        <v>201158318</v>
      </c>
      <c r="H201">
        <v>22104178</v>
      </c>
      <c r="I201">
        <v>-177268256</v>
      </c>
      <c r="J201">
        <v>-228702457</v>
      </c>
      <c r="K201">
        <v>-510924306</v>
      </c>
      <c r="L201">
        <v>-49142004</v>
      </c>
      <c r="M201">
        <v>-192425614</v>
      </c>
      <c r="N201">
        <v>-23160666</v>
      </c>
      <c r="O201">
        <v>-53092091</v>
      </c>
      <c r="P201">
        <v>514</v>
      </c>
      <c r="Q201" t="s">
        <v>494</v>
      </c>
    </row>
    <row r="202" spans="1:17" x14ac:dyDescent="0.3">
      <c r="A202" t="s">
        <v>33</v>
      </c>
      <c r="B202" t="str">
        <f>"000422"</f>
        <v>000422</v>
      </c>
      <c r="C202" t="s">
        <v>495</v>
      </c>
      <c r="D202" t="s">
        <v>496</v>
      </c>
      <c r="E202">
        <v>1098251279</v>
      </c>
      <c r="F202">
        <v>-69053325</v>
      </c>
      <c r="G202">
        <v>143658503</v>
      </c>
      <c r="H202">
        <v>198141607</v>
      </c>
      <c r="I202">
        <v>-1533095172</v>
      </c>
      <c r="J202">
        <v>1115087792</v>
      </c>
      <c r="K202">
        <v>287220784</v>
      </c>
      <c r="L202">
        <v>967458415</v>
      </c>
      <c r="M202">
        <v>891912740</v>
      </c>
      <c r="N202">
        <v>323897766</v>
      </c>
      <c r="O202">
        <v>506450157</v>
      </c>
      <c r="P202">
        <v>257</v>
      </c>
      <c r="Q202" t="s">
        <v>497</v>
      </c>
    </row>
    <row r="203" spans="1:17" x14ac:dyDescent="0.3">
      <c r="A203" t="s">
        <v>33</v>
      </c>
      <c r="B203" t="str">
        <f>"300390"</f>
        <v>300390</v>
      </c>
      <c r="C203" t="s">
        <v>498</v>
      </c>
      <c r="D203" t="s">
        <v>499</v>
      </c>
      <c r="E203">
        <v>1072229153</v>
      </c>
      <c r="F203">
        <v>-71756525</v>
      </c>
      <c r="G203">
        <v>158038381</v>
      </c>
      <c r="H203">
        <v>28154984</v>
      </c>
      <c r="I203">
        <v>6952227</v>
      </c>
      <c r="J203">
        <v>-3852387</v>
      </c>
      <c r="K203">
        <v>-3193227</v>
      </c>
      <c r="L203">
        <v>-3497080</v>
      </c>
      <c r="M203">
        <v>8419300</v>
      </c>
      <c r="N203">
        <v>7274100</v>
      </c>
      <c r="P203">
        <v>460</v>
      </c>
      <c r="Q203" t="s">
        <v>500</v>
      </c>
    </row>
    <row r="204" spans="1:17" x14ac:dyDescent="0.3">
      <c r="A204" t="s">
        <v>17</v>
      </c>
      <c r="B204" t="str">
        <f>"600095"</f>
        <v>600095</v>
      </c>
      <c r="C204" t="s">
        <v>501</v>
      </c>
      <c r="D204" t="s">
        <v>52</v>
      </c>
      <c r="E204">
        <v>1067482768</v>
      </c>
      <c r="F204">
        <v>1350035601</v>
      </c>
      <c r="G204">
        <v>-114134859</v>
      </c>
      <c r="H204">
        <v>-7313107</v>
      </c>
      <c r="I204">
        <v>4228367</v>
      </c>
      <c r="J204">
        <v>-9620614</v>
      </c>
      <c r="K204">
        <v>2708631</v>
      </c>
      <c r="L204">
        <v>-17102377</v>
      </c>
      <c r="M204">
        <v>-49011469</v>
      </c>
      <c r="N204">
        <v>44792132</v>
      </c>
      <c r="O204">
        <v>-38137927</v>
      </c>
      <c r="P204">
        <v>330</v>
      </c>
      <c r="Q204" t="s">
        <v>502</v>
      </c>
    </row>
    <row r="205" spans="1:17" x14ac:dyDescent="0.3">
      <c r="A205" t="s">
        <v>17</v>
      </c>
      <c r="B205" t="str">
        <f>"600157"</f>
        <v>600157</v>
      </c>
      <c r="C205" t="s">
        <v>503</v>
      </c>
      <c r="D205" t="s">
        <v>265</v>
      </c>
      <c r="E205">
        <v>1057927455</v>
      </c>
      <c r="F205">
        <v>1013115258</v>
      </c>
      <c r="G205">
        <v>1003364510</v>
      </c>
      <c r="H205">
        <v>1105840874</v>
      </c>
      <c r="I205">
        <v>1828070919</v>
      </c>
      <c r="J205">
        <v>846411672</v>
      </c>
      <c r="K205">
        <v>959097594</v>
      </c>
      <c r="L205">
        <v>512642870</v>
      </c>
      <c r="M205">
        <v>456784846</v>
      </c>
      <c r="N205">
        <v>493900393</v>
      </c>
      <c r="O205">
        <v>513350990</v>
      </c>
      <c r="P205">
        <v>226</v>
      </c>
      <c r="Q205" t="s">
        <v>504</v>
      </c>
    </row>
    <row r="206" spans="1:17" x14ac:dyDescent="0.3">
      <c r="A206" t="s">
        <v>17</v>
      </c>
      <c r="B206" t="str">
        <f>"601872"</f>
        <v>601872</v>
      </c>
      <c r="C206" t="s">
        <v>505</v>
      </c>
      <c r="D206" t="s">
        <v>55</v>
      </c>
      <c r="E206">
        <v>1052762456</v>
      </c>
      <c r="F206">
        <v>746010605</v>
      </c>
      <c r="G206">
        <v>1474870001</v>
      </c>
      <c r="H206">
        <v>864485144</v>
      </c>
      <c r="I206">
        <v>427320359</v>
      </c>
      <c r="J206">
        <v>1197333127</v>
      </c>
      <c r="K206">
        <v>1157551991</v>
      </c>
      <c r="L206">
        <v>454332212</v>
      </c>
      <c r="M206">
        <v>427504596</v>
      </c>
      <c r="N206">
        <v>-3462068127</v>
      </c>
      <c r="O206">
        <v>114420065</v>
      </c>
      <c r="P206">
        <v>574</v>
      </c>
      <c r="Q206" t="s">
        <v>506</v>
      </c>
    </row>
    <row r="207" spans="1:17" x14ac:dyDescent="0.3">
      <c r="A207" t="s">
        <v>17</v>
      </c>
      <c r="B207" t="str">
        <f>"600845"</f>
        <v>600845</v>
      </c>
      <c r="C207" t="s">
        <v>507</v>
      </c>
      <c r="D207" t="s">
        <v>508</v>
      </c>
      <c r="E207">
        <v>1045804705</v>
      </c>
      <c r="F207">
        <v>428904355</v>
      </c>
      <c r="G207">
        <v>128985430</v>
      </c>
      <c r="H207">
        <v>283574523</v>
      </c>
      <c r="I207">
        <v>106409940</v>
      </c>
      <c r="J207">
        <v>312503762</v>
      </c>
      <c r="K207">
        <v>180858183</v>
      </c>
      <c r="L207">
        <v>26355491</v>
      </c>
      <c r="M207">
        <v>-125087359</v>
      </c>
      <c r="N207">
        <v>-134395820</v>
      </c>
      <c r="O207">
        <v>-112766147</v>
      </c>
      <c r="P207">
        <v>1594</v>
      </c>
      <c r="Q207" t="s">
        <v>509</v>
      </c>
    </row>
    <row r="208" spans="1:17" x14ac:dyDescent="0.3">
      <c r="A208" t="s">
        <v>17</v>
      </c>
      <c r="B208" t="str">
        <f>"600328"</f>
        <v>600328</v>
      </c>
      <c r="C208" t="s">
        <v>510</v>
      </c>
      <c r="D208" t="s">
        <v>511</v>
      </c>
      <c r="E208">
        <v>1038514813</v>
      </c>
      <c r="F208">
        <v>725808410</v>
      </c>
      <c r="G208">
        <v>483195672</v>
      </c>
      <c r="H208">
        <v>176272569</v>
      </c>
      <c r="I208">
        <v>132231453</v>
      </c>
      <c r="J208">
        <v>95750614</v>
      </c>
      <c r="K208">
        <v>-23300834</v>
      </c>
      <c r="L208">
        <v>-160350</v>
      </c>
      <c r="M208">
        <v>36491109</v>
      </c>
      <c r="N208">
        <v>-5725933</v>
      </c>
      <c r="O208">
        <v>-21021490</v>
      </c>
      <c r="P208">
        <v>263</v>
      </c>
      <c r="Q208" t="s">
        <v>512</v>
      </c>
    </row>
    <row r="209" spans="1:17" x14ac:dyDescent="0.3">
      <c r="A209" t="s">
        <v>33</v>
      </c>
      <c r="B209" t="str">
        <f>"002078"</f>
        <v>002078</v>
      </c>
      <c r="C209" t="s">
        <v>513</v>
      </c>
      <c r="D209" t="s">
        <v>514</v>
      </c>
      <c r="E209">
        <v>1034839918</v>
      </c>
      <c r="F209">
        <v>1936201905</v>
      </c>
      <c r="G209">
        <v>283363637</v>
      </c>
      <c r="H209">
        <v>2670161816</v>
      </c>
      <c r="I209">
        <v>631792220</v>
      </c>
      <c r="J209">
        <v>239059026</v>
      </c>
      <c r="K209">
        <v>428423179</v>
      </c>
      <c r="L209">
        <v>380176329</v>
      </c>
      <c r="M209">
        <v>262731891</v>
      </c>
      <c r="N209">
        <v>1018438199</v>
      </c>
      <c r="O209">
        <v>311087256</v>
      </c>
      <c r="P209">
        <v>1103</v>
      </c>
      <c r="Q209" t="s">
        <v>515</v>
      </c>
    </row>
    <row r="210" spans="1:17" x14ac:dyDescent="0.3">
      <c r="A210" t="s">
        <v>17</v>
      </c>
      <c r="B210" t="str">
        <f>"688396"</f>
        <v>688396</v>
      </c>
      <c r="C210" t="s">
        <v>516</v>
      </c>
      <c r="D210" t="s">
        <v>517</v>
      </c>
      <c r="E210">
        <v>1033647053</v>
      </c>
      <c r="F210">
        <v>750104425</v>
      </c>
      <c r="G210">
        <v>270682165</v>
      </c>
      <c r="H210">
        <v>44462691</v>
      </c>
      <c r="P210">
        <v>495</v>
      </c>
      <c r="Q210" t="s">
        <v>518</v>
      </c>
    </row>
    <row r="211" spans="1:17" x14ac:dyDescent="0.3">
      <c r="A211" t="s">
        <v>33</v>
      </c>
      <c r="B211" t="str">
        <f>"300015"</f>
        <v>300015</v>
      </c>
      <c r="C211" t="s">
        <v>519</v>
      </c>
      <c r="D211" t="s">
        <v>520</v>
      </c>
      <c r="E211">
        <v>1033576295</v>
      </c>
      <c r="F211">
        <v>741642735</v>
      </c>
      <c r="G211">
        <v>-9928508</v>
      </c>
      <c r="H211">
        <v>431432818</v>
      </c>
      <c r="I211">
        <v>294833291</v>
      </c>
      <c r="J211">
        <v>159027658</v>
      </c>
      <c r="K211">
        <v>136004171</v>
      </c>
      <c r="L211">
        <v>121609046</v>
      </c>
      <c r="M211">
        <v>90793738</v>
      </c>
      <c r="N211">
        <v>65505019</v>
      </c>
      <c r="O211">
        <v>51693263</v>
      </c>
      <c r="P211">
        <v>11096</v>
      </c>
      <c r="Q211" t="s">
        <v>521</v>
      </c>
    </row>
    <row r="212" spans="1:17" x14ac:dyDescent="0.3">
      <c r="A212" t="s">
        <v>17</v>
      </c>
      <c r="B212" t="str">
        <f>"600881"</f>
        <v>600881</v>
      </c>
      <c r="C212" t="s">
        <v>522</v>
      </c>
      <c r="D212" t="s">
        <v>523</v>
      </c>
      <c r="E212">
        <v>1029547325</v>
      </c>
      <c r="F212">
        <v>423935454</v>
      </c>
      <c r="G212">
        <v>126510914</v>
      </c>
      <c r="H212">
        <v>-643796145</v>
      </c>
      <c r="I212">
        <v>641474054</v>
      </c>
      <c r="J212">
        <v>1227090503</v>
      </c>
      <c r="K212">
        <v>799878777</v>
      </c>
      <c r="L212">
        <v>173888347</v>
      </c>
      <c r="M212">
        <v>-495870451</v>
      </c>
      <c r="N212">
        <v>-2457455366</v>
      </c>
      <c r="O212">
        <v>-473960064</v>
      </c>
      <c r="P212">
        <v>144</v>
      </c>
      <c r="Q212" t="s">
        <v>524</v>
      </c>
    </row>
    <row r="213" spans="1:17" x14ac:dyDescent="0.3">
      <c r="A213" t="s">
        <v>17</v>
      </c>
      <c r="B213" t="str">
        <f>"600729"</f>
        <v>600729</v>
      </c>
      <c r="C213" t="s">
        <v>525</v>
      </c>
      <c r="D213" t="s">
        <v>526</v>
      </c>
      <c r="E213">
        <v>1025870642</v>
      </c>
      <c r="F213">
        <v>442044905</v>
      </c>
      <c r="G213">
        <v>-336543002</v>
      </c>
      <c r="H213">
        <v>150477795</v>
      </c>
      <c r="I213">
        <v>270429160</v>
      </c>
      <c r="J213">
        <v>-44859739</v>
      </c>
      <c r="K213">
        <v>129005387</v>
      </c>
      <c r="L213">
        <v>78279957</v>
      </c>
      <c r="M213">
        <v>-416195058</v>
      </c>
      <c r="N213">
        <v>-316049359</v>
      </c>
      <c r="O213">
        <v>-321455472</v>
      </c>
      <c r="P213">
        <v>540</v>
      </c>
      <c r="Q213" t="s">
        <v>527</v>
      </c>
    </row>
    <row r="214" spans="1:17" x14ac:dyDescent="0.3">
      <c r="A214" t="s">
        <v>17</v>
      </c>
      <c r="B214" t="str">
        <f>"601588"</f>
        <v>601588</v>
      </c>
      <c r="C214" t="s">
        <v>528</v>
      </c>
      <c r="D214" t="s">
        <v>167</v>
      </c>
      <c r="E214">
        <v>1021030933</v>
      </c>
      <c r="F214">
        <v>474336331</v>
      </c>
      <c r="G214">
        <v>-660927139</v>
      </c>
      <c r="H214">
        <v>-3061148225</v>
      </c>
      <c r="I214">
        <v>-411897287</v>
      </c>
      <c r="J214">
        <v>128615029</v>
      </c>
      <c r="K214">
        <v>131187007</v>
      </c>
      <c r="L214">
        <v>-702800034</v>
      </c>
      <c r="M214">
        <v>-122242849</v>
      </c>
      <c r="N214">
        <v>268500460</v>
      </c>
      <c r="O214">
        <v>-146035798</v>
      </c>
      <c r="P214">
        <v>536</v>
      </c>
      <c r="Q214" t="s">
        <v>529</v>
      </c>
    </row>
    <row r="215" spans="1:17" x14ac:dyDescent="0.3">
      <c r="A215" t="s">
        <v>17</v>
      </c>
      <c r="B215" t="str">
        <f>"600022"</f>
        <v>600022</v>
      </c>
      <c r="C215" t="s">
        <v>530</v>
      </c>
      <c r="D215" t="s">
        <v>131</v>
      </c>
      <c r="E215">
        <v>1020204477</v>
      </c>
      <c r="F215">
        <v>3836393466</v>
      </c>
      <c r="G215">
        <v>-670707227</v>
      </c>
      <c r="H215">
        <v>-956154456</v>
      </c>
      <c r="I215">
        <v>-124959706</v>
      </c>
      <c r="J215">
        <v>-1194310646</v>
      </c>
      <c r="K215">
        <v>350436273</v>
      </c>
      <c r="L215">
        <v>-777508495</v>
      </c>
      <c r="M215">
        <v>839520214</v>
      </c>
      <c r="N215">
        <v>-1159537760</v>
      </c>
      <c r="O215">
        <v>449706591</v>
      </c>
      <c r="P215">
        <v>233</v>
      </c>
      <c r="Q215" t="s">
        <v>531</v>
      </c>
    </row>
    <row r="216" spans="1:17" x14ac:dyDescent="0.3">
      <c r="A216" t="s">
        <v>17</v>
      </c>
      <c r="B216" t="str">
        <f>"600566"</f>
        <v>600566</v>
      </c>
      <c r="C216" t="s">
        <v>532</v>
      </c>
      <c r="D216" t="s">
        <v>533</v>
      </c>
      <c r="E216">
        <v>1006008813</v>
      </c>
      <c r="F216">
        <v>728435343</v>
      </c>
      <c r="G216">
        <v>704706525</v>
      </c>
      <c r="H216">
        <v>621788136</v>
      </c>
      <c r="I216">
        <v>549672444</v>
      </c>
      <c r="J216">
        <v>339012266</v>
      </c>
      <c r="K216">
        <v>280833860</v>
      </c>
      <c r="L216">
        <v>174820737</v>
      </c>
      <c r="M216">
        <v>220498578</v>
      </c>
      <c r="N216">
        <v>1687863</v>
      </c>
      <c r="O216">
        <v>1882576</v>
      </c>
      <c r="P216">
        <v>13801</v>
      </c>
      <c r="Q216" t="s">
        <v>534</v>
      </c>
    </row>
    <row r="217" spans="1:17" x14ac:dyDescent="0.3">
      <c r="A217" t="s">
        <v>33</v>
      </c>
      <c r="B217" t="str">
        <f>"002120"</f>
        <v>002120</v>
      </c>
      <c r="C217" t="s">
        <v>535</v>
      </c>
      <c r="D217" t="s">
        <v>183</v>
      </c>
      <c r="E217">
        <v>1005755151</v>
      </c>
      <c r="F217">
        <v>-340440036</v>
      </c>
      <c r="G217">
        <v>-564576931</v>
      </c>
      <c r="H217">
        <v>303710808</v>
      </c>
      <c r="I217">
        <v>146265387</v>
      </c>
      <c r="J217">
        <v>-134641969</v>
      </c>
      <c r="K217">
        <v>9246292</v>
      </c>
      <c r="L217">
        <v>746187</v>
      </c>
      <c r="M217">
        <v>3337641</v>
      </c>
      <c r="N217">
        <v>15838355</v>
      </c>
      <c r="O217">
        <v>-29775814</v>
      </c>
      <c r="P217">
        <v>1163</v>
      </c>
      <c r="Q217" t="s">
        <v>536</v>
      </c>
    </row>
    <row r="218" spans="1:17" x14ac:dyDescent="0.3">
      <c r="A218" t="s">
        <v>17</v>
      </c>
      <c r="B218" t="str">
        <f>"603093"</f>
        <v>603093</v>
      </c>
      <c r="C218" t="s">
        <v>537</v>
      </c>
      <c r="D218" t="s">
        <v>538</v>
      </c>
      <c r="E218">
        <v>999777011</v>
      </c>
      <c r="F218">
        <v>905520814</v>
      </c>
      <c r="G218">
        <v>819473795</v>
      </c>
      <c r="H218">
        <v>675527636</v>
      </c>
      <c r="L218">
        <v>897151900</v>
      </c>
      <c r="P218">
        <v>84</v>
      </c>
      <c r="Q218" t="s">
        <v>539</v>
      </c>
    </row>
    <row r="219" spans="1:17" x14ac:dyDescent="0.3">
      <c r="A219" t="s">
        <v>33</v>
      </c>
      <c r="B219" t="str">
        <f>"001872"</f>
        <v>001872</v>
      </c>
      <c r="C219" t="s">
        <v>540</v>
      </c>
      <c r="D219" t="s">
        <v>289</v>
      </c>
      <c r="E219">
        <v>999264265</v>
      </c>
      <c r="F219">
        <v>880940193</v>
      </c>
      <c r="G219">
        <v>847165372</v>
      </c>
      <c r="H219">
        <v>1148963122</v>
      </c>
      <c r="I219">
        <v>105464497</v>
      </c>
      <c r="J219">
        <v>246485778</v>
      </c>
      <c r="K219">
        <v>101594146</v>
      </c>
      <c r="L219">
        <v>161160849</v>
      </c>
      <c r="M219">
        <v>147151916</v>
      </c>
      <c r="N219">
        <v>141992180</v>
      </c>
      <c r="O219">
        <v>132040260</v>
      </c>
      <c r="P219">
        <v>254</v>
      </c>
      <c r="Q219" t="s">
        <v>541</v>
      </c>
    </row>
    <row r="220" spans="1:17" x14ac:dyDescent="0.3">
      <c r="A220" t="s">
        <v>33</v>
      </c>
      <c r="B220" t="str">
        <f>"000543"</f>
        <v>000543</v>
      </c>
      <c r="C220" t="s">
        <v>542</v>
      </c>
      <c r="D220" t="s">
        <v>145</v>
      </c>
      <c r="E220">
        <v>992281659</v>
      </c>
      <c r="F220">
        <v>654007856</v>
      </c>
      <c r="G220">
        <v>793273923</v>
      </c>
      <c r="H220">
        <v>622797690</v>
      </c>
      <c r="I220">
        <v>144210708</v>
      </c>
      <c r="J220">
        <v>240086802</v>
      </c>
      <c r="K220">
        <v>814074285</v>
      </c>
      <c r="L220">
        <v>751422220</v>
      </c>
      <c r="M220">
        <v>1040013950</v>
      </c>
      <c r="N220">
        <v>656384073</v>
      </c>
      <c r="O220">
        <v>44775350</v>
      </c>
      <c r="P220">
        <v>322</v>
      </c>
      <c r="Q220" t="s">
        <v>543</v>
      </c>
    </row>
    <row r="221" spans="1:17" x14ac:dyDescent="0.3">
      <c r="A221" t="s">
        <v>17</v>
      </c>
      <c r="B221" t="str">
        <f>"603529"</f>
        <v>603529</v>
      </c>
      <c r="C221" t="s">
        <v>544</v>
      </c>
      <c r="D221" t="s">
        <v>545</v>
      </c>
      <c r="E221">
        <v>991740554</v>
      </c>
      <c r="F221">
        <v>201242763</v>
      </c>
      <c r="G221">
        <v>96900611</v>
      </c>
      <c r="P221">
        <v>73</v>
      </c>
      <c r="Q221" t="s">
        <v>546</v>
      </c>
    </row>
    <row r="222" spans="1:17" x14ac:dyDescent="0.3">
      <c r="A222" t="s">
        <v>33</v>
      </c>
      <c r="B222" t="str">
        <f>"000708"</f>
        <v>000708</v>
      </c>
      <c r="C222" t="s">
        <v>547</v>
      </c>
      <c r="D222" t="s">
        <v>253</v>
      </c>
      <c r="E222">
        <v>990206159</v>
      </c>
      <c r="F222">
        <v>706082947</v>
      </c>
      <c r="G222">
        <v>-436494485</v>
      </c>
      <c r="H222">
        <v>-69143748</v>
      </c>
      <c r="I222">
        <v>-114347593</v>
      </c>
      <c r="J222">
        <v>-415579917</v>
      </c>
      <c r="K222">
        <v>-63846563</v>
      </c>
      <c r="L222">
        <v>159750638</v>
      </c>
      <c r="M222">
        <v>27856044</v>
      </c>
      <c r="N222">
        <v>13782639</v>
      </c>
      <c r="O222">
        <v>-22966741</v>
      </c>
      <c r="P222">
        <v>677</v>
      </c>
      <c r="Q222" t="s">
        <v>548</v>
      </c>
    </row>
    <row r="223" spans="1:17" x14ac:dyDescent="0.3">
      <c r="A223" t="s">
        <v>17</v>
      </c>
      <c r="B223" t="str">
        <f>"600956"</f>
        <v>600956</v>
      </c>
      <c r="C223" t="s">
        <v>549</v>
      </c>
      <c r="D223" t="s">
        <v>367</v>
      </c>
      <c r="E223">
        <v>987292399</v>
      </c>
      <c r="F223">
        <v>1405087214</v>
      </c>
      <c r="G223">
        <v>818932456</v>
      </c>
      <c r="H223">
        <v>871039343</v>
      </c>
      <c r="P223">
        <v>204</v>
      </c>
      <c r="Q223" t="s">
        <v>550</v>
      </c>
    </row>
    <row r="224" spans="1:17" x14ac:dyDescent="0.3">
      <c r="A224" t="s">
        <v>17</v>
      </c>
      <c r="B224" t="str">
        <f>"600233"</f>
        <v>600233</v>
      </c>
      <c r="C224" t="s">
        <v>551</v>
      </c>
      <c r="D224" t="s">
        <v>183</v>
      </c>
      <c r="E224">
        <v>980489951</v>
      </c>
      <c r="F224">
        <v>-374805462</v>
      </c>
      <c r="G224">
        <v>-722733948</v>
      </c>
      <c r="H224">
        <v>229604971</v>
      </c>
      <c r="I224">
        <v>-392407360</v>
      </c>
      <c r="J224">
        <v>-216582701</v>
      </c>
      <c r="K224">
        <v>18788178</v>
      </c>
      <c r="L224">
        <v>28142822</v>
      </c>
      <c r="M224">
        <v>60640695</v>
      </c>
      <c r="N224">
        <v>42151258</v>
      </c>
      <c r="O224">
        <v>22247850</v>
      </c>
      <c r="P224">
        <v>733</v>
      </c>
      <c r="Q224" t="s">
        <v>552</v>
      </c>
    </row>
    <row r="225" spans="1:17" x14ac:dyDescent="0.3">
      <c r="A225" t="s">
        <v>33</v>
      </c>
      <c r="B225" t="str">
        <f>"000829"</f>
        <v>000829</v>
      </c>
      <c r="C225" t="s">
        <v>553</v>
      </c>
      <c r="D225" t="s">
        <v>351</v>
      </c>
      <c r="E225">
        <v>970425870</v>
      </c>
      <c r="F225">
        <v>-1073476562</v>
      </c>
      <c r="G225">
        <v>-701928034</v>
      </c>
      <c r="H225">
        <v>176866301</v>
      </c>
      <c r="I225">
        <v>1367000858</v>
      </c>
      <c r="J225">
        <v>-268887570</v>
      </c>
      <c r="K225">
        <v>-374311439</v>
      </c>
      <c r="L225">
        <v>-547151157</v>
      </c>
      <c r="M225">
        <v>536048049</v>
      </c>
      <c r="N225">
        <v>-1364234886</v>
      </c>
      <c r="O225">
        <v>-1333258597</v>
      </c>
      <c r="P225">
        <v>187</v>
      </c>
      <c r="Q225" t="s">
        <v>554</v>
      </c>
    </row>
    <row r="226" spans="1:17" x14ac:dyDescent="0.3">
      <c r="A226" t="s">
        <v>17</v>
      </c>
      <c r="B226" t="str">
        <f>"603056"</f>
        <v>603056</v>
      </c>
      <c r="C226" t="s">
        <v>555</v>
      </c>
      <c r="D226" t="s">
        <v>556</v>
      </c>
      <c r="E226">
        <v>966652738</v>
      </c>
      <c r="F226">
        <v>855481998</v>
      </c>
      <c r="G226">
        <v>154267997</v>
      </c>
      <c r="H226">
        <v>-234761995</v>
      </c>
      <c r="I226">
        <v>179454891</v>
      </c>
      <c r="J226">
        <v>-317045255</v>
      </c>
      <c r="P226">
        <v>412</v>
      </c>
      <c r="Q226" t="s">
        <v>557</v>
      </c>
    </row>
    <row r="227" spans="1:17" x14ac:dyDescent="0.3">
      <c r="A227" t="s">
        <v>33</v>
      </c>
      <c r="B227" t="str">
        <f>"002129"</f>
        <v>002129</v>
      </c>
      <c r="C227" t="s">
        <v>558</v>
      </c>
      <c r="D227" t="s">
        <v>242</v>
      </c>
      <c r="E227">
        <v>956577064</v>
      </c>
      <c r="F227">
        <v>898016874</v>
      </c>
      <c r="G227">
        <v>609836646</v>
      </c>
      <c r="H227">
        <v>369009169</v>
      </c>
      <c r="I227">
        <v>262592749</v>
      </c>
      <c r="J227">
        <v>159241303</v>
      </c>
      <c r="K227">
        <v>152308627</v>
      </c>
      <c r="L227">
        <v>59331157</v>
      </c>
      <c r="M227">
        <v>55000486</v>
      </c>
      <c r="N227">
        <v>34426563</v>
      </c>
      <c r="O227">
        <v>-45398097</v>
      </c>
      <c r="P227">
        <v>1522</v>
      </c>
      <c r="Q227" t="s">
        <v>559</v>
      </c>
    </row>
    <row r="228" spans="1:17" x14ac:dyDescent="0.3">
      <c r="A228" t="s">
        <v>33</v>
      </c>
      <c r="B228" t="str">
        <f>"200625"</f>
        <v>200625</v>
      </c>
      <c r="C228" t="s">
        <v>560</v>
      </c>
      <c r="E228">
        <v>949276383.75600004</v>
      </c>
      <c r="F228">
        <v>8571072253.3144999</v>
      </c>
      <c r="G228">
        <v>4541375749.4042997</v>
      </c>
      <c r="H228">
        <v>3809849496.2270999</v>
      </c>
      <c r="I228">
        <v>3296709076.368</v>
      </c>
      <c r="J228">
        <v>4881047497.9350004</v>
      </c>
      <c r="K228">
        <v>1940602763.0116</v>
      </c>
      <c r="L228">
        <v>3467230316.25</v>
      </c>
      <c r="M228">
        <v>506949630.32239997</v>
      </c>
      <c r="N228">
        <v>1875699696.273</v>
      </c>
      <c r="O228">
        <v>-303086935.80000001</v>
      </c>
      <c r="P228">
        <v>710</v>
      </c>
      <c r="Q228" t="s">
        <v>561</v>
      </c>
    </row>
    <row r="229" spans="1:17" x14ac:dyDescent="0.3">
      <c r="A229" t="s">
        <v>17</v>
      </c>
      <c r="B229" t="str">
        <f>"600010"</f>
        <v>600010</v>
      </c>
      <c r="C229" t="s">
        <v>562</v>
      </c>
      <c r="D229" t="s">
        <v>131</v>
      </c>
      <c r="E229">
        <v>948690939</v>
      </c>
      <c r="F229">
        <v>1316777288</v>
      </c>
      <c r="G229">
        <v>-1315078765</v>
      </c>
      <c r="H229">
        <v>170900055</v>
      </c>
      <c r="I229">
        <v>1338527364</v>
      </c>
      <c r="J229">
        <v>1081587462</v>
      </c>
      <c r="K229">
        <v>234381764</v>
      </c>
      <c r="L229">
        <v>710889388</v>
      </c>
      <c r="M229">
        <v>-1427041944</v>
      </c>
      <c r="N229">
        <v>247248135</v>
      </c>
      <c r="O229">
        <v>-584397981</v>
      </c>
      <c r="P229">
        <v>623</v>
      </c>
      <c r="Q229" t="s">
        <v>563</v>
      </c>
    </row>
    <row r="230" spans="1:17" x14ac:dyDescent="0.3">
      <c r="A230" t="s">
        <v>33</v>
      </c>
      <c r="B230" t="str">
        <f>"002839"</f>
        <v>002839</v>
      </c>
      <c r="C230" t="s">
        <v>564</v>
      </c>
      <c r="D230" t="s">
        <v>58</v>
      </c>
      <c r="E230">
        <v>946805992</v>
      </c>
      <c r="F230">
        <v>1788502856</v>
      </c>
      <c r="G230">
        <v>4616597507</v>
      </c>
      <c r="H230">
        <v>1161794121</v>
      </c>
      <c r="I230">
        <v>-5604869787</v>
      </c>
      <c r="J230">
        <v>-940935532</v>
      </c>
      <c r="K230">
        <v>2691764519</v>
      </c>
      <c r="P230">
        <v>474</v>
      </c>
      <c r="Q230" t="s">
        <v>565</v>
      </c>
    </row>
    <row r="231" spans="1:17" x14ac:dyDescent="0.3">
      <c r="A231" t="s">
        <v>33</v>
      </c>
      <c r="B231" t="str">
        <f>"000408"</f>
        <v>000408</v>
      </c>
      <c r="C231" t="s">
        <v>566</v>
      </c>
      <c r="D231" t="s">
        <v>188</v>
      </c>
      <c r="E231">
        <v>943491660</v>
      </c>
      <c r="F231">
        <v>353495522</v>
      </c>
      <c r="G231">
        <v>112716316</v>
      </c>
      <c r="H231">
        <v>66966127</v>
      </c>
      <c r="I231">
        <v>-99760922</v>
      </c>
      <c r="J231">
        <v>-526114478</v>
      </c>
      <c r="K231">
        <v>-1017443</v>
      </c>
      <c r="L231">
        <v>446451</v>
      </c>
      <c r="M231">
        <v>-382482</v>
      </c>
      <c r="N231">
        <v>-5638385</v>
      </c>
      <c r="O231">
        <v>-377739</v>
      </c>
      <c r="P231">
        <v>188</v>
      </c>
      <c r="Q231" t="s">
        <v>567</v>
      </c>
    </row>
    <row r="232" spans="1:17" x14ac:dyDescent="0.3">
      <c r="A232" t="s">
        <v>33</v>
      </c>
      <c r="B232" t="str">
        <f>"002600"</f>
        <v>002600</v>
      </c>
      <c r="C232" t="s">
        <v>568</v>
      </c>
      <c r="D232" t="s">
        <v>226</v>
      </c>
      <c r="E232">
        <v>936830671</v>
      </c>
      <c r="F232">
        <v>581858747</v>
      </c>
      <c r="G232">
        <v>1112267310</v>
      </c>
      <c r="H232">
        <v>1442771796</v>
      </c>
      <c r="I232">
        <v>1381455695</v>
      </c>
      <c r="J232">
        <v>-499227439</v>
      </c>
      <c r="K232">
        <v>-203507510</v>
      </c>
      <c r="L232">
        <v>37078167</v>
      </c>
      <c r="M232">
        <v>-4056351</v>
      </c>
      <c r="N232">
        <v>-13054330</v>
      </c>
      <c r="O232">
        <v>-25512501</v>
      </c>
      <c r="P232">
        <v>877</v>
      </c>
      <c r="Q232" t="s">
        <v>569</v>
      </c>
    </row>
    <row r="233" spans="1:17" x14ac:dyDescent="0.3">
      <c r="A233" t="s">
        <v>17</v>
      </c>
      <c r="B233" t="str">
        <f>"600085"</f>
        <v>600085</v>
      </c>
      <c r="C233" t="s">
        <v>570</v>
      </c>
      <c r="D233" t="s">
        <v>533</v>
      </c>
      <c r="E233">
        <v>934100363</v>
      </c>
      <c r="F233">
        <v>963881452</v>
      </c>
      <c r="G233">
        <v>353396038</v>
      </c>
      <c r="H233">
        <v>424055664</v>
      </c>
      <c r="I233">
        <v>456373530</v>
      </c>
      <c r="J233">
        <v>287069070</v>
      </c>
      <c r="K233">
        <v>306857109</v>
      </c>
      <c r="L233">
        <v>295174776</v>
      </c>
      <c r="M233">
        <v>279009880</v>
      </c>
      <c r="N233">
        <v>445277968</v>
      </c>
      <c r="O233">
        <v>412187571</v>
      </c>
      <c r="P233">
        <v>2030</v>
      </c>
      <c r="Q233" t="s">
        <v>571</v>
      </c>
    </row>
    <row r="234" spans="1:17" x14ac:dyDescent="0.3">
      <c r="A234" t="s">
        <v>17</v>
      </c>
      <c r="B234" t="str">
        <f>"600600"</f>
        <v>600600</v>
      </c>
      <c r="C234" t="s">
        <v>572</v>
      </c>
      <c r="D234" t="s">
        <v>481</v>
      </c>
      <c r="E234">
        <v>933619727</v>
      </c>
      <c r="F234">
        <v>2465865133</v>
      </c>
      <c r="G234">
        <v>619328210</v>
      </c>
      <c r="H234">
        <v>1756417552</v>
      </c>
      <c r="I234">
        <v>2321920019</v>
      </c>
      <c r="J234">
        <v>1549858660</v>
      </c>
      <c r="K234">
        <v>1770315771</v>
      </c>
      <c r="L234">
        <v>2102160248</v>
      </c>
      <c r="M234">
        <v>1883614950</v>
      </c>
      <c r="N234">
        <v>1590490438</v>
      </c>
      <c r="O234">
        <v>1193725043</v>
      </c>
      <c r="P234">
        <v>2021</v>
      </c>
      <c r="Q234" t="s">
        <v>573</v>
      </c>
    </row>
    <row r="235" spans="1:17" x14ac:dyDescent="0.3">
      <c r="A235" t="s">
        <v>17</v>
      </c>
      <c r="B235" t="str">
        <f>"688606"</f>
        <v>688606</v>
      </c>
      <c r="C235" t="s">
        <v>574</v>
      </c>
      <c r="D235" t="s">
        <v>221</v>
      </c>
      <c r="E235">
        <v>931874152</v>
      </c>
      <c r="F235">
        <v>99808840</v>
      </c>
      <c r="G235">
        <v>134846154</v>
      </c>
      <c r="P235">
        <v>104</v>
      </c>
      <c r="Q235" t="s">
        <v>575</v>
      </c>
    </row>
    <row r="236" spans="1:17" x14ac:dyDescent="0.3">
      <c r="A236" t="s">
        <v>17</v>
      </c>
      <c r="B236" t="str">
        <f>"603113"</f>
        <v>603113</v>
      </c>
      <c r="C236" t="s">
        <v>576</v>
      </c>
      <c r="D236" t="s">
        <v>427</v>
      </c>
      <c r="E236">
        <v>919460157</v>
      </c>
      <c r="F236">
        <v>617816604</v>
      </c>
      <c r="G236">
        <v>281102400</v>
      </c>
      <c r="H236">
        <v>-52141787</v>
      </c>
      <c r="I236">
        <v>305768863</v>
      </c>
      <c r="J236">
        <v>241288033</v>
      </c>
      <c r="K236">
        <v>49161952</v>
      </c>
      <c r="P236">
        <v>302</v>
      </c>
      <c r="Q236" t="s">
        <v>577</v>
      </c>
    </row>
    <row r="237" spans="1:17" x14ac:dyDescent="0.3">
      <c r="A237" t="s">
        <v>17</v>
      </c>
      <c r="B237" t="str">
        <f>"600332"</f>
        <v>600332</v>
      </c>
      <c r="C237" t="s">
        <v>578</v>
      </c>
      <c r="D237" t="s">
        <v>533</v>
      </c>
      <c r="E237">
        <v>918063840</v>
      </c>
      <c r="F237">
        <v>1681290434</v>
      </c>
      <c r="G237">
        <v>-3407040775</v>
      </c>
      <c r="H237">
        <v>-2798689032</v>
      </c>
      <c r="I237">
        <v>802225815</v>
      </c>
      <c r="J237">
        <v>225970152</v>
      </c>
      <c r="K237">
        <v>743266060</v>
      </c>
      <c r="L237">
        <v>238588454</v>
      </c>
      <c r="M237">
        <v>165475672</v>
      </c>
      <c r="N237">
        <v>546653921</v>
      </c>
      <c r="O237">
        <v>64622476</v>
      </c>
      <c r="P237">
        <v>2231</v>
      </c>
      <c r="Q237" t="s">
        <v>579</v>
      </c>
    </row>
    <row r="238" spans="1:17" x14ac:dyDescent="0.3">
      <c r="A238" t="s">
        <v>17</v>
      </c>
      <c r="B238" t="str">
        <f>"600398"</f>
        <v>600398</v>
      </c>
      <c r="C238" t="s">
        <v>580</v>
      </c>
      <c r="D238" t="s">
        <v>581</v>
      </c>
      <c r="E238">
        <v>908976866</v>
      </c>
      <c r="F238">
        <v>1200004599</v>
      </c>
      <c r="G238">
        <v>955500231</v>
      </c>
      <c r="H238">
        <v>1221529041</v>
      </c>
      <c r="I238">
        <v>1093053305</v>
      </c>
      <c r="J238">
        <v>168623150</v>
      </c>
      <c r="K238">
        <v>754539948</v>
      </c>
      <c r="L238">
        <v>1186917555</v>
      </c>
      <c r="M238">
        <v>176020326</v>
      </c>
      <c r="N238">
        <v>-127556429</v>
      </c>
      <c r="O238">
        <v>-86488572</v>
      </c>
      <c r="P238">
        <v>2674</v>
      </c>
      <c r="Q238" t="s">
        <v>582</v>
      </c>
    </row>
    <row r="239" spans="1:17" x14ac:dyDescent="0.3">
      <c r="A239" t="s">
        <v>33</v>
      </c>
      <c r="B239" t="str">
        <f>"300308"</f>
        <v>300308</v>
      </c>
      <c r="C239" t="s">
        <v>583</v>
      </c>
      <c r="D239" t="s">
        <v>461</v>
      </c>
      <c r="E239">
        <v>899773137</v>
      </c>
      <c r="F239">
        <v>-131284623</v>
      </c>
      <c r="G239">
        <v>-341847037</v>
      </c>
      <c r="H239">
        <v>-141639302</v>
      </c>
      <c r="I239">
        <v>-44276823</v>
      </c>
      <c r="J239">
        <v>4132758</v>
      </c>
      <c r="K239">
        <v>1349662</v>
      </c>
      <c r="L239">
        <v>24844486</v>
      </c>
      <c r="M239">
        <v>4733977</v>
      </c>
      <c r="N239">
        <v>7299595</v>
      </c>
      <c r="O239">
        <v>-13829689</v>
      </c>
      <c r="P239">
        <v>814</v>
      </c>
      <c r="Q239" t="s">
        <v>584</v>
      </c>
    </row>
    <row r="240" spans="1:17" x14ac:dyDescent="0.3">
      <c r="A240" t="s">
        <v>33</v>
      </c>
      <c r="B240" t="str">
        <f>"000875"</f>
        <v>000875</v>
      </c>
      <c r="C240" t="s">
        <v>585</v>
      </c>
      <c r="D240" t="s">
        <v>245</v>
      </c>
      <c r="E240">
        <v>896758642</v>
      </c>
      <c r="F240">
        <v>801205700</v>
      </c>
      <c r="G240">
        <v>794169257</v>
      </c>
      <c r="H240">
        <v>963065528</v>
      </c>
      <c r="I240">
        <v>492902405</v>
      </c>
      <c r="J240">
        <v>122886936</v>
      </c>
      <c r="K240">
        <v>419308207</v>
      </c>
      <c r="L240">
        <v>319910657</v>
      </c>
      <c r="M240">
        <v>327485818</v>
      </c>
      <c r="N240">
        <v>90618882</v>
      </c>
      <c r="O240">
        <v>149780953</v>
      </c>
      <c r="P240">
        <v>278</v>
      </c>
      <c r="Q240" t="s">
        <v>586</v>
      </c>
    </row>
    <row r="241" spans="1:17" x14ac:dyDescent="0.3">
      <c r="A241" t="s">
        <v>17</v>
      </c>
      <c r="B241" t="str">
        <f>"600166"</f>
        <v>600166</v>
      </c>
      <c r="C241" t="s">
        <v>587</v>
      </c>
      <c r="D241" t="s">
        <v>330</v>
      </c>
      <c r="E241">
        <v>891695801</v>
      </c>
      <c r="F241">
        <v>-391044077</v>
      </c>
      <c r="G241">
        <v>-1109143133</v>
      </c>
      <c r="H241">
        <v>1923801544</v>
      </c>
      <c r="I241">
        <v>-2441523078</v>
      </c>
      <c r="J241">
        <v>-1678038695</v>
      </c>
      <c r="K241">
        <v>-883727494</v>
      </c>
      <c r="L241">
        <v>-263925041</v>
      </c>
      <c r="M241">
        <v>-726302425</v>
      </c>
      <c r="N241">
        <v>1010729775</v>
      </c>
      <c r="O241">
        <v>597393403</v>
      </c>
      <c r="P241">
        <v>439</v>
      </c>
      <c r="Q241" t="s">
        <v>588</v>
      </c>
    </row>
    <row r="242" spans="1:17" x14ac:dyDescent="0.3">
      <c r="A242" t="s">
        <v>17</v>
      </c>
      <c r="B242" t="str">
        <f>"600380"</f>
        <v>600380</v>
      </c>
      <c r="C242" t="s">
        <v>589</v>
      </c>
      <c r="D242" t="s">
        <v>590</v>
      </c>
      <c r="E242">
        <v>871904477</v>
      </c>
      <c r="F242">
        <v>494649514</v>
      </c>
      <c r="G242">
        <v>482575225</v>
      </c>
      <c r="H242">
        <v>555698293</v>
      </c>
      <c r="I242">
        <v>322716032</v>
      </c>
      <c r="J242">
        <v>403064149</v>
      </c>
      <c r="K242">
        <v>268421196</v>
      </c>
      <c r="L242">
        <v>179481338</v>
      </c>
      <c r="M242">
        <v>191305732</v>
      </c>
      <c r="N242">
        <v>110292340</v>
      </c>
      <c r="O242">
        <v>165998053</v>
      </c>
      <c r="P242">
        <v>966</v>
      </c>
      <c r="Q242" t="s">
        <v>591</v>
      </c>
    </row>
    <row r="243" spans="1:17" x14ac:dyDescent="0.3">
      <c r="A243" t="s">
        <v>33</v>
      </c>
      <c r="B243" t="str">
        <f>"300760"</f>
        <v>300760</v>
      </c>
      <c r="C243" t="s">
        <v>592</v>
      </c>
      <c r="D243" t="s">
        <v>111</v>
      </c>
      <c r="E243">
        <v>869750366</v>
      </c>
      <c r="F243">
        <v>1110538731</v>
      </c>
      <c r="G243">
        <v>1419859741</v>
      </c>
      <c r="H243">
        <v>466541684</v>
      </c>
      <c r="I243">
        <v>432599002</v>
      </c>
      <c r="P243">
        <v>4593</v>
      </c>
      <c r="Q243" t="s">
        <v>593</v>
      </c>
    </row>
    <row r="244" spans="1:17" x14ac:dyDescent="0.3">
      <c r="A244" t="s">
        <v>17</v>
      </c>
      <c r="B244" t="str">
        <f>"601918"</f>
        <v>601918</v>
      </c>
      <c r="C244" t="s">
        <v>594</v>
      </c>
      <c r="D244" t="s">
        <v>77</v>
      </c>
      <c r="E244">
        <v>867706271</v>
      </c>
      <c r="F244">
        <v>1101088999</v>
      </c>
      <c r="G244">
        <v>-110428219</v>
      </c>
      <c r="H244">
        <v>860967438</v>
      </c>
      <c r="I244">
        <v>1215973011</v>
      </c>
      <c r="J244">
        <v>578400158</v>
      </c>
      <c r="K244">
        <v>236215404</v>
      </c>
      <c r="L244">
        <v>-444024509</v>
      </c>
      <c r="M244">
        <v>-21373961</v>
      </c>
      <c r="N244">
        <v>506104882</v>
      </c>
      <c r="O244">
        <v>417419403</v>
      </c>
      <c r="P244">
        <v>237</v>
      </c>
      <c r="Q244" t="s">
        <v>595</v>
      </c>
    </row>
    <row r="245" spans="1:17" x14ac:dyDescent="0.3">
      <c r="A245" t="s">
        <v>17</v>
      </c>
      <c r="B245" t="str">
        <f>"600196"</f>
        <v>600196</v>
      </c>
      <c r="C245" t="s">
        <v>596</v>
      </c>
      <c r="D245" t="s">
        <v>590</v>
      </c>
      <c r="E245">
        <v>865594441</v>
      </c>
      <c r="F245">
        <v>736760723</v>
      </c>
      <c r="G245">
        <v>382496483</v>
      </c>
      <c r="H245">
        <v>408188793</v>
      </c>
      <c r="I245">
        <v>465995276</v>
      </c>
      <c r="J245">
        <v>402267778</v>
      </c>
      <c r="K245">
        <v>383929630</v>
      </c>
      <c r="L245">
        <v>182986830</v>
      </c>
      <c r="M245">
        <v>7028518</v>
      </c>
      <c r="N245">
        <v>76165362</v>
      </c>
      <c r="O245">
        <v>11545044</v>
      </c>
      <c r="P245">
        <v>3821</v>
      </c>
      <c r="Q245" t="s">
        <v>597</v>
      </c>
    </row>
    <row r="246" spans="1:17" x14ac:dyDescent="0.3">
      <c r="A246" t="s">
        <v>17</v>
      </c>
      <c r="B246" t="str">
        <f>"603708"</f>
        <v>603708</v>
      </c>
      <c r="C246" t="s">
        <v>598</v>
      </c>
      <c r="D246" t="s">
        <v>279</v>
      </c>
      <c r="E246">
        <v>862610609</v>
      </c>
      <c r="F246">
        <v>580439341</v>
      </c>
      <c r="G246">
        <v>737772006</v>
      </c>
      <c r="H246">
        <v>405772630</v>
      </c>
      <c r="I246">
        <v>358141957</v>
      </c>
      <c r="J246">
        <v>411095268</v>
      </c>
      <c r="K246">
        <v>560834104</v>
      </c>
      <c r="P246">
        <v>702</v>
      </c>
      <c r="Q246" t="s">
        <v>599</v>
      </c>
    </row>
    <row r="247" spans="1:17" x14ac:dyDescent="0.3">
      <c r="A247" t="s">
        <v>17</v>
      </c>
      <c r="B247" t="str">
        <f>"600827"</f>
        <v>600827</v>
      </c>
      <c r="C247" t="s">
        <v>600</v>
      </c>
      <c r="D247" t="s">
        <v>526</v>
      </c>
      <c r="E247">
        <v>857849914</v>
      </c>
      <c r="F247">
        <v>930483128</v>
      </c>
      <c r="G247">
        <v>549306685</v>
      </c>
      <c r="H247">
        <v>944619002</v>
      </c>
      <c r="I247">
        <v>939319761</v>
      </c>
      <c r="J247">
        <v>328249187</v>
      </c>
      <c r="K247">
        <v>569166938</v>
      </c>
      <c r="L247">
        <v>771643178</v>
      </c>
      <c r="M247">
        <v>991512722</v>
      </c>
      <c r="N247">
        <v>745140733</v>
      </c>
      <c r="O247">
        <v>843055399</v>
      </c>
      <c r="P247">
        <v>274</v>
      </c>
      <c r="Q247" t="s">
        <v>601</v>
      </c>
    </row>
    <row r="248" spans="1:17" x14ac:dyDescent="0.3">
      <c r="A248" t="s">
        <v>17</v>
      </c>
      <c r="B248" t="str">
        <f>"601799"</f>
        <v>601799</v>
      </c>
      <c r="C248" t="s">
        <v>602</v>
      </c>
      <c r="D248" t="s">
        <v>603</v>
      </c>
      <c r="E248">
        <v>856788092</v>
      </c>
      <c r="F248">
        <v>312191342</v>
      </c>
      <c r="G248">
        <v>552342030</v>
      </c>
      <c r="H248">
        <v>157411387</v>
      </c>
      <c r="I248">
        <v>12959915</v>
      </c>
      <c r="J248">
        <v>141252840</v>
      </c>
      <c r="K248">
        <v>115915829</v>
      </c>
      <c r="L248">
        <v>-31470272</v>
      </c>
      <c r="M248">
        <v>46610868</v>
      </c>
      <c r="N248">
        <v>39203564</v>
      </c>
      <c r="O248">
        <v>-20277134</v>
      </c>
      <c r="P248">
        <v>1014</v>
      </c>
      <c r="Q248" t="s">
        <v>604</v>
      </c>
    </row>
    <row r="249" spans="1:17" x14ac:dyDescent="0.3">
      <c r="A249" t="s">
        <v>33</v>
      </c>
      <c r="B249" t="str">
        <f>"000723"</f>
        <v>000723</v>
      </c>
      <c r="C249" t="s">
        <v>605</v>
      </c>
      <c r="D249" t="s">
        <v>427</v>
      </c>
      <c r="E249">
        <v>854606968</v>
      </c>
      <c r="F249">
        <v>70443727</v>
      </c>
      <c r="G249">
        <v>-152772852</v>
      </c>
      <c r="H249">
        <v>248313276</v>
      </c>
      <c r="I249">
        <v>-290062543</v>
      </c>
      <c r="J249">
        <v>129590638</v>
      </c>
      <c r="K249">
        <v>-734182402</v>
      </c>
      <c r="L249">
        <v>-36999642</v>
      </c>
      <c r="M249">
        <v>-8617901</v>
      </c>
      <c r="N249">
        <v>-4360961</v>
      </c>
      <c r="O249">
        <v>-20506501</v>
      </c>
      <c r="P249">
        <v>673</v>
      </c>
      <c r="Q249" t="s">
        <v>606</v>
      </c>
    </row>
    <row r="250" spans="1:17" x14ac:dyDescent="0.3">
      <c r="A250" t="s">
        <v>33</v>
      </c>
      <c r="B250" t="str">
        <f>"300014"</f>
        <v>300014</v>
      </c>
      <c r="C250" t="s">
        <v>607</v>
      </c>
      <c r="D250" t="s">
        <v>156</v>
      </c>
      <c r="E250">
        <v>853384922</v>
      </c>
      <c r="F250">
        <v>-342518996</v>
      </c>
      <c r="G250">
        <v>415454137</v>
      </c>
      <c r="H250">
        <v>180096210</v>
      </c>
      <c r="I250">
        <v>-27287450</v>
      </c>
      <c r="J250">
        <v>-43257937</v>
      </c>
      <c r="K250">
        <v>-13484037</v>
      </c>
      <c r="L250">
        <v>2083132</v>
      </c>
      <c r="M250">
        <v>2381581</v>
      </c>
      <c r="N250">
        <v>5223488</v>
      </c>
      <c r="O250">
        <v>-6903979</v>
      </c>
      <c r="P250">
        <v>2493</v>
      </c>
      <c r="Q250" t="s">
        <v>608</v>
      </c>
    </row>
    <row r="251" spans="1:17" x14ac:dyDescent="0.3">
      <c r="A251" t="s">
        <v>33</v>
      </c>
      <c r="B251" t="str">
        <f>"002588"</f>
        <v>002588</v>
      </c>
      <c r="C251" t="s">
        <v>609</v>
      </c>
      <c r="D251" t="s">
        <v>610</v>
      </c>
      <c r="E251">
        <v>841039551</v>
      </c>
      <c r="F251">
        <v>67414931</v>
      </c>
      <c r="G251">
        <v>628199848</v>
      </c>
      <c r="H251">
        <v>133217600</v>
      </c>
      <c r="I251">
        <v>-453034011</v>
      </c>
      <c r="J251">
        <v>-533687410</v>
      </c>
      <c r="K251">
        <v>237508243</v>
      </c>
      <c r="L251">
        <v>210534665</v>
      </c>
      <c r="M251">
        <v>86896832</v>
      </c>
      <c r="N251">
        <v>159008940</v>
      </c>
      <c r="O251">
        <v>542095120</v>
      </c>
      <c r="P251">
        <v>164</v>
      </c>
      <c r="Q251" t="s">
        <v>611</v>
      </c>
    </row>
    <row r="252" spans="1:17" x14ac:dyDescent="0.3">
      <c r="A252" t="s">
        <v>17</v>
      </c>
      <c r="B252" t="str">
        <f>"600123"</f>
        <v>600123</v>
      </c>
      <c r="C252" t="s">
        <v>612</v>
      </c>
      <c r="D252" t="s">
        <v>265</v>
      </c>
      <c r="E252">
        <v>839864661</v>
      </c>
      <c r="F252">
        <v>86570820</v>
      </c>
      <c r="G252">
        <v>47444710</v>
      </c>
      <c r="H252">
        <v>206417020</v>
      </c>
      <c r="I252">
        <v>311061412</v>
      </c>
      <c r="J252">
        <v>247921583</v>
      </c>
      <c r="K252">
        <v>-47338668</v>
      </c>
      <c r="L252">
        <v>291282777</v>
      </c>
      <c r="M252">
        <v>288464217</v>
      </c>
      <c r="N252">
        <v>566523733</v>
      </c>
      <c r="O252">
        <v>616852582</v>
      </c>
      <c r="P252">
        <v>623</v>
      </c>
      <c r="Q252" t="s">
        <v>613</v>
      </c>
    </row>
    <row r="253" spans="1:17" x14ac:dyDescent="0.3">
      <c r="A253" t="s">
        <v>33</v>
      </c>
      <c r="B253" t="str">
        <f>"002030"</f>
        <v>002030</v>
      </c>
      <c r="C253" t="s">
        <v>614</v>
      </c>
      <c r="D253" t="s">
        <v>221</v>
      </c>
      <c r="E253">
        <v>839383631</v>
      </c>
      <c r="F253">
        <v>692043745</v>
      </c>
      <c r="G253">
        <v>210054659</v>
      </c>
      <c r="H253">
        <v>9548557</v>
      </c>
      <c r="I253">
        <v>-127533066</v>
      </c>
      <c r="J253">
        <v>-157617028</v>
      </c>
      <c r="K253">
        <v>-124002406</v>
      </c>
      <c r="L253">
        <v>-62040697</v>
      </c>
      <c r="M253">
        <v>-55327002</v>
      </c>
      <c r="N253">
        <v>-97759045</v>
      </c>
      <c r="O253">
        <v>-8764975</v>
      </c>
      <c r="P253">
        <v>1177</v>
      </c>
      <c r="Q253" t="s">
        <v>615</v>
      </c>
    </row>
    <row r="254" spans="1:17" x14ac:dyDescent="0.3">
      <c r="A254" t="s">
        <v>33</v>
      </c>
      <c r="B254" t="str">
        <f>"301050"</f>
        <v>301050</v>
      </c>
      <c r="C254" t="s">
        <v>616</v>
      </c>
      <c r="D254" t="s">
        <v>617</v>
      </c>
      <c r="E254">
        <v>830051282</v>
      </c>
      <c r="F254">
        <v>-28537837</v>
      </c>
      <c r="G254">
        <v>-23822355</v>
      </c>
      <c r="P254">
        <v>31</v>
      </c>
      <c r="Q254" t="s">
        <v>618</v>
      </c>
    </row>
    <row r="255" spans="1:17" x14ac:dyDescent="0.3">
      <c r="A255" t="s">
        <v>33</v>
      </c>
      <c r="B255" t="str">
        <f>"000686"</f>
        <v>000686</v>
      </c>
      <c r="C255" t="s">
        <v>619</v>
      </c>
      <c r="D255" t="s">
        <v>52</v>
      </c>
      <c r="E255">
        <v>830043510</v>
      </c>
      <c r="F255">
        <v>872719569</v>
      </c>
      <c r="G255">
        <v>740923437</v>
      </c>
      <c r="H255">
        <v>5432534138</v>
      </c>
      <c r="I255">
        <v>534685881</v>
      </c>
      <c r="J255">
        <v>554599539</v>
      </c>
      <c r="K255">
        <v>-1263435543</v>
      </c>
      <c r="L255">
        <v>-2139961897</v>
      </c>
      <c r="M255">
        <v>-758974250</v>
      </c>
      <c r="N255">
        <v>-446268717</v>
      </c>
      <c r="O255">
        <v>807482699</v>
      </c>
      <c r="P255">
        <v>888</v>
      </c>
      <c r="Q255" t="s">
        <v>620</v>
      </c>
    </row>
    <row r="256" spans="1:17" x14ac:dyDescent="0.3">
      <c r="A256" t="s">
        <v>17</v>
      </c>
      <c r="B256" t="str">
        <f>"600307"</f>
        <v>600307</v>
      </c>
      <c r="C256" t="s">
        <v>621</v>
      </c>
      <c r="D256" t="s">
        <v>131</v>
      </c>
      <c r="E256">
        <v>818449800</v>
      </c>
      <c r="F256">
        <v>192958141</v>
      </c>
      <c r="G256">
        <v>-218603962</v>
      </c>
      <c r="H256">
        <v>1005289476</v>
      </c>
      <c r="I256">
        <v>371538133</v>
      </c>
      <c r="J256">
        <v>-553452366</v>
      </c>
      <c r="K256">
        <v>405339683</v>
      </c>
      <c r="L256">
        <v>-995331807</v>
      </c>
      <c r="M256">
        <v>-279589739</v>
      </c>
      <c r="N256">
        <v>160472131</v>
      </c>
      <c r="O256">
        <v>352368955</v>
      </c>
      <c r="P256">
        <v>211</v>
      </c>
      <c r="Q256" t="s">
        <v>622</v>
      </c>
    </row>
    <row r="257" spans="1:17" x14ac:dyDescent="0.3">
      <c r="A257" t="s">
        <v>17</v>
      </c>
      <c r="B257" t="str">
        <f>"600179"</f>
        <v>600179</v>
      </c>
      <c r="C257" t="s">
        <v>623</v>
      </c>
      <c r="D257" t="s">
        <v>55</v>
      </c>
      <c r="E257">
        <v>798935564</v>
      </c>
      <c r="F257">
        <v>210611588</v>
      </c>
      <c r="G257">
        <v>55802451</v>
      </c>
      <c r="H257">
        <v>186692483</v>
      </c>
      <c r="I257">
        <v>114686754</v>
      </c>
      <c r="J257">
        <v>234234313</v>
      </c>
      <c r="K257">
        <v>-447055</v>
      </c>
      <c r="L257">
        <v>78425084</v>
      </c>
      <c r="M257">
        <v>15989460</v>
      </c>
      <c r="N257">
        <v>9334871</v>
      </c>
      <c r="O257">
        <v>15208734</v>
      </c>
      <c r="P257">
        <v>128</v>
      </c>
      <c r="Q257" t="s">
        <v>624</v>
      </c>
    </row>
    <row r="258" spans="1:17" x14ac:dyDescent="0.3">
      <c r="A258" t="s">
        <v>17</v>
      </c>
      <c r="B258" t="str">
        <f>"603323"</f>
        <v>603323</v>
      </c>
      <c r="C258" t="s">
        <v>625</v>
      </c>
      <c r="D258" t="s">
        <v>58</v>
      </c>
      <c r="E258">
        <v>798683000</v>
      </c>
      <c r="F258">
        <v>553291000</v>
      </c>
      <c r="G258">
        <v>5404407000</v>
      </c>
      <c r="H258">
        <v>-2084731000</v>
      </c>
      <c r="I258">
        <v>-3444294000</v>
      </c>
      <c r="J258">
        <v>226762000</v>
      </c>
      <c r="K258">
        <v>1298577000</v>
      </c>
      <c r="P258">
        <v>498</v>
      </c>
      <c r="Q258" t="s">
        <v>626</v>
      </c>
    </row>
    <row r="259" spans="1:17" x14ac:dyDescent="0.3">
      <c r="A259" t="s">
        <v>33</v>
      </c>
      <c r="B259" t="str">
        <f>"002500"</f>
        <v>002500</v>
      </c>
      <c r="C259" t="s">
        <v>627</v>
      </c>
      <c r="D259" t="s">
        <v>52</v>
      </c>
      <c r="E259">
        <v>795769046</v>
      </c>
      <c r="F259">
        <v>-134996236</v>
      </c>
      <c r="G259">
        <v>-198124664</v>
      </c>
      <c r="H259">
        <v>2613754052</v>
      </c>
      <c r="I259">
        <v>-1181059738</v>
      </c>
      <c r="J259">
        <v>3621918699</v>
      </c>
      <c r="K259">
        <v>-4336213816</v>
      </c>
      <c r="L259">
        <v>2237542080</v>
      </c>
      <c r="M259">
        <v>448416830</v>
      </c>
      <c r="N259">
        <v>-1057300675</v>
      </c>
      <c r="O259">
        <v>-393889520</v>
      </c>
      <c r="P259">
        <v>1129</v>
      </c>
      <c r="Q259" t="s">
        <v>628</v>
      </c>
    </row>
    <row r="260" spans="1:17" x14ac:dyDescent="0.3">
      <c r="A260" t="s">
        <v>17</v>
      </c>
      <c r="B260" t="str">
        <f>"601101"</f>
        <v>601101</v>
      </c>
      <c r="C260" t="s">
        <v>629</v>
      </c>
      <c r="D260" t="s">
        <v>77</v>
      </c>
      <c r="E260">
        <v>795372319</v>
      </c>
      <c r="F260">
        <v>629327573</v>
      </c>
      <c r="G260">
        <v>436945910</v>
      </c>
      <c r="H260">
        <v>361498860</v>
      </c>
      <c r="I260">
        <v>770887257</v>
      </c>
      <c r="J260">
        <v>369958922</v>
      </c>
      <c r="K260">
        <v>20634062</v>
      </c>
      <c r="L260">
        <v>-187019406</v>
      </c>
      <c r="M260">
        <v>166057847</v>
      </c>
      <c r="N260">
        <v>122971531</v>
      </c>
      <c r="O260">
        <v>513775376</v>
      </c>
      <c r="P260">
        <v>281</v>
      </c>
      <c r="Q260" t="s">
        <v>630</v>
      </c>
    </row>
    <row r="261" spans="1:17" x14ac:dyDescent="0.3">
      <c r="A261" t="s">
        <v>33</v>
      </c>
      <c r="B261" t="str">
        <f>"000737"</f>
        <v>000737</v>
      </c>
      <c r="C261" t="s">
        <v>631</v>
      </c>
      <c r="D261" t="s">
        <v>511</v>
      </c>
      <c r="E261">
        <v>793649421</v>
      </c>
      <c r="F261">
        <v>433775</v>
      </c>
      <c r="G261">
        <v>-32787848</v>
      </c>
      <c r="H261">
        <v>-44235948</v>
      </c>
      <c r="I261">
        <v>29541472</v>
      </c>
      <c r="J261">
        <v>42355168</v>
      </c>
      <c r="K261">
        <v>37473762</v>
      </c>
      <c r="L261">
        <v>148605318</v>
      </c>
      <c r="M261">
        <v>-10905733</v>
      </c>
      <c r="N261">
        <v>-132012611</v>
      </c>
      <c r="O261">
        <v>78204945</v>
      </c>
      <c r="P261">
        <v>83</v>
      </c>
      <c r="Q261" t="s">
        <v>632</v>
      </c>
    </row>
    <row r="262" spans="1:17" x14ac:dyDescent="0.3">
      <c r="A262" t="s">
        <v>17</v>
      </c>
      <c r="B262" t="str">
        <f>"600208"</f>
        <v>600208</v>
      </c>
      <c r="C262" t="s">
        <v>633</v>
      </c>
      <c r="D262" t="s">
        <v>167</v>
      </c>
      <c r="E262">
        <v>793569933</v>
      </c>
      <c r="F262">
        <v>2387550698</v>
      </c>
      <c r="G262">
        <v>-1001786584</v>
      </c>
      <c r="H262">
        <v>-2373393273</v>
      </c>
      <c r="I262">
        <v>-3033690334</v>
      </c>
      <c r="J262">
        <v>1726644504</v>
      </c>
      <c r="K262">
        <v>917164894</v>
      </c>
      <c r="L262">
        <v>-1771611965</v>
      </c>
      <c r="M262">
        <v>-1805213219</v>
      </c>
      <c r="N262">
        <v>-837680246</v>
      </c>
      <c r="O262">
        <v>-725594304</v>
      </c>
      <c r="P262">
        <v>331</v>
      </c>
      <c r="Q262" t="s">
        <v>634</v>
      </c>
    </row>
    <row r="263" spans="1:17" x14ac:dyDescent="0.3">
      <c r="A263" t="s">
        <v>17</v>
      </c>
      <c r="B263" t="str">
        <f>"600486"</f>
        <v>600486</v>
      </c>
      <c r="C263" t="s">
        <v>635</v>
      </c>
      <c r="D263" t="s">
        <v>636</v>
      </c>
      <c r="E263">
        <v>789353356</v>
      </c>
      <c r="F263">
        <v>465783859</v>
      </c>
      <c r="G263">
        <v>50413139</v>
      </c>
      <c r="H263">
        <v>176810808</v>
      </c>
      <c r="I263">
        <v>418079290</v>
      </c>
      <c r="J263">
        <v>313136742</v>
      </c>
      <c r="K263">
        <v>113223181</v>
      </c>
      <c r="L263">
        <v>162302724</v>
      </c>
      <c r="M263">
        <v>178190415</v>
      </c>
      <c r="N263">
        <v>264311350</v>
      </c>
      <c r="O263">
        <v>75965946</v>
      </c>
      <c r="P263">
        <v>1252</v>
      </c>
      <c r="Q263" t="s">
        <v>637</v>
      </c>
    </row>
    <row r="264" spans="1:17" x14ac:dyDescent="0.3">
      <c r="A264" t="s">
        <v>33</v>
      </c>
      <c r="B264" t="str">
        <f>"000429"</f>
        <v>000429</v>
      </c>
      <c r="C264" t="s">
        <v>638</v>
      </c>
      <c r="D264" t="s">
        <v>458</v>
      </c>
      <c r="E264">
        <v>771364037</v>
      </c>
      <c r="F264">
        <v>849020540</v>
      </c>
      <c r="G264">
        <v>142313822</v>
      </c>
      <c r="H264">
        <v>518337607</v>
      </c>
      <c r="I264">
        <v>332977530</v>
      </c>
      <c r="J264">
        <v>479844718</v>
      </c>
      <c r="K264">
        <v>274943373</v>
      </c>
      <c r="L264">
        <v>240651340</v>
      </c>
      <c r="M264">
        <v>221359512</v>
      </c>
      <c r="N264">
        <v>140167067</v>
      </c>
      <c r="O264">
        <v>163716399</v>
      </c>
      <c r="P264">
        <v>1026</v>
      </c>
      <c r="Q264" t="s">
        <v>639</v>
      </c>
    </row>
    <row r="265" spans="1:17" x14ac:dyDescent="0.3">
      <c r="A265" t="s">
        <v>33</v>
      </c>
      <c r="B265" t="str">
        <f>"000625"</f>
        <v>000625</v>
      </c>
      <c r="C265" t="s">
        <v>640</v>
      </c>
      <c r="D265" t="s">
        <v>641</v>
      </c>
      <c r="E265">
        <v>769267734</v>
      </c>
      <c r="F265">
        <v>7236025541</v>
      </c>
      <c r="G265">
        <v>4155344267</v>
      </c>
      <c r="H265">
        <v>3258788381</v>
      </c>
      <c r="I265">
        <v>2636312736</v>
      </c>
      <c r="J265">
        <v>4326402675</v>
      </c>
      <c r="K265">
        <v>1615418932</v>
      </c>
      <c r="L265">
        <v>2773784253</v>
      </c>
      <c r="M265">
        <v>406079486</v>
      </c>
      <c r="N265">
        <v>1500799885</v>
      </c>
      <c r="O265">
        <v>-245812600</v>
      </c>
      <c r="P265">
        <v>3098</v>
      </c>
      <c r="Q265" t="s">
        <v>642</v>
      </c>
    </row>
    <row r="266" spans="1:17" x14ac:dyDescent="0.3">
      <c r="A266" t="s">
        <v>33</v>
      </c>
      <c r="B266" t="str">
        <f>"002556"</f>
        <v>002556</v>
      </c>
      <c r="C266" t="s">
        <v>643</v>
      </c>
      <c r="D266" t="s">
        <v>644</v>
      </c>
      <c r="E266">
        <v>766847289</v>
      </c>
      <c r="F266">
        <v>-416962525</v>
      </c>
      <c r="G266">
        <v>140325882</v>
      </c>
      <c r="H266">
        <v>103031940</v>
      </c>
      <c r="I266">
        <v>-691399245</v>
      </c>
      <c r="J266">
        <v>-149300451</v>
      </c>
      <c r="K266">
        <v>-16443507</v>
      </c>
      <c r="L266">
        <v>-87047175</v>
      </c>
      <c r="M266">
        <v>-534651391</v>
      </c>
      <c r="N266">
        <v>-513642255</v>
      </c>
      <c r="O266">
        <v>-35484568</v>
      </c>
      <c r="P266">
        <v>110</v>
      </c>
      <c r="Q266" t="s">
        <v>645</v>
      </c>
    </row>
    <row r="267" spans="1:17" x14ac:dyDescent="0.3">
      <c r="A267" t="s">
        <v>17</v>
      </c>
      <c r="B267" t="str">
        <f>"600403"</f>
        <v>600403</v>
      </c>
      <c r="C267" t="s">
        <v>646</v>
      </c>
      <c r="D267" t="s">
        <v>77</v>
      </c>
      <c r="E267">
        <v>762311672</v>
      </c>
      <c r="F267">
        <v>-488993573</v>
      </c>
      <c r="G267">
        <v>135332647</v>
      </c>
      <c r="H267">
        <v>256011790</v>
      </c>
      <c r="I267">
        <v>524218465</v>
      </c>
      <c r="J267">
        <v>372591143</v>
      </c>
      <c r="K267">
        <v>-41985945</v>
      </c>
      <c r="L267">
        <v>-131278183</v>
      </c>
      <c r="M267">
        <v>129944221</v>
      </c>
      <c r="N267">
        <v>-98324157</v>
      </c>
      <c r="O267">
        <v>453283698</v>
      </c>
      <c r="P267">
        <v>221</v>
      </c>
      <c r="Q267" t="s">
        <v>647</v>
      </c>
    </row>
    <row r="268" spans="1:17" x14ac:dyDescent="0.3">
      <c r="A268" t="s">
        <v>17</v>
      </c>
      <c r="B268" t="str">
        <f>"605090"</f>
        <v>605090</v>
      </c>
      <c r="C268" t="s">
        <v>648</v>
      </c>
      <c r="D268" t="s">
        <v>649</v>
      </c>
      <c r="E268">
        <v>758045749</v>
      </c>
      <c r="F268">
        <v>39479113</v>
      </c>
      <c r="G268">
        <v>-128033562</v>
      </c>
      <c r="P268">
        <v>51</v>
      </c>
      <c r="Q268" t="s">
        <v>650</v>
      </c>
    </row>
    <row r="269" spans="1:17" x14ac:dyDescent="0.3">
      <c r="A269" t="s">
        <v>17</v>
      </c>
      <c r="B269" t="str">
        <f>"601216"</f>
        <v>601216</v>
      </c>
      <c r="C269" t="s">
        <v>651</v>
      </c>
      <c r="D269" t="s">
        <v>496</v>
      </c>
      <c r="E269">
        <v>757353668</v>
      </c>
      <c r="F269">
        <v>83758798</v>
      </c>
      <c r="G269">
        <v>217705348</v>
      </c>
      <c r="H269">
        <v>522073778</v>
      </c>
      <c r="I269">
        <v>295786076</v>
      </c>
      <c r="J269">
        <v>-65223546</v>
      </c>
      <c r="K269">
        <v>809679214</v>
      </c>
      <c r="L269">
        <v>147507997</v>
      </c>
      <c r="M269">
        <v>8103780</v>
      </c>
      <c r="N269">
        <v>12538303</v>
      </c>
      <c r="O269">
        <v>76860008</v>
      </c>
      <c r="P269">
        <v>958</v>
      </c>
      <c r="Q269" t="s">
        <v>652</v>
      </c>
    </row>
    <row r="270" spans="1:17" x14ac:dyDescent="0.3">
      <c r="A270" t="s">
        <v>17</v>
      </c>
      <c r="B270" t="str">
        <f>"600569"</f>
        <v>600569</v>
      </c>
      <c r="C270" t="s">
        <v>653</v>
      </c>
      <c r="D270" t="s">
        <v>131</v>
      </c>
      <c r="E270">
        <v>754399166</v>
      </c>
      <c r="F270">
        <v>1478470883</v>
      </c>
      <c r="G270">
        <v>543260556</v>
      </c>
      <c r="H270">
        <v>757373194</v>
      </c>
      <c r="I270">
        <v>733387931</v>
      </c>
      <c r="J270">
        <v>1725697046</v>
      </c>
      <c r="K270">
        <v>858548636</v>
      </c>
      <c r="L270">
        <v>843521800</v>
      </c>
      <c r="M270">
        <v>2102348773</v>
      </c>
      <c r="N270">
        <v>1209603869</v>
      </c>
      <c r="O270">
        <v>652849171</v>
      </c>
      <c r="P270">
        <v>329</v>
      </c>
      <c r="Q270" t="s">
        <v>654</v>
      </c>
    </row>
    <row r="271" spans="1:17" x14ac:dyDescent="0.3">
      <c r="A271" t="s">
        <v>17</v>
      </c>
      <c r="B271" t="str">
        <f>"605599"</f>
        <v>605599</v>
      </c>
      <c r="C271" t="s">
        <v>655</v>
      </c>
      <c r="D271" t="s">
        <v>161</v>
      </c>
      <c r="E271">
        <v>753718975</v>
      </c>
      <c r="P271">
        <v>21</v>
      </c>
      <c r="Q271" t="s">
        <v>656</v>
      </c>
    </row>
    <row r="272" spans="1:17" x14ac:dyDescent="0.3">
      <c r="A272" t="s">
        <v>17</v>
      </c>
      <c r="B272" t="str">
        <f>"603599"</f>
        <v>603599</v>
      </c>
      <c r="C272" t="s">
        <v>657</v>
      </c>
      <c r="D272" t="s">
        <v>636</v>
      </c>
      <c r="E272">
        <v>746432073</v>
      </c>
      <c r="F272">
        <v>196254450</v>
      </c>
      <c r="G272">
        <v>227060223</v>
      </c>
      <c r="H272">
        <v>181519358</v>
      </c>
      <c r="I272">
        <v>6691846</v>
      </c>
      <c r="J272">
        <v>112217719</v>
      </c>
      <c r="K272">
        <v>56515649</v>
      </c>
      <c r="L272">
        <v>-46690900</v>
      </c>
      <c r="M272">
        <v>-9632500</v>
      </c>
      <c r="P272">
        <v>304</v>
      </c>
      <c r="Q272" t="s">
        <v>658</v>
      </c>
    </row>
    <row r="273" spans="1:17" x14ac:dyDescent="0.3">
      <c r="A273" t="s">
        <v>33</v>
      </c>
      <c r="B273" t="str">
        <f>"000729"</f>
        <v>000729</v>
      </c>
      <c r="C273" t="s">
        <v>659</v>
      </c>
      <c r="D273" t="s">
        <v>481</v>
      </c>
      <c r="E273">
        <v>741907218</v>
      </c>
      <c r="F273">
        <v>842245136</v>
      </c>
      <c r="G273">
        <v>249657529</v>
      </c>
      <c r="H273">
        <v>327002774</v>
      </c>
      <c r="I273">
        <v>164197491</v>
      </c>
      <c r="J273">
        <v>376227310</v>
      </c>
      <c r="K273">
        <v>141605148</v>
      </c>
      <c r="L273">
        <v>263353355</v>
      </c>
      <c r="M273">
        <v>156608431</v>
      </c>
      <c r="N273">
        <v>574123478</v>
      </c>
      <c r="O273">
        <v>205831123</v>
      </c>
      <c r="P273">
        <v>607</v>
      </c>
      <c r="Q273" t="s">
        <v>660</v>
      </c>
    </row>
    <row r="274" spans="1:17" x14ac:dyDescent="0.3">
      <c r="A274" t="s">
        <v>17</v>
      </c>
      <c r="B274" t="str">
        <f>"600863"</f>
        <v>600863</v>
      </c>
      <c r="C274" t="s">
        <v>661</v>
      </c>
      <c r="D274" t="s">
        <v>145</v>
      </c>
      <c r="E274">
        <v>737342825</v>
      </c>
      <c r="F274">
        <v>509927763</v>
      </c>
      <c r="G274">
        <v>925594142</v>
      </c>
      <c r="H274">
        <v>667527714</v>
      </c>
      <c r="I274">
        <v>415017781</v>
      </c>
      <c r="J274">
        <v>75072495</v>
      </c>
      <c r="K274">
        <v>142034468</v>
      </c>
      <c r="L274">
        <v>460787015</v>
      </c>
      <c r="M274">
        <v>471413072</v>
      </c>
      <c r="N274">
        <v>770939853</v>
      </c>
      <c r="O274">
        <v>357538682</v>
      </c>
      <c r="P274">
        <v>310</v>
      </c>
      <c r="Q274" t="s">
        <v>662</v>
      </c>
    </row>
    <row r="275" spans="1:17" x14ac:dyDescent="0.3">
      <c r="A275" t="s">
        <v>33</v>
      </c>
      <c r="B275" t="str">
        <f>"002489"</f>
        <v>002489</v>
      </c>
      <c r="C275" t="s">
        <v>663</v>
      </c>
      <c r="D275" t="s">
        <v>664</v>
      </c>
      <c r="E275">
        <v>733673743</v>
      </c>
      <c r="F275">
        <v>359075132</v>
      </c>
      <c r="G275">
        <v>555950700</v>
      </c>
      <c r="H275">
        <v>342421270</v>
      </c>
      <c r="I275">
        <v>254606572</v>
      </c>
      <c r="J275">
        <v>292375531</v>
      </c>
      <c r="K275">
        <v>461578163</v>
      </c>
      <c r="L275">
        <v>369741981</v>
      </c>
      <c r="M275">
        <v>253752964</v>
      </c>
      <c r="N275">
        <v>463791891</v>
      </c>
      <c r="O275">
        <v>673360041</v>
      </c>
      <c r="P275">
        <v>206</v>
      </c>
      <c r="Q275" t="s">
        <v>665</v>
      </c>
    </row>
    <row r="276" spans="1:17" x14ac:dyDescent="0.3">
      <c r="A276" t="s">
        <v>17</v>
      </c>
      <c r="B276" t="str">
        <f>"600021"</f>
        <v>600021</v>
      </c>
      <c r="C276" t="s">
        <v>666</v>
      </c>
      <c r="D276" t="s">
        <v>145</v>
      </c>
      <c r="E276">
        <v>731351769</v>
      </c>
      <c r="F276">
        <v>1431209820</v>
      </c>
      <c r="G276">
        <v>670368818</v>
      </c>
      <c r="H276">
        <v>47209711</v>
      </c>
      <c r="I276">
        <v>682177233</v>
      </c>
      <c r="J276">
        <v>336143402</v>
      </c>
      <c r="K276">
        <v>1608417344</v>
      </c>
      <c r="L276">
        <v>2022597946</v>
      </c>
      <c r="M276">
        <v>1411420730</v>
      </c>
      <c r="N276">
        <v>1036339538</v>
      </c>
      <c r="O276">
        <v>1042862390</v>
      </c>
      <c r="P276">
        <v>336</v>
      </c>
      <c r="Q276" t="s">
        <v>667</v>
      </c>
    </row>
    <row r="277" spans="1:17" x14ac:dyDescent="0.3">
      <c r="A277" t="s">
        <v>17</v>
      </c>
      <c r="B277" t="str">
        <f>"600873"</f>
        <v>600873</v>
      </c>
      <c r="C277" t="s">
        <v>668</v>
      </c>
      <c r="D277" t="s">
        <v>669</v>
      </c>
      <c r="E277">
        <v>728205947</v>
      </c>
      <c r="F277">
        <v>-348842872</v>
      </c>
      <c r="G277">
        <v>148825306</v>
      </c>
      <c r="H277">
        <v>289163111</v>
      </c>
      <c r="I277">
        <v>350663734</v>
      </c>
      <c r="J277">
        <v>305550291</v>
      </c>
      <c r="K277">
        <v>332471349</v>
      </c>
      <c r="L277">
        <v>909977408</v>
      </c>
      <c r="M277">
        <v>-336705733</v>
      </c>
      <c r="N277">
        <v>-306710684</v>
      </c>
      <c r="O277">
        <v>254577202</v>
      </c>
      <c r="P277">
        <v>990</v>
      </c>
      <c r="Q277" t="s">
        <v>670</v>
      </c>
    </row>
    <row r="278" spans="1:17" x14ac:dyDescent="0.3">
      <c r="A278" t="s">
        <v>33</v>
      </c>
      <c r="B278" t="str">
        <f>"000683"</f>
        <v>000683</v>
      </c>
      <c r="C278" t="s">
        <v>671</v>
      </c>
      <c r="D278" t="s">
        <v>672</v>
      </c>
      <c r="E278">
        <v>727464792</v>
      </c>
      <c r="F278">
        <v>563888987</v>
      </c>
      <c r="G278">
        <v>619786252</v>
      </c>
      <c r="H278">
        <v>183863998</v>
      </c>
      <c r="I278">
        <v>180826186</v>
      </c>
      <c r="J278">
        <v>319019274</v>
      </c>
      <c r="K278">
        <v>162625153</v>
      </c>
      <c r="L278">
        <v>376090606</v>
      </c>
      <c r="M278">
        <v>91860782</v>
      </c>
      <c r="N278">
        <v>118409654</v>
      </c>
      <c r="O278">
        <v>268951063</v>
      </c>
      <c r="P278">
        <v>314</v>
      </c>
      <c r="Q278" t="s">
        <v>673</v>
      </c>
    </row>
    <row r="279" spans="1:17" x14ac:dyDescent="0.3">
      <c r="A279" t="s">
        <v>17</v>
      </c>
      <c r="B279" t="str">
        <f>"601877"</f>
        <v>601877</v>
      </c>
      <c r="C279" t="s">
        <v>674</v>
      </c>
      <c r="D279" t="s">
        <v>675</v>
      </c>
      <c r="E279">
        <v>719165899</v>
      </c>
      <c r="F279">
        <v>-1202058998</v>
      </c>
      <c r="G279">
        <v>-1311657022</v>
      </c>
      <c r="H279">
        <v>-340046393</v>
      </c>
      <c r="I279">
        <v>110623687</v>
      </c>
      <c r="J279">
        <v>-56093681</v>
      </c>
      <c r="K279">
        <v>397292102</v>
      </c>
      <c r="L279">
        <v>147639066</v>
      </c>
      <c r="M279">
        <v>-234476102</v>
      </c>
      <c r="N279">
        <v>-655267549</v>
      </c>
      <c r="O279">
        <v>47254944</v>
      </c>
      <c r="P279">
        <v>34820</v>
      </c>
      <c r="Q279" t="s">
        <v>676</v>
      </c>
    </row>
    <row r="280" spans="1:17" x14ac:dyDescent="0.3">
      <c r="A280" t="s">
        <v>17</v>
      </c>
      <c r="B280" t="str">
        <f>"601107"</f>
        <v>601107</v>
      </c>
      <c r="C280" t="s">
        <v>677</v>
      </c>
      <c r="D280" t="s">
        <v>458</v>
      </c>
      <c r="E280">
        <v>715997286</v>
      </c>
      <c r="F280">
        <v>429043527</v>
      </c>
      <c r="G280">
        <v>173387167</v>
      </c>
      <c r="H280">
        <v>559112918</v>
      </c>
      <c r="I280">
        <v>561253762</v>
      </c>
      <c r="J280">
        <v>128524280</v>
      </c>
      <c r="K280">
        <v>347755714</v>
      </c>
      <c r="L280">
        <v>269295432</v>
      </c>
      <c r="M280">
        <v>370593985</v>
      </c>
      <c r="N280">
        <v>549279361</v>
      </c>
      <c r="O280">
        <v>195183780</v>
      </c>
      <c r="P280">
        <v>231</v>
      </c>
      <c r="Q280" t="s">
        <v>678</v>
      </c>
    </row>
    <row r="281" spans="1:17" x14ac:dyDescent="0.3">
      <c r="A281" t="s">
        <v>33</v>
      </c>
      <c r="B281" t="str">
        <f>"000513"</f>
        <v>000513</v>
      </c>
      <c r="C281" t="s">
        <v>679</v>
      </c>
      <c r="D281" t="s">
        <v>590</v>
      </c>
      <c r="E281">
        <v>710308939</v>
      </c>
      <c r="F281">
        <v>514620183</v>
      </c>
      <c r="G281">
        <v>362846660</v>
      </c>
      <c r="H281">
        <v>480832780</v>
      </c>
      <c r="I281">
        <v>208115855</v>
      </c>
      <c r="J281">
        <v>257702733</v>
      </c>
      <c r="K281">
        <v>138284023</v>
      </c>
      <c r="L281">
        <v>75817469</v>
      </c>
      <c r="M281">
        <v>170050403</v>
      </c>
      <c r="N281">
        <v>48651127</v>
      </c>
      <c r="O281">
        <v>133979956</v>
      </c>
      <c r="P281">
        <v>1622</v>
      </c>
      <c r="Q281" t="s">
        <v>680</v>
      </c>
    </row>
    <row r="282" spans="1:17" x14ac:dyDescent="0.3">
      <c r="A282" t="s">
        <v>17</v>
      </c>
      <c r="B282" t="str">
        <f>"603565"</f>
        <v>603565</v>
      </c>
      <c r="C282" t="s">
        <v>681</v>
      </c>
      <c r="D282" t="s">
        <v>55</v>
      </c>
      <c r="E282">
        <v>706986405</v>
      </c>
      <c r="F282">
        <v>203453613</v>
      </c>
      <c r="G282">
        <v>321656770</v>
      </c>
      <c r="P282">
        <v>225</v>
      </c>
      <c r="Q282" t="s">
        <v>682</v>
      </c>
    </row>
    <row r="283" spans="1:17" x14ac:dyDescent="0.3">
      <c r="A283" t="s">
        <v>17</v>
      </c>
      <c r="B283" t="str">
        <f>"600623"</f>
        <v>600623</v>
      </c>
      <c r="C283" t="s">
        <v>683</v>
      </c>
      <c r="D283" t="s">
        <v>301</v>
      </c>
      <c r="E283">
        <v>701747663</v>
      </c>
      <c r="F283">
        <v>126144608</v>
      </c>
      <c r="G283">
        <v>-523727374</v>
      </c>
      <c r="H283">
        <v>-308951500</v>
      </c>
      <c r="I283">
        <v>-1511508813</v>
      </c>
      <c r="J283">
        <v>1000812498</v>
      </c>
      <c r="K283">
        <v>442314237</v>
      </c>
      <c r="L283">
        <v>290571067</v>
      </c>
      <c r="M283">
        <v>-269046961</v>
      </c>
      <c r="N283">
        <v>-324825435</v>
      </c>
      <c r="O283">
        <v>-118999427</v>
      </c>
      <c r="P283">
        <v>241</v>
      </c>
      <c r="Q283" t="s">
        <v>684</v>
      </c>
    </row>
    <row r="284" spans="1:17" x14ac:dyDescent="0.3">
      <c r="A284" t="s">
        <v>17</v>
      </c>
      <c r="B284" t="str">
        <f>"600067"</f>
        <v>600067</v>
      </c>
      <c r="C284" t="s">
        <v>685</v>
      </c>
      <c r="D284" t="s">
        <v>167</v>
      </c>
      <c r="E284">
        <v>699370875</v>
      </c>
      <c r="F284">
        <v>13624307</v>
      </c>
      <c r="G284">
        <v>-504600763</v>
      </c>
      <c r="H284">
        <v>145330025</v>
      </c>
      <c r="I284">
        <v>-1087899973</v>
      </c>
      <c r="J284">
        <v>123128922</v>
      </c>
      <c r="K284">
        <v>797273153</v>
      </c>
      <c r="L284">
        <v>-129247708</v>
      </c>
      <c r="M284">
        <v>620301350</v>
      </c>
      <c r="N284">
        <v>554098545</v>
      </c>
      <c r="O284">
        <v>-275765476</v>
      </c>
      <c r="P284">
        <v>222</v>
      </c>
      <c r="Q284" t="s">
        <v>686</v>
      </c>
    </row>
    <row r="285" spans="1:17" x14ac:dyDescent="0.3">
      <c r="A285" t="s">
        <v>17</v>
      </c>
      <c r="B285" t="str">
        <f>"688767"</f>
        <v>688767</v>
      </c>
      <c r="C285" t="s">
        <v>687</v>
      </c>
      <c r="D285" t="s">
        <v>221</v>
      </c>
      <c r="E285">
        <v>696516795</v>
      </c>
      <c r="P285">
        <v>43</v>
      </c>
      <c r="Q285" t="s">
        <v>688</v>
      </c>
    </row>
    <row r="286" spans="1:17" x14ac:dyDescent="0.3">
      <c r="A286" t="s">
        <v>33</v>
      </c>
      <c r="B286" t="str">
        <f>"300118"</f>
        <v>300118</v>
      </c>
      <c r="C286" t="s">
        <v>689</v>
      </c>
      <c r="D286" t="s">
        <v>690</v>
      </c>
      <c r="E286">
        <v>692214641</v>
      </c>
      <c r="F286">
        <v>231129188</v>
      </c>
      <c r="G286">
        <v>125658397</v>
      </c>
      <c r="H286">
        <v>551737339</v>
      </c>
      <c r="I286">
        <v>-230719439</v>
      </c>
      <c r="J286">
        <v>-291519797</v>
      </c>
      <c r="K286">
        <v>-156380763</v>
      </c>
      <c r="L286">
        <v>-274099439</v>
      </c>
      <c r="M286">
        <v>-267162256</v>
      </c>
      <c r="N286">
        <v>-363660199</v>
      </c>
      <c r="O286">
        <v>-109098270</v>
      </c>
      <c r="P286">
        <v>443</v>
      </c>
      <c r="Q286" t="s">
        <v>691</v>
      </c>
    </row>
    <row r="287" spans="1:17" x14ac:dyDescent="0.3">
      <c r="A287" t="s">
        <v>33</v>
      </c>
      <c r="B287" t="str">
        <f>"002042"</f>
        <v>002042</v>
      </c>
      <c r="C287" t="s">
        <v>692</v>
      </c>
      <c r="D287" t="s">
        <v>693</v>
      </c>
      <c r="E287">
        <v>687085984</v>
      </c>
      <c r="F287">
        <v>911244091</v>
      </c>
      <c r="G287">
        <v>375254215</v>
      </c>
      <c r="H287">
        <v>37585816</v>
      </c>
      <c r="I287">
        <v>-321746034</v>
      </c>
      <c r="J287">
        <v>-375488073</v>
      </c>
      <c r="K287">
        <v>219320613</v>
      </c>
      <c r="L287">
        <v>-255759318</v>
      </c>
      <c r="M287">
        <v>-24687287</v>
      </c>
      <c r="N287">
        <v>-379062687</v>
      </c>
      <c r="O287">
        <v>-258184265</v>
      </c>
      <c r="P287">
        <v>196</v>
      </c>
      <c r="Q287" t="s">
        <v>694</v>
      </c>
    </row>
    <row r="288" spans="1:17" x14ac:dyDescent="0.3">
      <c r="A288" t="s">
        <v>33</v>
      </c>
      <c r="B288" t="str">
        <f>"000958"</f>
        <v>000958</v>
      </c>
      <c r="C288" t="s">
        <v>695</v>
      </c>
      <c r="D288" t="s">
        <v>145</v>
      </c>
      <c r="E288">
        <v>685999937</v>
      </c>
      <c r="F288">
        <v>-3996273489</v>
      </c>
      <c r="G288">
        <v>-4636562839</v>
      </c>
      <c r="H288">
        <v>-131425949</v>
      </c>
      <c r="I288">
        <v>643708364</v>
      </c>
      <c r="J288">
        <v>16387371</v>
      </c>
      <c r="K288">
        <v>91880291</v>
      </c>
      <c r="L288">
        <v>49112122</v>
      </c>
      <c r="M288">
        <v>-112700709</v>
      </c>
      <c r="N288">
        <v>53513678</v>
      </c>
      <c r="O288">
        <v>23891564</v>
      </c>
      <c r="P288">
        <v>162</v>
      </c>
      <c r="Q288" t="s">
        <v>696</v>
      </c>
    </row>
    <row r="289" spans="1:17" x14ac:dyDescent="0.3">
      <c r="A289" t="s">
        <v>33</v>
      </c>
      <c r="B289" t="str">
        <f>"002384"</f>
        <v>002384</v>
      </c>
      <c r="C289" t="s">
        <v>697</v>
      </c>
      <c r="D289" t="s">
        <v>239</v>
      </c>
      <c r="E289">
        <v>685764514</v>
      </c>
      <c r="F289">
        <v>146830387</v>
      </c>
      <c r="G289">
        <v>578954496</v>
      </c>
      <c r="H289">
        <v>573525935</v>
      </c>
      <c r="I289">
        <v>800499230</v>
      </c>
      <c r="J289">
        <v>-19046142</v>
      </c>
      <c r="K289">
        <v>-43145219</v>
      </c>
      <c r="L289">
        <v>-44658167</v>
      </c>
      <c r="M289">
        <v>-87151703</v>
      </c>
      <c r="N289">
        <v>77872457</v>
      </c>
      <c r="O289">
        <v>-42383355</v>
      </c>
      <c r="P289">
        <v>1070</v>
      </c>
      <c r="Q289" t="s">
        <v>698</v>
      </c>
    </row>
    <row r="290" spans="1:17" x14ac:dyDescent="0.3">
      <c r="A290" t="s">
        <v>17</v>
      </c>
      <c r="B290" t="str">
        <f>"600675"</f>
        <v>600675</v>
      </c>
      <c r="C290" t="s">
        <v>699</v>
      </c>
      <c r="D290" t="s">
        <v>167</v>
      </c>
      <c r="E290">
        <v>675827521</v>
      </c>
      <c r="F290">
        <v>-10649728</v>
      </c>
      <c r="G290">
        <v>-300355741</v>
      </c>
      <c r="H290">
        <v>-3806237</v>
      </c>
      <c r="I290">
        <v>-43645244</v>
      </c>
      <c r="J290">
        <v>953891871</v>
      </c>
      <c r="K290">
        <v>475730454</v>
      </c>
      <c r="L290">
        <v>-204266006</v>
      </c>
      <c r="M290">
        <v>-970714694</v>
      </c>
      <c r="N290">
        <v>-66808628</v>
      </c>
      <c r="O290">
        <v>587996733</v>
      </c>
      <c r="P290">
        <v>186</v>
      </c>
      <c r="Q290" t="s">
        <v>700</v>
      </c>
    </row>
    <row r="291" spans="1:17" x14ac:dyDescent="0.3">
      <c r="A291" t="s">
        <v>17</v>
      </c>
      <c r="B291" t="str">
        <f>"600497"</f>
        <v>600497</v>
      </c>
      <c r="C291" t="s">
        <v>701</v>
      </c>
      <c r="D291" t="s">
        <v>702</v>
      </c>
      <c r="E291">
        <v>674647109</v>
      </c>
      <c r="F291">
        <v>528571906</v>
      </c>
      <c r="G291">
        <v>564543267</v>
      </c>
      <c r="H291">
        <v>280873817</v>
      </c>
      <c r="I291">
        <v>523027932</v>
      </c>
      <c r="J291">
        <v>620701222</v>
      </c>
      <c r="K291">
        <v>122218709</v>
      </c>
      <c r="L291">
        <v>327425547</v>
      </c>
      <c r="M291">
        <v>221185575</v>
      </c>
      <c r="N291">
        <v>207113735</v>
      </c>
      <c r="O291">
        <v>62469201</v>
      </c>
      <c r="P291">
        <v>286</v>
      </c>
      <c r="Q291" t="s">
        <v>703</v>
      </c>
    </row>
    <row r="292" spans="1:17" x14ac:dyDescent="0.3">
      <c r="A292" t="s">
        <v>17</v>
      </c>
      <c r="B292" t="str">
        <f>"600295"</f>
        <v>600295</v>
      </c>
      <c r="C292" t="s">
        <v>704</v>
      </c>
      <c r="D292" t="s">
        <v>705</v>
      </c>
      <c r="E292">
        <v>673382524</v>
      </c>
      <c r="F292">
        <v>2188035781</v>
      </c>
      <c r="G292">
        <v>44925193</v>
      </c>
      <c r="H292">
        <v>381250045</v>
      </c>
      <c r="I292">
        <v>1289781897</v>
      </c>
      <c r="J292">
        <v>1454247506</v>
      </c>
      <c r="K292">
        <v>1269938914</v>
      </c>
      <c r="L292">
        <v>-78847108</v>
      </c>
      <c r="M292">
        <v>258173826</v>
      </c>
      <c r="N292">
        <v>-309059071</v>
      </c>
      <c r="O292">
        <v>-385625178</v>
      </c>
      <c r="P292">
        <v>435</v>
      </c>
      <c r="Q292" t="s">
        <v>706</v>
      </c>
    </row>
    <row r="293" spans="1:17" x14ac:dyDescent="0.3">
      <c r="A293" t="s">
        <v>17</v>
      </c>
      <c r="B293" t="str">
        <f>"601298"</f>
        <v>601298</v>
      </c>
      <c r="C293" t="s">
        <v>707</v>
      </c>
      <c r="D293" t="s">
        <v>289</v>
      </c>
      <c r="E293">
        <v>672894920</v>
      </c>
      <c r="F293">
        <v>-209710825</v>
      </c>
      <c r="G293">
        <v>557946453</v>
      </c>
      <c r="H293">
        <v>765721837</v>
      </c>
      <c r="I293">
        <v>613062408</v>
      </c>
      <c r="P293">
        <v>431</v>
      </c>
      <c r="Q293" t="s">
        <v>708</v>
      </c>
    </row>
    <row r="294" spans="1:17" x14ac:dyDescent="0.3">
      <c r="A294" t="s">
        <v>17</v>
      </c>
      <c r="B294" t="str">
        <f>"603233"</f>
        <v>603233</v>
      </c>
      <c r="C294" t="s">
        <v>709</v>
      </c>
      <c r="D294" t="s">
        <v>710</v>
      </c>
      <c r="E294">
        <v>665777808</v>
      </c>
      <c r="F294">
        <v>512323191</v>
      </c>
      <c r="G294">
        <v>321096892</v>
      </c>
      <c r="H294">
        <v>250182613</v>
      </c>
      <c r="I294">
        <v>5188605</v>
      </c>
      <c r="J294">
        <v>141899015</v>
      </c>
      <c r="K294">
        <v>135342221</v>
      </c>
      <c r="P294">
        <v>1786</v>
      </c>
      <c r="Q294" t="s">
        <v>711</v>
      </c>
    </row>
    <row r="295" spans="1:17" x14ac:dyDescent="0.3">
      <c r="A295" t="s">
        <v>33</v>
      </c>
      <c r="B295" t="str">
        <f>"002867"</f>
        <v>002867</v>
      </c>
      <c r="C295" t="s">
        <v>712</v>
      </c>
      <c r="D295" t="s">
        <v>161</v>
      </c>
      <c r="E295">
        <v>664231460</v>
      </c>
      <c r="F295">
        <v>-397154160</v>
      </c>
      <c r="G295">
        <v>-67151310</v>
      </c>
      <c r="H295">
        <v>-328730975</v>
      </c>
      <c r="I295">
        <v>-81212829</v>
      </c>
      <c r="J295">
        <v>47974217</v>
      </c>
      <c r="K295">
        <v>42745467</v>
      </c>
      <c r="P295">
        <v>1635</v>
      </c>
      <c r="Q295" t="s">
        <v>713</v>
      </c>
    </row>
    <row r="296" spans="1:17" x14ac:dyDescent="0.3">
      <c r="A296" t="s">
        <v>17</v>
      </c>
      <c r="B296" t="str">
        <f>"603185"</f>
        <v>603185</v>
      </c>
      <c r="C296" t="s">
        <v>714</v>
      </c>
      <c r="D296" t="s">
        <v>715</v>
      </c>
      <c r="E296">
        <v>652560233</v>
      </c>
      <c r="F296">
        <v>-31143319</v>
      </c>
      <c r="G296">
        <v>101529760</v>
      </c>
      <c r="H296">
        <v>-50000593</v>
      </c>
      <c r="I296">
        <v>-22354352</v>
      </c>
      <c r="P296">
        <v>516</v>
      </c>
      <c r="Q296" t="s">
        <v>716</v>
      </c>
    </row>
    <row r="297" spans="1:17" x14ac:dyDescent="0.3">
      <c r="A297" t="s">
        <v>17</v>
      </c>
      <c r="B297" t="str">
        <f>"600744"</f>
        <v>600744</v>
      </c>
      <c r="C297" t="s">
        <v>717</v>
      </c>
      <c r="D297" t="s">
        <v>145</v>
      </c>
      <c r="E297">
        <v>652410730</v>
      </c>
      <c r="F297">
        <v>1000521</v>
      </c>
      <c r="G297">
        <v>1032181437</v>
      </c>
      <c r="H297">
        <v>537321926</v>
      </c>
      <c r="I297">
        <v>743599550</v>
      </c>
      <c r="J297">
        <v>280406156</v>
      </c>
      <c r="K297">
        <v>681512999</v>
      </c>
      <c r="L297">
        <v>893404161</v>
      </c>
      <c r="M297">
        <v>521563074</v>
      </c>
      <c r="N297">
        <v>316337851</v>
      </c>
      <c r="O297">
        <v>708965215</v>
      </c>
      <c r="P297">
        <v>182</v>
      </c>
      <c r="Q297" t="s">
        <v>718</v>
      </c>
    </row>
    <row r="298" spans="1:17" x14ac:dyDescent="0.3">
      <c r="A298" t="s">
        <v>33</v>
      </c>
      <c r="B298" t="str">
        <f>"000960"</f>
        <v>000960</v>
      </c>
      <c r="C298" t="s">
        <v>719</v>
      </c>
      <c r="D298" t="s">
        <v>720</v>
      </c>
      <c r="E298">
        <v>649601660</v>
      </c>
      <c r="F298">
        <v>-307415504</v>
      </c>
      <c r="G298">
        <v>-177527271</v>
      </c>
      <c r="H298">
        <v>221330353</v>
      </c>
      <c r="I298">
        <v>-373761046</v>
      </c>
      <c r="J298">
        <v>40483745</v>
      </c>
      <c r="K298">
        <v>420389422</v>
      </c>
      <c r="L298">
        <v>140568185</v>
      </c>
      <c r="M298">
        <v>578830015</v>
      </c>
      <c r="N298">
        <v>-246488991</v>
      </c>
      <c r="O298">
        <v>166576072</v>
      </c>
      <c r="P298">
        <v>356</v>
      </c>
      <c r="Q298" t="s">
        <v>721</v>
      </c>
    </row>
    <row r="299" spans="1:17" x14ac:dyDescent="0.3">
      <c r="A299" t="s">
        <v>17</v>
      </c>
      <c r="B299" t="str">
        <f>"603939"</f>
        <v>603939</v>
      </c>
      <c r="C299" t="s">
        <v>722</v>
      </c>
      <c r="D299" t="s">
        <v>710</v>
      </c>
      <c r="E299">
        <v>648087580</v>
      </c>
      <c r="F299">
        <v>595356468</v>
      </c>
      <c r="G299">
        <v>294789255</v>
      </c>
      <c r="H299">
        <v>199154652</v>
      </c>
      <c r="I299">
        <v>106328164</v>
      </c>
      <c r="J299">
        <v>78352080</v>
      </c>
      <c r="K299">
        <v>56914526</v>
      </c>
      <c r="L299">
        <v>78088445</v>
      </c>
      <c r="M299">
        <v>55593053</v>
      </c>
      <c r="P299">
        <v>1482</v>
      </c>
      <c r="Q299" t="s">
        <v>723</v>
      </c>
    </row>
    <row r="300" spans="1:17" x14ac:dyDescent="0.3">
      <c r="A300" t="s">
        <v>17</v>
      </c>
      <c r="B300" t="str">
        <f>"601179"</f>
        <v>601179</v>
      </c>
      <c r="C300" t="s">
        <v>724</v>
      </c>
      <c r="D300" t="s">
        <v>298</v>
      </c>
      <c r="E300">
        <v>635748856</v>
      </c>
      <c r="F300">
        <v>-498215696</v>
      </c>
      <c r="G300">
        <v>596304792</v>
      </c>
      <c r="H300">
        <v>-1923453164</v>
      </c>
      <c r="I300">
        <v>-1744775114</v>
      </c>
      <c r="J300">
        <v>-758024151</v>
      </c>
      <c r="K300">
        <v>-1761998314</v>
      </c>
      <c r="L300">
        <v>532334359</v>
      </c>
      <c r="M300">
        <v>-1191060438</v>
      </c>
      <c r="N300">
        <v>-664790396</v>
      </c>
      <c r="O300">
        <v>-726189206</v>
      </c>
      <c r="P300">
        <v>329</v>
      </c>
      <c r="Q300" t="s">
        <v>725</v>
      </c>
    </row>
    <row r="301" spans="1:17" x14ac:dyDescent="0.3">
      <c r="A301" t="s">
        <v>33</v>
      </c>
      <c r="B301" t="str">
        <f>"000937"</f>
        <v>000937</v>
      </c>
      <c r="C301" t="s">
        <v>726</v>
      </c>
      <c r="D301" t="s">
        <v>265</v>
      </c>
      <c r="E301">
        <v>631880143</v>
      </c>
      <c r="F301">
        <v>820191808</v>
      </c>
      <c r="G301">
        <v>608085867</v>
      </c>
      <c r="H301">
        <v>363647646</v>
      </c>
      <c r="I301">
        <v>268589347</v>
      </c>
      <c r="J301">
        <v>-309742301</v>
      </c>
      <c r="K301">
        <v>-247617352</v>
      </c>
      <c r="L301">
        <v>-372950754</v>
      </c>
      <c r="M301">
        <v>-119813239</v>
      </c>
      <c r="N301">
        <v>632786016</v>
      </c>
      <c r="O301">
        <v>725213759</v>
      </c>
      <c r="P301">
        <v>350</v>
      </c>
      <c r="Q301" t="s">
        <v>727</v>
      </c>
    </row>
    <row r="302" spans="1:17" x14ac:dyDescent="0.3">
      <c r="A302" t="s">
        <v>17</v>
      </c>
      <c r="B302" t="str">
        <f>"600596"</f>
        <v>600596</v>
      </c>
      <c r="C302" t="s">
        <v>728</v>
      </c>
      <c r="D302" t="s">
        <v>729</v>
      </c>
      <c r="E302">
        <v>625918888</v>
      </c>
      <c r="F302">
        <v>74725820</v>
      </c>
      <c r="G302">
        <v>-35511604</v>
      </c>
      <c r="H302">
        <v>-59134828</v>
      </c>
      <c r="I302">
        <v>-135040670</v>
      </c>
      <c r="J302">
        <v>-10594520</v>
      </c>
      <c r="K302">
        <v>-33879033</v>
      </c>
      <c r="L302">
        <v>-18469472</v>
      </c>
      <c r="M302">
        <v>-87876308</v>
      </c>
      <c r="N302">
        <v>148951377</v>
      </c>
      <c r="O302">
        <v>-94811613</v>
      </c>
      <c r="P302">
        <v>481</v>
      </c>
      <c r="Q302" t="s">
        <v>730</v>
      </c>
    </row>
    <row r="303" spans="1:17" x14ac:dyDescent="0.3">
      <c r="A303" t="s">
        <v>33</v>
      </c>
      <c r="B303" t="str">
        <f>"002408"</f>
        <v>002408</v>
      </c>
      <c r="C303" t="s">
        <v>731</v>
      </c>
      <c r="D303" t="s">
        <v>732</v>
      </c>
      <c r="E303">
        <v>619525160</v>
      </c>
      <c r="F303">
        <v>697199037</v>
      </c>
      <c r="G303">
        <v>446011424</v>
      </c>
      <c r="H303">
        <v>77656638</v>
      </c>
      <c r="I303">
        <v>281670581</v>
      </c>
      <c r="J303">
        <v>62421983</v>
      </c>
      <c r="K303">
        <v>60788734</v>
      </c>
      <c r="L303">
        <v>142060030</v>
      </c>
      <c r="M303">
        <v>-168966347</v>
      </c>
      <c r="N303">
        <v>94393285</v>
      </c>
      <c r="O303">
        <v>-50151369</v>
      </c>
      <c r="P303">
        <v>317</v>
      </c>
      <c r="Q303" t="s">
        <v>733</v>
      </c>
    </row>
    <row r="304" spans="1:17" x14ac:dyDescent="0.3">
      <c r="A304" t="s">
        <v>33</v>
      </c>
      <c r="B304" t="str">
        <f>"002440"</f>
        <v>002440</v>
      </c>
      <c r="C304" t="s">
        <v>734</v>
      </c>
      <c r="D304" t="s">
        <v>735</v>
      </c>
      <c r="E304">
        <v>619290949</v>
      </c>
      <c r="F304">
        <v>57752462</v>
      </c>
      <c r="G304">
        <v>520197092</v>
      </c>
      <c r="H304">
        <v>365384006</v>
      </c>
      <c r="I304">
        <v>129744259</v>
      </c>
      <c r="J304">
        <v>7910442</v>
      </c>
      <c r="K304">
        <v>141157010</v>
      </c>
      <c r="L304">
        <v>14331942</v>
      </c>
      <c r="M304">
        <v>-43601057</v>
      </c>
      <c r="N304">
        <v>47111506</v>
      </c>
      <c r="O304">
        <v>75006029</v>
      </c>
      <c r="P304">
        <v>537</v>
      </c>
      <c r="Q304" t="s">
        <v>736</v>
      </c>
    </row>
    <row r="305" spans="1:17" x14ac:dyDescent="0.3">
      <c r="A305" t="s">
        <v>17</v>
      </c>
      <c r="B305" t="str">
        <f>"601000"</f>
        <v>601000</v>
      </c>
      <c r="C305" t="s">
        <v>737</v>
      </c>
      <c r="D305" t="s">
        <v>289</v>
      </c>
      <c r="E305">
        <v>613385672</v>
      </c>
      <c r="F305">
        <v>447058294</v>
      </c>
      <c r="G305">
        <v>293033792</v>
      </c>
      <c r="H305">
        <v>72842235</v>
      </c>
      <c r="I305">
        <v>264327045</v>
      </c>
      <c r="J305">
        <v>397546336</v>
      </c>
      <c r="K305">
        <v>171141463</v>
      </c>
      <c r="L305">
        <v>265622252</v>
      </c>
      <c r="M305">
        <v>100942252</v>
      </c>
      <c r="N305">
        <v>119832681</v>
      </c>
      <c r="O305">
        <v>196658038</v>
      </c>
      <c r="P305">
        <v>892</v>
      </c>
      <c r="Q305" t="s">
        <v>738</v>
      </c>
    </row>
    <row r="306" spans="1:17" x14ac:dyDescent="0.3">
      <c r="A306" t="s">
        <v>33</v>
      </c>
      <c r="B306" t="str">
        <f>"002726"</f>
        <v>002726</v>
      </c>
      <c r="C306" t="s">
        <v>739</v>
      </c>
      <c r="D306" t="s">
        <v>740</v>
      </c>
      <c r="E306">
        <v>612923239</v>
      </c>
      <c r="F306">
        <v>342669654</v>
      </c>
      <c r="G306">
        <v>-274317549</v>
      </c>
      <c r="H306">
        <v>-420524903</v>
      </c>
      <c r="I306">
        <v>60880722</v>
      </c>
      <c r="J306">
        <v>139607251</v>
      </c>
      <c r="K306">
        <v>151722764</v>
      </c>
      <c r="L306">
        <v>21470435</v>
      </c>
      <c r="M306">
        <v>4598762</v>
      </c>
      <c r="P306">
        <v>1021</v>
      </c>
      <c r="Q306" t="s">
        <v>741</v>
      </c>
    </row>
    <row r="307" spans="1:17" x14ac:dyDescent="0.3">
      <c r="A307" t="s">
        <v>17</v>
      </c>
      <c r="B307" t="str">
        <f>"603369"</f>
        <v>603369</v>
      </c>
      <c r="C307" t="s">
        <v>742</v>
      </c>
      <c r="D307" t="s">
        <v>229</v>
      </c>
      <c r="E307">
        <v>612291503</v>
      </c>
      <c r="F307">
        <v>532901256</v>
      </c>
      <c r="G307">
        <v>-236420441</v>
      </c>
      <c r="H307">
        <v>-54314832</v>
      </c>
      <c r="I307">
        <v>149019037</v>
      </c>
      <c r="J307">
        <v>194126276</v>
      </c>
      <c r="K307">
        <v>261349953</v>
      </c>
      <c r="L307">
        <v>223707400</v>
      </c>
      <c r="M307">
        <v>5171700</v>
      </c>
      <c r="N307">
        <v>41029300</v>
      </c>
      <c r="P307">
        <v>35436</v>
      </c>
      <c r="Q307" t="s">
        <v>743</v>
      </c>
    </row>
    <row r="308" spans="1:17" x14ac:dyDescent="0.3">
      <c r="A308" t="s">
        <v>17</v>
      </c>
      <c r="B308" t="str">
        <f>"600548"</f>
        <v>600548</v>
      </c>
      <c r="C308" t="s">
        <v>744</v>
      </c>
      <c r="D308" t="s">
        <v>458</v>
      </c>
      <c r="E308">
        <v>611009879</v>
      </c>
      <c r="F308">
        <v>677216593</v>
      </c>
      <c r="G308">
        <v>-436646603</v>
      </c>
      <c r="H308">
        <v>561270459</v>
      </c>
      <c r="I308">
        <v>956242511</v>
      </c>
      <c r="J308">
        <v>582743235</v>
      </c>
      <c r="K308">
        <v>417435067</v>
      </c>
      <c r="L308">
        <v>-29143446</v>
      </c>
      <c r="M308">
        <v>440531380</v>
      </c>
      <c r="N308">
        <v>420908513</v>
      </c>
      <c r="O308">
        <v>490277495</v>
      </c>
      <c r="P308">
        <v>794</v>
      </c>
      <c r="Q308" t="s">
        <v>745</v>
      </c>
    </row>
    <row r="309" spans="1:17" x14ac:dyDescent="0.3">
      <c r="A309" t="s">
        <v>33</v>
      </c>
      <c r="B309" t="str">
        <f>"002916"</f>
        <v>002916</v>
      </c>
      <c r="C309" t="s">
        <v>746</v>
      </c>
      <c r="D309" t="s">
        <v>239</v>
      </c>
      <c r="E309">
        <v>610048807</v>
      </c>
      <c r="F309">
        <v>419592819</v>
      </c>
      <c r="G309">
        <v>363828127</v>
      </c>
      <c r="H309">
        <v>61157303</v>
      </c>
      <c r="I309">
        <v>-46347240</v>
      </c>
      <c r="J309">
        <v>-18646360</v>
      </c>
      <c r="P309">
        <v>2552</v>
      </c>
      <c r="Q309" t="s">
        <v>747</v>
      </c>
    </row>
    <row r="310" spans="1:17" x14ac:dyDescent="0.3">
      <c r="A310" t="s">
        <v>17</v>
      </c>
      <c r="B310" t="str">
        <f>"603077"</f>
        <v>603077</v>
      </c>
      <c r="C310" t="s">
        <v>748</v>
      </c>
      <c r="D310" t="s">
        <v>672</v>
      </c>
      <c r="E310">
        <v>608684675</v>
      </c>
      <c r="F310">
        <v>357348689</v>
      </c>
      <c r="G310">
        <v>-131673636</v>
      </c>
      <c r="H310">
        <v>19851364</v>
      </c>
      <c r="I310">
        <v>9922141</v>
      </c>
      <c r="J310">
        <v>-191009398</v>
      </c>
      <c r="K310">
        <v>114027289</v>
      </c>
      <c r="L310">
        <v>15433755</v>
      </c>
      <c r="M310">
        <v>228641414</v>
      </c>
      <c r="N310">
        <v>-57341999</v>
      </c>
      <c r="O310">
        <v>11086502</v>
      </c>
      <c r="P310">
        <v>265</v>
      </c>
      <c r="Q310" t="s">
        <v>749</v>
      </c>
    </row>
    <row r="311" spans="1:17" x14ac:dyDescent="0.3">
      <c r="A311" t="s">
        <v>33</v>
      </c>
      <c r="B311" t="str">
        <f>"002555"</f>
        <v>002555</v>
      </c>
      <c r="C311" t="s">
        <v>750</v>
      </c>
      <c r="D311" t="s">
        <v>751</v>
      </c>
      <c r="E311">
        <v>606067578</v>
      </c>
      <c r="F311">
        <v>672915265</v>
      </c>
      <c r="G311">
        <v>1753949281</v>
      </c>
      <c r="H311">
        <v>158030787</v>
      </c>
      <c r="I311">
        <v>562120649</v>
      </c>
      <c r="J311">
        <v>638703410</v>
      </c>
      <c r="K311">
        <v>85838273</v>
      </c>
      <c r="L311">
        <v>156449440</v>
      </c>
      <c r="M311">
        <v>16302612</v>
      </c>
      <c r="N311">
        <v>17340133</v>
      </c>
      <c r="O311">
        <v>-13010203</v>
      </c>
      <c r="P311">
        <v>2918</v>
      </c>
      <c r="Q311" t="s">
        <v>752</v>
      </c>
    </row>
    <row r="312" spans="1:17" x14ac:dyDescent="0.3">
      <c r="A312" t="s">
        <v>17</v>
      </c>
      <c r="B312" t="str">
        <f>"601326"</f>
        <v>601326</v>
      </c>
      <c r="C312" t="s">
        <v>753</v>
      </c>
      <c r="D312" t="s">
        <v>289</v>
      </c>
      <c r="E312">
        <v>604743449</v>
      </c>
      <c r="F312">
        <v>634473708</v>
      </c>
      <c r="G312">
        <v>586706546</v>
      </c>
      <c r="H312">
        <v>629625325</v>
      </c>
      <c r="I312">
        <v>896357868</v>
      </c>
      <c r="J312">
        <v>707977986</v>
      </c>
      <c r="P312">
        <v>127</v>
      </c>
      <c r="Q312" t="s">
        <v>754</v>
      </c>
    </row>
    <row r="313" spans="1:17" x14ac:dyDescent="0.3">
      <c r="A313" t="s">
        <v>33</v>
      </c>
      <c r="B313" t="str">
        <f>"000661"</f>
        <v>000661</v>
      </c>
      <c r="C313" t="s">
        <v>755</v>
      </c>
      <c r="D313" t="s">
        <v>756</v>
      </c>
      <c r="E313">
        <v>603486977</v>
      </c>
      <c r="F313">
        <v>615587394</v>
      </c>
      <c r="G313">
        <v>337347764</v>
      </c>
      <c r="H313">
        <v>618405536</v>
      </c>
      <c r="I313">
        <v>-207305319</v>
      </c>
      <c r="J313">
        <v>-579855</v>
      </c>
      <c r="K313">
        <v>-88078735</v>
      </c>
      <c r="L313">
        <v>55725539</v>
      </c>
      <c r="M313">
        <v>68756325</v>
      </c>
      <c r="N313">
        <v>14792249</v>
      </c>
      <c r="O313">
        <v>55435038</v>
      </c>
      <c r="P313">
        <v>59935</v>
      </c>
      <c r="Q313" t="s">
        <v>757</v>
      </c>
    </row>
    <row r="314" spans="1:17" x14ac:dyDescent="0.3">
      <c r="A314" t="s">
        <v>17</v>
      </c>
      <c r="B314" t="str">
        <f>"600007"</f>
        <v>600007</v>
      </c>
      <c r="C314" t="s">
        <v>758</v>
      </c>
      <c r="D314" t="s">
        <v>317</v>
      </c>
      <c r="E314">
        <v>601883412</v>
      </c>
      <c r="F314">
        <v>481413997</v>
      </c>
      <c r="G314">
        <v>357345265</v>
      </c>
      <c r="H314">
        <v>436352962</v>
      </c>
      <c r="I314">
        <v>399220260</v>
      </c>
      <c r="J314">
        <v>387670234</v>
      </c>
      <c r="K314">
        <v>289812296</v>
      </c>
      <c r="L314">
        <v>274508833</v>
      </c>
      <c r="M314">
        <v>275003099</v>
      </c>
      <c r="N314">
        <v>260452392</v>
      </c>
      <c r="O314">
        <v>222195766</v>
      </c>
      <c r="P314">
        <v>328</v>
      </c>
      <c r="Q314" t="s">
        <v>759</v>
      </c>
    </row>
    <row r="315" spans="1:17" x14ac:dyDescent="0.3">
      <c r="A315" t="s">
        <v>33</v>
      </c>
      <c r="B315" t="str">
        <f>"002607"</f>
        <v>002607</v>
      </c>
      <c r="C315" t="s">
        <v>760</v>
      </c>
      <c r="D315" t="s">
        <v>761</v>
      </c>
      <c r="E315">
        <v>598889062</v>
      </c>
      <c r="F315">
        <v>-246724874</v>
      </c>
      <c r="G315">
        <v>2564218313</v>
      </c>
      <c r="H315">
        <v>2422743974</v>
      </c>
      <c r="I315">
        <v>-393610536</v>
      </c>
      <c r="J315">
        <v>-308123921</v>
      </c>
      <c r="K315">
        <v>-39770200</v>
      </c>
      <c r="L315">
        <v>24960994</v>
      </c>
      <c r="M315">
        <v>-178851831</v>
      </c>
      <c r="N315">
        <v>22248306</v>
      </c>
      <c r="O315">
        <v>-166590922</v>
      </c>
      <c r="P315">
        <v>1791</v>
      </c>
      <c r="Q315" t="s">
        <v>762</v>
      </c>
    </row>
    <row r="316" spans="1:17" x14ac:dyDescent="0.3">
      <c r="A316" t="s">
        <v>17</v>
      </c>
      <c r="B316" t="str">
        <f>"600742"</f>
        <v>600742</v>
      </c>
      <c r="C316" t="s">
        <v>763</v>
      </c>
      <c r="D316" t="s">
        <v>200</v>
      </c>
      <c r="E316">
        <v>598610417</v>
      </c>
      <c r="F316">
        <v>1173338710</v>
      </c>
      <c r="G316">
        <v>1147328349</v>
      </c>
      <c r="H316">
        <v>115234313</v>
      </c>
      <c r="I316">
        <v>250151560</v>
      </c>
      <c r="J316">
        <v>-122762127</v>
      </c>
      <c r="K316">
        <v>105547421</v>
      </c>
      <c r="L316">
        <v>120085930</v>
      </c>
      <c r="M316">
        <v>49990707</v>
      </c>
      <c r="N316">
        <v>118021379</v>
      </c>
      <c r="O316">
        <v>63397591</v>
      </c>
      <c r="P316">
        <v>417</v>
      </c>
      <c r="Q316" t="s">
        <v>764</v>
      </c>
    </row>
    <row r="317" spans="1:17" x14ac:dyDescent="0.3">
      <c r="A317" t="s">
        <v>17</v>
      </c>
      <c r="B317" t="str">
        <f>"601016"</f>
        <v>601016</v>
      </c>
      <c r="C317" t="s">
        <v>765</v>
      </c>
      <c r="D317" t="s">
        <v>367</v>
      </c>
      <c r="E317">
        <v>594895860</v>
      </c>
      <c r="F317">
        <v>511389246</v>
      </c>
      <c r="G317">
        <v>304625933</v>
      </c>
      <c r="H317">
        <v>226577134</v>
      </c>
      <c r="I317">
        <v>232126185</v>
      </c>
      <c r="J317">
        <v>209644006</v>
      </c>
      <c r="K317">
        <v>268594268</v>
      </c>
      <c r="L317">
        <v>333899388</v>
      </c>
      <c r="M317">
        <v>139282320</v>
      </c>
      <c r="P317">
        <v>542</v>
      </c>
      <c r="Q317" t="s">
        <v>766</v>
      </c>
    </row>
    <row r="318" spans="1:17" x14ac:dyDescent="0.3">
      <c r="A318" t="s">
        <v>17</v>
      </c>
      <c r="B318" t="str">
        <f>"600251"</f>
        <v>600251</v>
      </c>
      <c r="C318" t="s">
        <v>767</v>
      </c>
      <c r="D318" t="s">
        <v>768</v>
      </c>
      <c r="E318">
        <v>594470808</v>
      </c>
      <c r="F318">
        <v>1134114140</v>
      </c>
      <c r="G318">
        <v>-6249728</v>
      </c>
      <c r="H318">
        <v>525431273</v>
      </c>
      <c r="I318">
        <v>497101189</v>
      </c>
      <c r="J318">
        <v>143828870</v>
      </c>
      <c r="K318">
        <v>63358671</v>
      </c>
      <c r="L318">
        <v>-41364806</v>
      </c>
      <c r="M318">
        <v>197949440</v>
      </c>
      <c r="N318">
        <v>50383223</v>
      </c>
      <c r="O318">
        <v>86750163</v>
      </c>
      <c r="P318">
        <v>148</v>
      </c>
      <c r="Q318" t="s">
        <v>769</v>
      </c>
    </row>
    <row r="319" spans="1:17" x14ac:dyDescent="0.3">
      <c r="A319" t="s">
        <v>17</v>
      </c>
      <c r="B319" t="str">
        <f>"600017"</f>
        <v>600017</v>
      </c>
      <c r="C319" t="s">
        <v>770</v>
      </c>
      <c r="D319" t="s">
        <v>289</v>
      </c>
      <c r="E319">
        <v>591816443</v>
      </c>
      <c r="F319">
        <v>440388899</v>
      </c>
      <c r="G319">
        <v>178204115</v>
      </c>
      <c r="H319">
        <v>248290135</v>
      </c>
      <c r="I319">
        <v>267619632</v>
      </c>
      <c r="J319">
        <v>248054094</v>
      </c>
      <c r="K319">
        <v>75421369</v>
      </c>
      <c r="L319">
        <v>250933661</v>
      </c>
      <c r="M319">
        <v>106903956</v>
      </c>
      <c r="N319">
        <v>154608774</v>
      </c>
      <c r="O319">
        <v>146868391</v>
      </c>
      <c r="P319">
        <v>180</v>
      </c>
      <c r="Q319" t="s">
        <v>771</v>
      </c>
    </row>
    <row r="320" spans="1:17" x14ac:dyDescent="0.3">
      <c r="A320" t="s">
        <v>33</v>
      </c>
      <c r="B320" t="str">
        <f>"000157"</f>
        <v>000157</v>
      </c>
      <c r="C320" t="s">
        <v>772</v>
      </c>
      <c r="D320" t="s">
        <v>320</v>
      </c>
      <c r="E320">
        <v>589988022</v>
      </c>
      <c r="F320">
        <v>2660341322</v>
      </c>
      <c r="G320">
        <v>319110827</v>
      </c>
      <c r="H320">
        <v>1867280129</v>
      </c>
      <c r="I320">
        <v>453706177</v>
      </c>
      <c r="J320">
        <v>100127257</v>
      </c>
      <c r="K320">
        <v>-1229944612</v>
      </c>
      <c r="L320">
        <v>-3725364322</v>
      </c>
      <c r="M320">
        <v>-4915032882</v>
      </c>
      <c r="N320">
        <v>-2873313092</v>
      </c>
      <c r="O320">
        <v>-1442435467</v>
      </c>
      <c r="P320">
        <v>1683</v>
      </c>
      <c r="Q320" t="s">
        <v>773</v>
      </c>
    </row>
    <row r="321" spans="1:17" x14ac:dyDescent="0.3">
      <c r="A321" t="s">
        <v>17</v>
      </c>
      <c r="B321" t="str">
        <f>"600673"</f>
        <v>600673</v>
      </c>
      <c r="C321" t="s">
        <v>774</v>
      </c>
      <c r="D321" t="s">
        <v>590</v>
      </c>
      <c r="E321">
        <v>585849560</v>
      </c>
      <c r="F321">
        <v>415119490</v>
      </c>
      <c r="G321">
        <v>2286388739</v>
      </c>
      <c r="H321">
        <v>798104657</v>
      </c>
      <c r="I321">
        <v>198577009</v>
      </c>
      <c r="J321">
        <v>176491454</v>
      </c>
      <c r="K321">
        <v>81883144</v>
      </c>
      <c r="L321">
        <v>77244683</v>
      </c>
      <c r="M321">
        <v>86304960</v>
      </c>
      <c r="N321">
        <v>280128455</v>
      </c>
      <c r="O321">
        <v>396878187</v>
      </c>
      <c r="P321">
        <v>274</v>
      </c>
      <c r="Q321" t="s">
        <v>775</v>
      </c>
    </row>
    <row r="322" spans="1:17" x14ac:dyDescent="0.3">
      <c r="A322" t="s">
        <v>33</v>
      </c>
      <c r="B322" t="str">
        <f>"000975"</f>
        <v>000975</v>
      </c>
      <c r="C322" t="s">
        <v>776</v>
      </c>
      <c r="D322" t="s">
        <v>777</v>
      </c>
      <c r="E322">
        <v>584878274</v>
      </c>
      <c r="F322">
        <v>609743798</v>
      </c>
      <c r="G322">
        <v>971043991</v>
      </c>
      <c r="H322">
        <v>206720398</v>
      </c>
      <c r="I322">
        <v>109345503</v>
      </c>
      <c r="J322">
        <v>-134724619</v>
      </c>
      <c r="K322">
        <v>234672029</v>
      </c>
      <c r="L322">
        <v>19206728</v>
      </c>
      <c r="M322">
        <v>-105552270</v>
      </c>
      <c r="N322">
        <v>-150496939</v>
      </c>
      <c r="O322">
        <v>5212314</v>
      </c>
      <c r="P322">
        <v>391</v>
      </c>
      <c r="Q322" t="s">
        <v>778</v>
      </c>
    </row>
    <row r="323" spans="1:17" x14ac:dyDescent="0.3">
      <c r="A323" t="s">
        <v>17</v>
      </c>
      <c r="B323" t="str">
        <f>"600559"</f>
        <v>600559</v>
      </c>
      <c r="C323" t="s">
        <v>779</v>
      </c>
      <c r="D323" t="s">
        <v>229</v>
      </c>
      <c r="E323">
        <v>584042735</v>
      </c>
      <c r="F323">
        <v>310568105</v>
      </c>
      <c r="G323">
        <v>-309535197</v>
      </c>
      <c r="H323">
        <v>-58157224</v>
      </c>
      <c r="I323">
        <v>87393620</v>
      </c>
      <c r="J323">
        <v>-97050769</v>
      </c>
      <c r="K323">
        <v>-223141455</v>
      </c>
      <c r="L323">
        <v>140301488</v>
      </c>
      <c r="M323">
        <v>208202842</v>
      </c>
      <c r="N323">
        <v>21780189</v>
      </c>
      <c r="O323">
        <v>-64683153</v>
      </c>
      <c r="P323">
        <v>881</v>
      </c>
      <c r="Q323" t="s">
        <v>780</v>
      </c>
    </row>
    <row r="324" spans="1:17" x14ac:dyDescent="0.3">
      <c r="A324" t="s">
        <v>17</v>
      </c>
      <c r="B324" t="str">
        <f>"603299"</f>
        <v>603299</v>
      </c>
      <c r="C324" t="s">
        <v>781</v>
      </c>
      <c r="D324" t="s">
        <v>511</v>
      </c>
      <c r="E324">
        <v>583607374</v>
      </c>
      <c r="F324">
        <v>-36837645</v>
      </c>
      <c r="G324">
        <v>199505991</v>
      </c>
      <c r="H324">
        <v>147371010</v>
      </c>
      <c r="I324">
        <v>72248554</v>
      </c>
      <c r="J324">
        <v>42273356</v>
      </c>
      <c r="K324">
        <v>65687488</v>
      </c>
      <c r="L324">
        <v>13524058</v>
      </c>
      <c r="P324">
        <v>139</v>
      </c>
      <c r="Q324" t="s">
        <v>782</v>
      </c>
    </row>
    <row r="325" spans="1:17" x14ac:dyDescent="0.3">
      <c r="A325" t="s">
        <v>33</v>
      </c>
      <c r="B325" t="str">
        <f>"002539"</f>
        <v>002539</v>
      </c>
      <c r="C325" t="s">
        <v>783</v>
      </c>
      <c r="D325" t="s">
        <v>610</v>
      </c>
      <c r="E325">
        <v>582908835</v>
      </c>
      <c r="F325">
        <v>-189178106</v>
      </c>
      <c r="G325">
        <v>141326138</v>
      </c>
      <c r="H325">
        <v>419125719</v>
      </c>
      <c r="I325">
        <v>-75714665</v>
      </c>
      <c r="J325">
        <v>159406789</v>
      </c>
      <c r="K325">
        <v>17873669</v>
      </c>
      <c r="L325">
        <v>63693709</v>
      </c>
      <c r="M325">
        <v>-186726614</v>
      </c>
      <c r="N325">
        <v>78855079</v>
      </c>
      <c r="O325">
        <v>103038026</v>
      </c>
      <c r="P325">
        <v>240</v>
      </c>
      <c r="Q325" t="s">
        <v>784</v>
      </c>
    </row>
    <row r="326" spans="1:17" x14ac:dyDescent="0.3">
      <c r="A326" t="s">
        <v>17</v>
      </c>
      <c r="B326" t="str">
        <f>"600773"</f>
        <v>600773</v>
      </c>
      <c r="C326" t="s">
        <v>785</v>
      </c>
      <c r="D326" t="s">
        <v>167</v>
      </c>
      <c r="E326">
        <v>582034798</v>
      </c>
      <c r="F326">
        <v>-344934189</v>
      </c>
      <c r="G326">
        <v>-462150024</v>
      </c>
      <c r="H326">
        <v>-476266046</v>
      </c>
      <c r="I326">
        <v>-384728616</v>
      </c>
      <c r="J326">
        <v>-127294349</v>
      </c>
      <c r="K326">
        <v>-158088072</v>
      </c>
      <c r="L326">
        <v>400695058</v>
      </c>
      <c r="M326">
        <v>507942908</v>
      </c>
      <c r="N326">
        <v>-1194843446</v>
      </c>
      <c r="O326">
        <v>-371447895</v>
      </c>
      <c r="P326">
        <v>143</v>
      </c>
      <c r="Q326" t="s">
        <v>786</v>
      </c>
    </row>
    <row r="327" spans="1:17" x14ac:dyDescent="0.3">
      <c r="A327" t="s">
        <v>33</v>
      </c>
      <c r="B327" t="str">
        <f>"300735"</f>
        <v>300735</v>
      </c>
      <c r="C327" t="s">
        <v>787</v>
      </c>
      <c r="D327" t="s">
        <v>226</v>
      </c>
      <c r="E327">
        <v>581618321</v>
      </c>
      <c r="F327">
        <v>-94180036</v>
      </c>
      <c r="G327">
        <v>102311540</v>
      </c>
      <c r="H327">
        <v>154151768</v>
      </c>
      <c r="I327">
        <v>-9955989</v>
      </c>
      <c r="J327">
        <v>69813741</v>
      </c>
      <c r="P327">
        <v>453</v>
      </c>
      <c r="Q327" t="s">
        <v>788</v>
      </c>
    </row>
    <row r="328" spans="1:17" x14ac:dyDescent="0.3">
      <c r="A328" t="s">
        <v>17</v>
      </c>
      <c r="B328" t="str">
        <f>"603260"</f>
        <v>603260</v>
      </c>
      <c r="C328" t="s">
        <v>789</v>
      </c>
      <c r="D328" t="s">
        <v>790</v>
      </c>
      <c r="E328">
        <v>575979625</v>
      </c>
      <c r="F328">
        <v>301642930</v>
      </c>
      <c r="G328">
        <v>220196942</v>
      </c>
      <c r="H328">
        <v>205749954</v>
      </c>
      <c r="I328">
        <v>-154785523</v>
      </c>
      <c r="J328">
        <v>324133741</v>
      </c>
      <c r="P328">
        <v>700</v>
      </c>
      <c r="Q328" t="s">
        <v>791</v>
      </c>
    </row>
    <row r="329" spans="1:17" x14ac:dyDescent="0.3">
      <c r="A329" t="s">
        <v>17</v>
      </c>
      <c r="B329" t="str">
        <f>"688180"</f>
        <v>688180</v>
      </c>
      <c r="C329" t="s">
        <v>792</v>
      </c>
      <c r="D329" t="s">
        <v>756</v>
      </c>
      <c r="E329">
        <v>570432127</v>
      </c>
      <c r="F329">
        <v>399613642</v>
      </c>
      <c r="G329">
        <v>-353500138</v>
      </c>
      <c r="H329">
        <v>-487506016</v>
      </c>
      <c r="P329">
        <v>206</v>
      </c>
      <c r="Q329" t="s">
        <v>793</v>
      </c>
    </row>
    <row r="330" spans="1:17" x14ac:dyDescent="0.3">
      <c r="A330" t="s">
        <v>33</v>
      </c>
      <c r="B330" t="str">
        <f>"002709"</f>
        <v>002709</v>
      </c>
      <c r="C330" t="s">
        <v>794</v>
      </c>
      <c r="D330" t="s">
        <v>795</v>
      </c>
      <c r="E330">
        <v>567330812</v>
      </c>
      <c r="F330">
        <v>215406892</v>
      </c>
      <c r="G330">
        <v>93446753</v>
      </c>
      <c r="H330">
        <v>81060494</v>
      </c>
      <c r="I330">
        <v>-138480141</v>
      </c>
      <c r="J330">
        <v>-38298873</v>
      </c>
      <c r="K330">
        <v>-6321191</v>
      </c>
      <c r="L330">
        <v>8583598</v>
      </c>
      <c r="M330">
        <v>10192709</v>
      </c>
      <c r="N330">
        <v>-8353567</v>
      </c>
      <c r="P330">
        <v>1069</v>
      </c>
      <c r="Q330" t="s">
        <v>796</v>
      </c>
    </row>
    <row r="331" spans="1:17" x14ac:dyDescent="0.3">
      <c r="A331" t="s">
        <v>33</v>
      </c>
      <c r="B331" t="str">
        <f>"000425"</f>
        <v>000425</v>
      </c>
      <c r="C331" t="s">
        <v>797</v>
      </c>
      <c r="D331" t="s">
        <v>320</v>
      </c>
      <c r="E331">
        <v>562712546</v>
      </c>
      <c r="F331">
        <v>1945674698</v>
      </c>
      <c r="G331">
        <v>121379145</v>
      </c>
      <c r="H331">
        <v>106618861</v>
      </c>
      <c r="I331">
        <v>722237646</v>
      </c>
      <c r="J331">
        <v>691633740</v>
      </c>
      <c r="K331">
        <v>281058507</v>
      </c>
      <c r="L331">
        <v>-1282894106</v>
      </c>
      <c r="M331">
        <v>187567907</v>
      </c>
      <c r="N331">
        <v>-1501058782</v>
      </c>
      <c r="O331">
        <v>-1441705074</v>
      </c>
      <c r="P331">
        <v>961</v>
      </c>
      <c r="Q331" t="s">
        <v>798</v>
      </c>
    </row>
    <row r="332" spans="1:17" x14ac:dyDescent="0.3">
      <c r="A332" t="s">
        <v>17</v>
      </c>
      <c r="B332" t="str">
        <f>"601865"</f>
        <v>601865</v>
      </c>
      <c r="C332" t="s">
        <v>799</v>
      </c>
      <c r="D332" t="s">
        <v>800</v>
      </c>
      <c r="E332">
        <v>561180640</v>
      </c>
      <c r="F332">
        <v>138911954</v>
      </c>
      <c r="G332">
        <v>99771858</v>
      </c>
      <c r="H332">
        <v>206219332</v>
      </c>
      <c r="I332">
        <v>126449552</v>
      </c>
      <c r="P332">
        <v>925</v>
      </c>
      <c r="Q332" t="s">
        <v>801</v>
      </c>
    </row>
    <row r="333" spans="1:17" x14ac:dyDescent="0.3">
      <c r="A333" t="s">
        <v>17</v>
      </c>
      <c r="B333" t="str">
        <f>"688575"</f>
        <v>688575</v>
      </c>
      <c r="C333" t="s">
        <v>802</v>
      </c>
      <c r="D333" t="s">
        <v>221</v>
      </c>
      <c r="E333">
        <v>558644893</v>
      </c>
      <c r="F333">
        <v>5189649</v>
      </c>
      <c r="G333">
        <v>18912853</v>
      </c>
      <c r="P333">
        <v>46</v>
      </c>
      <c r="Q333" t="s">
        <v>803</v>
      </c>
    </row>
    <row r="334" spans="1:17" x14ac:dyDescent="0.3">
      <c r="A334" t="s">
        <v>17</v>
      </c>
      <c r="B334" t="str">
        <f>"688289"</f>
        <v>688289</v>
      </c>
      <c r="C334" t="s">
        <v>804</v>
      </c>
      <c r="D334" t="s">
        <v>221</v>
      </c>
      <c r="E334">
        <v>551234148</v>
      </c>
      <c r="F334">
        <v>307312502</v>
      </c>
      <c r="G334">
        <v>148703712</v>
      </c>
      <c r="H334">
        <v>-32236567</v>
      </c>
      <c r="P334">
        <v>209</v>
      </c>
      <c r="Q334" t="s">
        <v>805</v>
      </c>
    </row>
    <row r="335" spans="1:17" x14ac:dyDescent="0.3">
      <c r="A335" t="s">
        <v>33</v>
      </c>
      <c r="B335" t="str">
        <f>"300803"</f>
        <v>300803</v>
      </c>
      <c r="C335" t="s">
        <v>806</v>
      </c>
      <c r="D335" t="s">
        <v>807</v>
      </c>
      <c r="E335">
        <v>550058215</v>
      </c>
      <c r="F335">
        <v>227765141</v>
      </c>
      <c r="G335">
        <v>48503923</v>
      </c>
      <c r="H335">
        <v>-133354871</v>
      </c>
      <c r="P335">
        <v>194</v>
      </c>
      <c r="Q335" t="s">
        <v>808</v>
      </c>
    </row>
    <row r="336" spans="1:17" x14ac:dyDescent="0.3">
      <c r="A336" t="s">
        <v>17</v>
      </c>
      <c r="B336" t="str">
        <f>"600315"</f>
        <v>600315</v>
      </c>
      <c r="C336" t="s">
        <v>809</v>
      </c>
      <c r="D336" t="s">
        <v>810</v>
      </c>
      <c r="E336">
        <v>549512999</v>
      </c>
      <c r="F336">
        <v>495766578</v>
      </c>
      <c r="G336">
        <v>340375611</v>
      </c>
      <c r="H336">
        <v>267211098</v>
      </c>
      <c r="I336">
        <v>271745917</v>
      </c>
      <c r="J336">
        <v>222272532</v>
      </c>
      <c r="K336">
        <v>97918241</v>
      </c>
      <c r="L336">
        <v>108285893</v>
      </c>
      <c r="M336">
        <v>373923160</v>
      </c>
      <c r="N336">
        <v>268908285</v>
      </c>
      <c r="O336">
        <v>204922008</v>
      </c>
      <c r="P336">
        <v>1243</v>
      </c>
      <c r="Q336" t="s">
        <v>811</v>
      </c>
    </row>
    <row r="337" spans="1:17" x14ac:dyDescent="0.3">
      <c r="A337" t="s">
        <v>33</v>
      </c>
      <c r="B337" t="str">
        <f>"002603"</f>
        <v>002603</v>
      </c>
      <c r="C337" t="s">
        <v>812</v>
      </c>
      <c r="D337" t="s">
        <v>533</v>
      </c>
      <c r="E337">
        <v>545481951</v>
      </c>
      <c r="F337">
        <v>-66485244</v>
      </c>
      <c r="G337">
        <v>1340834402</v>
      </c>
      <c r="H337">
        <v>366645258</v>
      </c>
      <c r="I337">
        <v>-154350992</v>
      </c>
      <c r="J337">
        <v>-105499199</v>
      </c>
      <c r="K337">
        <v>28559671</v>
      </c>
      <c r="L337">
        <v>-20904229</v>
      </c>
      <c r="M337">
        <v>29091047</v>
      </c>
      <c r="N337">
        <v>119121027</v>
      </c>
      <c r="O337">
        <v>-85614628</v>
      </c>
      <c r="P337">
        <v>833</v>
      </c>
      <c r="Q337" t="s">
        <v>813</v>
      </c>
    </row>
    <row r="338" spans="1:17" x14ac:dyDescent="0.3">
      <c r="A338" t="s">
        <v>33</v>
      </c>
      <c r="B338" t="str">
        <f>"002468"</f>
        <v>002468</v>
      </c>
      <c r="C338" t="s">
        <v>814</v>
      </c>
      <c r="D338" t="s">
        <v>183</v>
      </c>
      <c r="E338">
        <v>545269874</v>
      </c>
      <c r="F338">
        <v>-582181796</v>
      </c>
      <c r="G338">
        <v>-684510866</v>
      </c>
      <c r="H338">
        <v>-170703968</v>
      </c>
      <c r="I338">
        <v>-374430714</v>
      </c>
      <c r="J338">
        <v>48074919</v>
      </c>
      <c r="K338">
        <v>78474528</v>
      </c>
      <c r="L338">
        <v>60158213</v>
      </c>
      <c r="M338">
        <v>-5357219</v>
      </c>
      <c r="N338">
        <v>-27667363</v>
      </c>
      <c r="O338">
        <v>-13678474</v>
      </c>
      <c r="P338">
        <v>638</v>
      </c>
      <c r="Q338" t="s">
        <v>815</v>
      </c>
    </row>
    <row r="339" spans="1:17" x14ac:dyDescent="0.3">
      <c r="A339" t="s">
        <v>33</v>
      </c>
      <c r="B339" t="str">
        <f>"002601"</f>
        <v>002601</v>
      </c>
      <c r="C339" t="s">
        <v>816</v>
      </c>
      <c r="D339" t="s">
        <v>817</v>
      </c>
      <c r="E339">
        <v>537491223</v>
      </c>
      <c r="F339">
        <v>881539588</v>
      </c>
      <c r="G339">
        <v>647750632</v>
      </c>
      <c r="H339">
        <v>575570682</v>
      </c>
      <c r="I339">
        <v>-564304986</v>
      </c>
      <c r="J339">
        <v>57219612</v>
      </c>
      <c r="K339">
        <v>-89380042</v>
      </c>
      <c r="L339">
        <v>-234946476</v>
      </c>
      <c r="M339">
        <v>23472714</v>
      </c>
      <c r="N339">
        <v>-159129408</v>
      </c>
      <c r="O339">
        <v>131262748</v>
      </c>
      <c r="P339">
        <v>1262</v>
      </c>
      <c r="Q339" t="s">
        <v>818</v>
      </c>
    </row>
    <row r="340" spans="1:17" x14ac:dyDescent="0.3">
      <c r="A340" t="s">
        <v>17</v>
      </c>
      <c r="B340" t="str">
        <f>"600012"</f>
        <v>600012</v>
      </c>
      <c r="C340" t="s">
        <v>819</v>
      </c>
      <c r="D340" t="s">
        <v>458</v>
      </c>
      <c r="E340">
        <v>532774017</v>
      </c>
      <c r="F340">
        <v>513206270</v>
      </c>
      <c r="G340">
        <v>152060872</v>
      </c>
      <c r="H340">
        <v>496154226</v>
      </c>
      <c r="I340">
        <v>501582497</v>
      </c>
      <c r="J340">
        <v>480197931</v>
      </c>
      <c r="K340">
        <v>454962558</v>
      </c>
      <c r="L340">
        <v>426580463</v>
      </c>
      <c r="M340">
        <v>405235127</v>
      </c>
      <c r="N340">
        <v>297545411</v>
      </c>
      <c r="O340">
        <v>414624499</v>
      </c>
      <c r="P340">
        <v>805</v>
      </c>
      <c r="Q340" t="s">
        <v>820</v>
      </c>
    </row>
    <row r="341" spans="1:17" x14ac:dyDescent="0.3">
      <c r="A341" t="s">
        <v>17</v>
      </c>
      <c r="B341" t="str">
        <f>"600063"</f>
        <v>600063</v>
      </c>
      <c r="C341" t="s">
        <v>821</v>
      </c>
      <c r="D341" t="s">
        <v>822</v>
      </c>
      <c r="E341">
        <v>531977720</v>
      </c>
      <c r="F341">
        <v>47258436</v>
      </c>
      <c r="G341">
        <v>271657718</v>
      </c>
      <c r="H341">
        <v>202685659</v>
      </c>
      <c r="I341">
        <v>68884638</v>
      </c>
      <c r="J341">
        <v>53274867</v>
      </c>
      <c r="K341">
        <v>64811490</v>
      </c>
      <c r="L341">
        <v>61412125</v>
      </c>
      <c r="M341">
        <v>48692719</v>
      </c>
      <c r="N341">
        <v>-48529863</v>
      </c>
      <c r="O341">
        <v>33700977</v>
      </c>
      <c r="P341">
        <v>224</v>
      </c>
      <c r="Q341" t="s">
        <v>823</v>
      </c>
    </row>
    <row r="342" spans="1:17" x14ac:dyDescent="0.3">
      <c r="A342" t="s">
        <v>17</v>
      </c>
      <c r="B342" t="str">
        <f>"603198"</f>
        <v>603198</v>
      </c>
      <c r="C342" t="s">
        <v>824</v>
      </c>
      <c r="D342" t="s">
        <v>229</v>
      </c>
      <c r="E342">
        <v>531578640</v>
      </c>
      <c r="F342">
        <v>145863020</v>
      </c>
      <c r="G342">
        <v>-382879757</v>
      </c>
      <c r="H342">
        <v>-166899444</v>
      </c>
      <c r="I342">
        <v>1670201</v>
      </c>
      <c r="J342">
        <v>-10365581</v>
      </c>
      <c r="K342">
        <v>101838395</v>
      </c>
      <c r="L342">
        <v>33813200</v>
      </c>
      <c r="M342">
        <v>-43090900</v>
      </c>
      <c r="P342">
        <v>5968</v>
      </c>
      <c r="Q342" t="s">
        <v>825</v>
      </c>
    </row>
    <row r="343" spans="1:17" x14ac:dyDescent="0.3">
      <c r="A343" t="s">
        <v>17</v>
      </c>
      <c r="B343" t="str">
        <f>"600248"</f>
        <v>600248</v>
      </c>
      <c r="C343" t="s">
        <v>826</v>
      </c>
      <c r="D343" t="s">
        <v>827</v>
      </c>
      <c r="E343">
        <v>516053010</v>
      </c>
      <c r="F343">
        <v>-197687363</v>
      </c>
      <c r="G343">
        <v>-264282505</v>
      </c>
      <c r="H343">
        <v>-93714439</v>
      </c>
      <c r="I343">
        <v>-144690400</v>
      </c>
      <c r="J343">
        <v>-75700602</v>
      </c>
      <c r="K343">
        <v>215555986</v>
      </c>
      <c r="L343">
        <v>-228136305</v>
      </c>
      <c r="M343">
        <v>69541169</v>
      </c>
      <c r="N343">
        <v>2013900</v>
      </c>
      <c r="O343">
        <v>7854091</v>
      </c>
      <c r="P343">
        <v>143</v>
      </c>
      <c r="Q343" t="s">
        <v>828</v>
      </c>
    </row>
    <row r="344" spans="1:17" x14ac:dyDescent="0.3">
      <c r="A344" t="s">
        <v>17</v>
      </c>
      <c r="B344" t="str">
        <f>"603026"</f>
        <v>603026</v>
      </c>
      <c r="C344" t="s">
        <v>829</v>
      </c>
      <c r="D344" t="s">
        <v>795</v>
      </c>
      <c r="E344">
        <v>512736663</v>
      </c>
      <c r="F344">
        <v>193142103</v>
      </c>
      <c r="G344">
        <v>110868401</v>
      </c>
      <c r="H344">
        <v>64215392</v>
      </c>
      <c r="I344">
        <v>133744725</v>
      </c>
      <c r="J344">
        <v>-8382472</v>
      </c>
      <c r="K344">
        <v>144736305</v>
      </c>
      <c r="L344">
        <v>160992921</v>
      </c>
      <c r="P344">
        <v>420</v>
      </c>
      <c r="Q344" t="s">
        <v>830</v>
      </c>
    </row>
    <row r="345" spans="1:17" x14ac:dyDescent="0.3">
      <c r="A345" t="s">
        <v>17</v>
      </c>
      <c r="B345" t="str">
        <f>"600635"</f>
        <v>600635</v>
      </c>
      <c r="C345" t="s">
        <v>831</v>
      </c>
      <c r="D345" t="s">
        <v>649</v>
      </c>
      <c r="E345">
        <v>510913115</v>
      </c>
      <c r="F345">
        <v>75776271</v>
      </c>
      <c r="G345">
        <v>-78745043</v>
      </c>
      <c r="H345">
        <v>495336110</v>
      </c>
      <c r="I345">
        <v>156560528</v>
      </c>
      <c r="J345">
        <v>212421995</v>
      </c>
      <c r="K345">
        <v>95469888</v>
      </c>
      <c r="L345">
        <v>63306288</v>
      </c>
      <c r="M345">
        <v>278632105</v>
      </c>
      <c r="N345">
        <v>21415890</v>
      </c>
      <c r="O345">
        <v>-87038895</v>
      </c>
      <c r="P345">
        <v>180</v>
      </c>
      <c r="Q345" t="s">
        <v>832</v>
      </c>
    </row>
    <row r="346" spans="1:17" x14ac:dyDescent="0.3">
      <c r="A346" t="s">
        <v>33</v>
      </c>
      <c r="B346" t="str">
        <f>"300037"</f>
        <v>300037</v>
      </c>
      <c r="C346" t="s">
        <v>833</v>
      </c>
      <c r="D346" t="s">
        <v>795</v>
      </c>
      <c r="E346">
        <v>509815460</v>
      </c>
      <c r="F346">
        <v>-60486190</v>
      </c>
      <c r="G346">
        <v>71289996</v>
      </c>
      <c r="H346">
        <v>151193893</v>
      </c>
      <c r="I346">
        <v>39476879</v>
      </c>
      <c r="J346">
        <v>-26530059</v>
      </c>
      <c r="K346">
        <v>16149665</v>
      </c>
      <c r="L346">
        <v>28955485</v>
      </c>
      <c r="M346">
        <v>52299218</v>
      </c>
      <c r="N346">
        <v>6763549</v>
      </c>
      <c r="O346">
        <v>32489061</v>
      </c>
      <c r="P346">
        <v>830</v>
      </c>
      <c r="Q346" t="s">
        <v>834</v>
      </c>
    </row>
    <row r="347" spans="1:17" x14ac:dyDescent="0.3">
      <c r="A347" t="s">
        <v>17</v>
      </c>
      <c r="B347" t="str">
        <f>"600720"</f>
        <v>600720</v>
      </c>
      <c r="C347" t="s">
        <v>835</v>
      </c>
      <c r="D347" t="s">
        <v>260</v>
      </c>
      <c r="E347">
        <v>508128018</v>
      </c>
      <c r="F347">
        <v>241324231</v>
      </c>
      <c r="G347">
        <v>178019574</v>
      </c>
      <c r="H347">
        <v>135722516</v>
      </c>
      <c r="I347">
        <v>66954037</v>
      </c>
      <c r="J347">
        <v>167524552</v>
      </c>
      <c r="K347">
        <v>87793255</v>
      </c>
      <c r="L347">
        <v>67189004</v>
      </c>
      <c r="M347">
        <v>84976630</v>
      </c>
      <c r="N347">
        <v>21640477</v>
      </c>
      <c r="O347">
        <v>115358924</v>
      </c>
      <c r="P347">
        <v>864</v>
      </c>
      <c r="Q347" t="s">
        <v>836</v>
      </c>
    </row>
    <row r="348" spans="1:17" x14ac:dyDescent="0.3">
      <c r="A348" t="s">
        <v>33</v>
      </c>
      <c r="B348" t="str">
        <f>"000902"</f>
        <v>000902</v>
      </c>
      <c r="C348" t="s">
        <v>837</v>
      </c>
      <c r="D348" t="s">
        <v>610</v>
      </c>
      <c r="E348">
        <v>506869336</v>
      </c>
      <c r="F348">
        <v>6181656</v>
      </c>
      <c r="G348">
        <v>726523143</v>
      </c>
      <c r="H348">
        <v>252805666</v>
      </c>
      <c r="I348">
        <v>-270533709</v>
      </c>
      <c r="J348">
        <v>-149898476</v>
      </c>
      <c r="K348">
        <v>-69365015</v>
      </c>
      <c r="L348">
        <v>-78003072</v>
      </c>
      <c r="M348">
        <v>-133347293</v>
      </c>
      <c r="N348">
        <v>68100915</v>
      </c>
      <c r="O348">
        <v>-20170682</v>
      </c>
      <c r="P348">
        <v>406</v>
      </c>
      <c r="Q348" t="s">
        <v>838</v>
      </c>
    </row>
    <row r="349" spans="1:17" x14ac:dyDescent="0.3">
      <c r="A349" t="s">
        <v>17</v>
      </c>
      <c r="B349" t="str">
        <f>"600436"</f>
        <v>600436</v>
      </c>
      <c r="C349" t="s">
        <v>839</v>
      </c>
      <c r="D349" t="s">
        <v>533</v>
      </c>
      <c r="E349">
        <v>506073692</v>
      </c>
      <c r="F349">
        <v>679248837</v>
      </c>
      <c r="G349">
        <v>303830750</v>
      </c>
      <c r="H349">
        <v>499529736</v>
      </c>
      <c r="I349">
        <v>241767161</v>
      </c>
      <c r="J349">
        <v>277268352</v>
      </c>
      <c r="K349">
        <v>122882360</v>
      </c>
      <c r="L349">
        <v>86741933</v>
      </c>
      <c r="M349">
        <v>53603425</v>
      </c>
      <c r="N349">
        <v>38545290</v>
      </c>
      <c r="O349">
        <v>49647721</v>
      </c>
      <c r="P349">
        <v>64361</v>
      </c>
      <c r="Q349" t="s">
        <v>840</v>
      </c>
    </row>
    <row r="350" spans="1:17" x14ac:dyDescent="0.3">
      <c r="A350" t="s">
        <v>33</v>
      </c>
      <c r="B350" t="str">
        <f>"002470"</f>
        <v>002470</v>
      </c>
      <c r="C350" t="s">
        <v>841</v>
      </c>
      <c r="D350" t="s">
        <v>610</v>
      </c>
      <c r="E350">
        <v>500347297</v>
      </c>
      <c r="F350">
        <v>298632863</v>
      </c>
      <c r="G350">
        <v>-796543266</v>
      </c>
      <c r="H350">
        <v>-1385871960</v>
      </c>
      <c r="I350">
        <v>-694383256</v>
      </c>
      <c r="J350">
        <v>241512522</v>
      </c>
      <c r="K350">
        <v>-92099755</v>
      </c>
      <c r="L350">
        <v>439997790</v>
      </c>
      <c r="M350">
        <v>-194632672</v>
      </c>
      <c r="N350">
        <v>306553682</v>
      </c>
      <c r="O350">
        <v>194965147</v>
      </c>
      <c r="P350">
        <v>4918</v>
      </c>
      <c r="Q350" t="s">
        <v>842</v>
      </c>
    </row>
    <row r="351" spans="1:17" x14ac:dyDescent="0.3">
      <c r="A351" t="s">
        <v>17</v>
      </c>
      <c r="B351" t="str">
        <f>"601008"</f>
        <v>601008</v>
      </c>
      <c r="C351" t="s">
        <v>843</v>
      </c>
      <c r="D351" t="s">
        <v>289</v>
      </c>
      <c r="E351">
        <v>497694945</v>
      </c>
      <c r="F351">
        <v>-287657491</v>
      </c>
      <c r="G351">
        <v>158684756</v>
      </c>
      <c r="H351">
        <v>-185134800</v>
      </c>
      <c r="I351">
        <v>-12431752</v>
      </c>
      <c r="J351">
        <v>-36071286</v>
      </c>
      <c r="K351">
        <v>-34143891</v>
      </c>
      <c r="L351">
        <v>-39872930</v>
      </c>
      <c r="M351">
        <v>15432499</v>
      </c>
      <c r="N351">
        <v>-7525582</v>
      </c>
      <c r="O351">
        <v>26884916</v>
      </c>
      <c r="P351">
        <v>131</v>
      </c>
      <c r="Q351" t="s">
        <v>844</v>
      </c>
    </row>
    <row r="352" spans="1:17" x14ac:dyDescent="0.3">
      <c r="A352" t="s">
        <v>17</v>
      </c>
      <c r="B352" t="str">
        <f>"603259"</f>
        <v>603259</v>
      </c>
      <c r="C352" t="s">
        <v>845</v>
      </c>
      <c r="D352" t="s">
        <v>846</v>
      </c>
      <c r="E352">
        <v>497469054</v>
      </c>
      <c r="F352">
        <v>668780227</v>
      </c>
      <c r="G352">
        <v>1097244434</v>
      </c>
      <c r="H352">
        <v>190076618</v>
      </c>
      <c r="I352">
        <v>-31691939</v>
      </c>
      <c r="J352">
        <v>108133270</v>
      </c>
      <c r="P352">
        <v>3986</v>
      </c>
      <c r="Q352" t="s">
        <v>847</v>
      </c>
    </row>
    <row r="353" spans="1:17" x14ac:dyDescent="0.3">
      <c r="A353" t="s">
        <v>33</v>
      </c>
      <c r="B353" t="str">
        <f>"002242"</f>
        <v>002242</v>
      </c>
      <c r="C353" t="s">
        <v>848</v>
      </c>
      <c r="D353" t="s">
        <v>849</v>
      </c>
      <c r="E353">
        <v>495669740</v>
      </c>
      <c r="F353">
        <v>-179932954</v>
      </c>
      <c r="G353">
        <v>143106493</v>
      </c>
      <c r="H353">
        <v>177432841</v>
      </c>
      <c r="I353">
        <v>126015946</v>
      </c>
      <c r="J353">
        <v>-104764499</v>
      </c>
      <c r="K353">
        <v>8117766</v>
      </c>
      <c r="L353">
        <v>64968852</v>
      </c>
      <c r="M353">
        <v>44173476</v>
      </c>
      <c r="N353">
        <v>123397117</v>
      </c>
      <c r="O353">
        <v>90777528</v>
      </c>
      <c r="P353">
        <v>54902</v>
      </c>
      <c r="Q353" t="s">
        <v>850</v>
      </c>
    </row>
    <row r="354" spans="1:17" x14ac:dyDescent="0.3">
      <c r="A354" t="s">
        <v>33</v>
      </c>
      <c r="B354" t="str">
        <f>"000301"</f>
        <v>000301</v>
      </c>
      <c r="C354" t="s">
        <v>851</v>
      </c>
      <c r="D354" t="s">
        <v>46</v>
      </c>
      <c r="E354">
        <v>493775577</v>
      </c>
      <c r="F354">
        <v>486652870</v>
      </c>
      <c r="G354">
        <v>-767573864</v>
      </c>
      <c r="H354">
        <v>895722219</v>
      </c>
      <c r="I354">
        <v>11667915</v>
      </c>
      <c r="J354">
        <v>206837769</v>
      </c>
      <c r="K354">
        <v>-72147133</v>
      </c>
      <c r="L354">
        <v>22061392</v>
      </c>
      <c r="M354">
        <v>4904663</v>
      </c>
      <c r="N354">
        <v>12990943</v>
      </c>
      <c r="O354">
        <v>56495679</v>
      </c>
      <c r="P354">
        <v>397</v>
      </c>
      <c r="Q354" t="s">
        <v>852</v>
      </c>
    </row>
    <row r="355" spans="1:17" x14ac:dyDescent="0.3">
      <c r="A355" t="s">
        <v>17</v>
      </c>
      <c r="B355" t="str">
        <f>"688399"</f>
        <v>688399</v>
      </c>
      <c r="C355" t="s">
        <v>853</v>
      </c>
      <c r="D355" t="s">
        <v>221</v>
      </c>
      <c r="E355">
        <v>490379976</v>
      </c>
      <c r="F355">
        <v>24149787</v>
      </c>
      <c r="G355">
        <v>85282506</v>
      </c>
      <c r="H355">
        <v>-1540235</v>
      </c>
      <c r="P355">
        <v>373</v>
      </c>
      <c r="Q355" t="s">
        <v>854</v>
      </c>
    </row>
    <row r="356" spans="1:17" x14ac:dyDescent="0.3">
      <c r="A356" t="s">
        <v>33</v>
      </c>
      <c r="B356" t="str">
        <f>"300088"</f>
        <v>300088</v>
      </c>
      <c r="C356" t="s">
        <v>855</v>
      </c>
      <c r="D356" t="s">
        <v>102</v>
      </c>
      <c r="E356">
        <v>489199079</v>
      </c>
      <c r="F356">
        <v>169396150</v>
      </c>
      <c r="G356">
        <v>286727023</v>
      </c>
      <c r="H356">
        <v>333113719</v>
      </c>
      <c r="I356">
        <v>261920623</v>
      </c>
      <c r="J356">
        <v>199029351</v>
      </c>
      <c r="K356">
        <v>44549884</v>
      </c>
      <c r="L356">
        <v>64110164</v>
      </c>
      <c r="M356">
        <v>-17677367</v>
      </c>
      <c r="N356">
        <v>65053922</v>
      </c>
      <c r="O356">
        <v>22175811</v>
      </c>
      <c r="P356">
        <v>950</v>
      </c>
      <c r="Q356" t="s">
        <v>856</v>
      </c>
    </row>
    <row r="357" spans="1:17" x14ac:dyDescent="0.3">
      <c r="A357" t="s">
        <v>17</v>
      </c>
      <c r="B357" t="str">
        <f>"603013"</f>
        <v>603013</v>
      </c>
      <c r="C357" t="s">
        <v>857</v>
      </c>
      <c r="D357" t="s">
        <v>858</v>
      </c>
      <c r="E357">
        <v>480312362</v>
      </c>
      <c r="F357">
        <v>352185860</v>
      </c>
      <c r="G357">
        <v>487536191</v>
      </c>
      <c r="H357">
        <v>108436327</v>
      </c>
      <c r="I357">
        <v>150418814</v>
      </c>
      <c r="P357">
        <v>236</v>
      </c>
      <c r="Q357" t="s">
        <v>859</v>
      </c>
    </row>
    <row r="358" spans="1:17" x14ac:dyDescent="0.3">
      <c r="A358" t="s">
        <v>17</v>
      </c>
      <c r="B358" t="str">
        <f>"600810"</f>
        <v>600810</v>
      </c>
      <c r="C358" t="s">
        <v>860</v>
      </c>
      <c r="D358" t="s">
        <v>861</v>
      </c>
      <c r="E358">
        <v>479233767</v>
      </c>
      <c r="F358">
        <v>268377203</v>
      </c>
      <c r="G358">
        <v>-466969544</v>
      </c>
      <c r="H358">
        <v>862876279</v>
      </c>
      <c r="I358">
        <v>615808156</v>
      </c>
      <c r="J358">
        <v>278269352</v>
      </c>
      <c r="K358">
        <v>90934073</v>
      </c>
      <c r="L358">
        <v>299377633</v>
      </c>
      <c r="M358">
        <v>127468726</v>
      </c>
      <c r="N358">
        <v>496302975</v>
      </c>
      <c r="O358">
        <v>194762812</v>
      </c>
      <c r="P358">
        <v>354</v>
      </c>
      <c r="Q358" t="s">
        <v>862</v>
      </c>
    </row>
    <row r="359" spans="1:17" x14ac:dyDescent="0.3">
      <c r="A359" t="s">
        <v>17</v>
      </c>
      <c r="B359" t="str">
        <f>"600642"</f>
        <v>600642</v>
      </c>
      <c r="C359" t="s">
        <v>863</v>
      </c>
      <c r="D359" t="s">
        <v>145</v>
      </c>
      <c r="E359">
        <v>478026485</v>
      </c>
      <c r="F359">
        <v>1545362885</v>
      </c>
      <c r="G359">
        <v>1382837374</v>
      </c>
      <c r="H359">
        <v>1795301232</v>
      </c>
      <c r="I359">
        <v>656721035</v>
      </c>
      <c r="J359">
        <v>935075804</v>
      </c>
      <c r="K359">
        <v>925023775</v>
      </c>
      <c r="L359">
        <v>1603464683</v>
      </c>
      <c r="M359">
        <v>1875187037</v>
      </c>
      <c r="N359">
        <v>1309610448</v>
      </c>
      <c r="O359">
        <v>1666682817</v>
      </c>
      <c r="P359">
        <v>459</v>
      </c>
      <c r="Q359" t="s">
        <v>864</v>
      </c>
    </row>
    <row r="360" spans="1:17" x14ac:dyDescent="0.3">
      <c r="A360" t="s">
        <v>33</v>
      </c>
      <c r="B360" t="str">
        <f>"001203"</f>
        <v>001203</v>
      </c>
      <c r="C360" t="s">
        <v>865</v>
      </c>
      <c r="D360" t="s">
        <v>866</v>
      </c>
      <c r="E360">
        <v>475721387</v>
      </c>
      <c r="F360">
        <v>329072339</v>
      </c>
      <c r="G360">
        <v>125404535</v>
      </c>
      <c r="P360">
        <v>80</v>
      </c>
      <c r="Q360" t="s">
        <v>867</v>
      </c>
    </row>
    <row r="361" spans="1:17" x14ac:dyDescent="0.3">
      <c r="A361" t="s">
        <v>33</v>
      </c>
      <c r="B361" t="str">
        <f>"300408"</f>
        <v>300408</v>
      </c>
      <c r="C361" t="s">
        <v>868</v>
      </c>
      <c r="D361" t="s">
        <v>869</v>
      </c>
      <c r="E361">
        <v>472823285</v>
      </c>
      <c r="F361">
        <v>395160614</v>
      </c>
      <c r="G361">
        <v>252968133</v>
      </c>
      <c r="H361">
        <v>707412732</v>
      </c>
      <c r="I361">
        <v>275033872</v>
      </c>
      <c r="J361">
        <v>432705262</v>
      </c>
      <c r="K361">
        <v>366532644</v>
      </c>
      <c r="L361">
        <v>69570235</v>
      </c>
      <c r="M361">
        <v>195940041</v>
      </c>
      <c r="P361">
        <v>1510</v>
      </c>
      <c r="Q361" t="s">
        <v>870</v>
      </c>
    </row>
    <row r="362" spans="1:17" x14ac:dyDescent="0.3">
      <c r="A362" t="s">
        <v>33</v>
      </c>
      <c r="B362" t="str">
        <f>"000717"</f>
        <v>000717</v>
      </c>
      <c r="C362" t="s">
        <v>871</v>
      </c>
      <c r="D362" t="s">
        <v>872</v>
      </c>
      <c r="E362">
        <v>469653056</v>
      </c>
      <c r="F362">
        <v>1699699465</v>
      </c>
      <c r="G362">
        <v>-37206693</v>
      </c>
      <c r="H362">
        <v>482535285</v>
      </c>
      <c r="I362">
        <v>-99180809</v>
      </c>
      <c r="J362">
        <v>-642037422</v>
      </c>
      <c r="K362">
        <v>-548881177</v>
      </c>
      <c r="L362">
        <v>-596505805</v>
      </c>
      <c r="M362">
        <v>-748927590</v>
      </c>
      <c r="N362">
        <v>919717093</v>
      </c>
      <c r="O362">
        <v>-84773078</v>
      </c>
      <c r="P362">
        <v>681</v>
      </c>
      <c r="Q362" t="s">
        <v>873</v>
      </c>
    </row>
    <row r="363" spans="1:17" x14ac:dyDescent="0.3">
      <c r="A363" t="s">
        <v>17</v>
      </c>
      <c r="B363" t="str">
        <f>"601388"</f>
        <v>601388</v>
      </c>
      <c r="C363" t="s">
        <v>874</v>
      </c>
      <c r="D363" t="s">
        <v>140</v>
      </c>
      <c r="E363">
        <v>466787300</v>
      </c>
      <c r="F363">
        <v>-29424921</v>
      </c>
      <c r="G363">
        <v>128422054</v>
      </c>
      <c r="H363">
        <v>119110608</v>
      </c>
      <c r="I363">
        <v>-161482991</v>
      </c>
      <c r="J363">
        <v>56818675</v>
      </c>
      <c r="K363">
        <v>122170637</v>
      </c>
      <c r="L363">
        <v>220379767</v>
      </c>
      <c r="M363">
        <v>208972366</v>
      </c>
      <c r="N363">
        <v>-128560109</v>
      </c>
      <c r="O363">
        <v>108711539</v>
      </c>
      <c r="P363">
        <v>206</v>
      </c>
      <c r="Q363" t="s">
        <v>875</v>
      </c>
    </row>
    <row r="364" spans="1:17" x14ac:dyDescent="0.3">
      <c r="A364" t="s">
        <v>33</v>
      </c>
      <c r="B364" t="str">
        <f>"002832"</f>
        <v>002832</v>
      </c>
      <c r="C364" t="s">
        <v>876</v>
      </c>
      <c r="D364" t="s">
        <v>581</v>
      </c>
      <c r="E364">
        <v>466607841</v>
      </c>
      <c r="F364">
        <v>366315800</v>
      </c>
      <c r="G364">
        <v>108701996</v>
      </c>
      <c r="H364">
        <v>123154727</v>
      </c>
      <c r="I364">
        <v>35423704</v>
      </c>
      <c r="J364">
        <v>127096121</v>
      </c>
      <c r="K364">
        <v>110461595</v>
      </c>
      <c r="P364">
        <v>636</v>
      </c>
      <c r="Q364" t="s">
        <v>877</v>
      </c>
    </row>
    <row r="365" spans="1:17" x14ac:dyDescent="0.3">
      <c r="A365" t="s">
        <v>33</v>
      </c>
      <c r="B365" t="str">
        <f>"002250"</f>
        <v>002250</v>
      </c>
      <c r="C365" t="s">
        <v>878</v>
      </c>
      <c r="D365" t="s">
        <v>636</v>
      </c>
      <c r="E365">
        <v>465654770</v>
      </c>
      <c r="F365">
        <v>187691574</v>
      </c>
      <c r="G365">
        <v>119247371</v>
      </c>
      <c r="H365">
        <v>164367065</v>
      </c>
      <c r="I365">
        <v>28427063</v>
      </c>
      <c r="J365">
        <v>99807076</v>
      </c>
      <c r="K365">
        <v>220352810</v>
      </c>
      <c r="L365">
        <v>142522375</v>
      </c>
      <c r="M365">
        <v>157133637</v>
      </c>
      <c r="N365">
        <v>149327597</v>
      </c>
      <c r="O365">
        <v>90778632</v>
      </c>
      <c r="P365">
        <v>348</v>
      </c>
      <c r="Q365" t="s">
        <v>879</v>
      </c>
    </row>
    <row r="366" spans="1:17" x14ac:dyDescent="0.3">
      <c r="A366" t="s">
        <v>33</v>
      </c>
      <c r="B366" t="str">
        <f>"002407"</f>
        <v>002407</v>
      </c>
      <c r="C366" t="s">
        <v>880</v>
      </c>
      <c r="D366" t="s">
        <v>881</v>
      </c>
      <c r="E366">
        <v>462927164</v>
      </c>
      <c r="F366">
        <v>83652333</v>
      </c>
      <c r="G366">
        <v>6646306</v>
      </c>
      <c r="H366">
        <v>-93926925</v>
      </c>
      <c r="I366">
        <v>-98395224</v>
      </c>
      <c r="J366">
        <v>-80097477</v>
      </c>
      <c r="K366">
        <v>-146951215</v>
      </c>
      <c r="L366">
        <v>45431584</v>
      </c>
      <c r="M366">
        <v>3653887</v>
      </c>
      <c r="N366">
        <v>-15697515</v>
      </c>
      <c r="O366">
        <v>23409349</v>
      </c>
      <c r="P366">
        <v>566</v>
      </c>
      <c r="Q366" t="s">
        <v>882</v>
      </c>
    </row>
    <row r="367" spans="1:17" x14ac:dyDescent="0.3">
      <c r="A367" t="s">
        <v>33</v>
      </c>
      <c r="B367" t="str">
        <f>"300409"</f>
        <v>300409</v>
      </c>
      <c r="C367" t="s">
        <v>883</v>
      </c>
      <c r="D367" t="s">
        <v>795</v>
      </c>
      <c r="E367">
        <v>462448708</v>
      </c>
      <c r="F367">
        <v>-83015620</v>
      </c>
      <c r="G367">
        <v>67526559</v>
      </c>
      <c r="H367">
        <v>104717262</v>
      </c>
      <c r="I367">
        <v>-168601095</v>
      </c>
      <c r="J367">
        <v>47290346</v>
      </c>
      <c r="K367">
        <v>-39703161</v>
      </c>
      <c r="L367">
        <v>-54371661</v>
      </c>
      <c r="M367">
        <v>-31742914</v>
      </c>
      <c r="P367">
        <v>240</v>
      </c>
      <c r="Q367" t="s">
        <v>884</v>
      </c>
    </row>
    <row r="368" spans="1:17" x14ac:dyDescent="0.3">
      <c r="A368" t="s">
        <v>17</v>
      </c>
      <c r="B368" t="str">
        <f>"603345"</f>
        <v>603345</v>
      </c>
      <c r="C368" t="s">
        <v>885</v>
      </c>
      <c r="D368" t="s">
        <v>886</v>
      </c>
      <c r="E368">
        <v>460864281</v>
      </c>
      <c r="F368">
        <v>87027859</v>
      </c>
      <c r="G368">
        <v>30772073</v>
      </c>
      <c r="H368">
        <v>70876381</v>
      </c>
      <c r="I368">
        <v>149923900</v>
      </c>
      <c r="J368">
        <v>17546885</v>
      </c>
      <c r="K368">
        <v>148373961</v>
      </c>
      <c r="P368">
        <v>1174</v>
      </c>
      <c r="Q368" t="s">
        <v>887</v>
      </c>
    </row>
    <row r="369" spans="1:17" x14ac:dyDescent="0.3">
      <c r="A369" t="s">
        <v>33</v>
      </c>
      <c r="B369" t="str">
        <f>"000999"</f>
        <v>000999</v>
      </c>
      <c r="C369" t="s">
        <v>888</v>
      </c>
      <c r="D369" t="s">
        <v>533</v>
      </c>
      <c r="E369">
        <v>459140530</v>
      </c>
      <c r="F369">
        <v>278730291</v>
      </c>
      <c r="G369">
        <v>644762088</v>
      </c>
      <c r="H369">
        <v>331499982</v>
      </c>
      <c r="I369">
        <v>233463249</v>
      </c>
      <c r="J369">
        <v>135026124</v>
      </c>
      <c r="K369">
        <v>180529177</v>
      </c>
      <c r="L369">
        <v>99065040</v>
      </c>
      <c r="M369">
        <v>81201488</v>
      </c>
      <c r="N369">
        <v>237360285</v>
      </c>
      <c r="O369">
        <v>56721260</v>
      </c>
      <c r="P369">
        <v>5773</v>
      </c>
      <c r="Q369" t="s">
        <v>889</v>
      </c>
    </row>
    <row r="370" spans="1:17" x14ac:dyDescent="0.3">
      <c r="A370" t="s">
        <v>33</v>
      </c>
      <c r="B370" t="str">
        <f>"000062"</f>
        <v>000062</v>
      </c>
      <c r="C370" t="s">
        <v>890</v>
      </c>
      <c r="D370" t="s">
        <v>499</v>
      </c>
      <c r="E370">
        <v>457806882</v>
      </c>
      <c r="F370">
        <v>-50577437</v>
      </c>
      <c r="G370">
        <v>336162610</v>
      </c>
      <c r="H370">
        <v>575049486</v>
      </c>
      <c r="I370">
        <v>327646514</v>
      </c>
      <c r="J370">
        <v>377984746</v>
      </c>
      <c r="K370">
        <v>11421692</v>
      </c>
      <c r="L370">
        <v>-80735817</v>
      </c>
      <c r="M370">
        <v>64078805</v>
      </c>
      <c r="N370">
        <v>94338064</v>
      </c>
      <c r="O370">
        <v>176630370</v>
      </c>
      <c r="P370">
        <v>300</v>
      </c>
      <c r="Q370" t="s">
        <v>891</v>
      </c>
    </row>
    <row r="371" spans="1:17" x14ac:dyDescent="0.3">
      <c r="A371" t="s">
        <v>17</v>
      </c>
      <c r="B371" t="str">
        <f>"600183"</f>
        <v>600183</v>
      </c>
      <c r="C371" t="s">
        <v>892</v>
      </c>
      <c r="D371" t="s">
        <v>239</v>
      </c>
      <c r="E371">
        <v>457259412</v>
      </c>
      <c r="F371">
        <v>750685261</v>
      </c>
      <c r="G371">
        <v>572569553</v>
      </c>
      <c r="H371">
        <v>478506905</v>
      </c>
      <c r="I371">
        <v>41369415</v>
      </c>
      <c r="J371">
        <v>90941866</v>
      </c>
      <c r="K371">
        <v>223136379</v>
      </c>
      <c r="L371">
        <v>145896408</v>
      </c>
      <c r="M371">
        <v>-81926650</v>
      </c>
      <c r="N371">
        <v>-46367780</v>
      </c>
      <c r="O371">
        <v>116811621</v>
      </c>
      <c r="P371">
        <v>2338</v>
      </c>
      <c r="Q371" t="s">
        <v>893</v>
      </c>
    </row>
    <row r="372" spans="1:17" x14ac:dyDescent="0.3">
      <c r="A372" t="s">
        <v>33</v>
      </c>
      <c r="B372" t="str">
        <f>"000629"</f>
        <v>000629</v>
      </c>
      <c r="C372" t="s">
        <v>894</v>
      </c>
      <c r="D372" t="s">
        <v>705</v>
      </c>
      <c r="E372">
        <v>454014854</v>
      </c>
      <c r="F372">
        <v>153325004</v>
      </c>
      <c r="G372">
        <v>-1900836</v>
      </c>
      <c r="H372">
        <v>541109020</v>
      </c>
      <c r="I372">
        <v>145776325</v>
      </c>
      <c r="J372">
        <v>-372882956</v>
      </c>
      <c r="K372">
        <v>491603822</v>
      </c>
      <c r="L372">
        <v>34432331</v>
      </c>
      <c r="M372">
        <v>221481543</v>
      </c>
      <c r="N372">
        <v>-1122031381</v>
      </c>
      <c r="O372">
        <v>-359198162</v>
      </c>
      <c r="P372">
        <v>335</v>
      </c>
      <c r="Q372" t="s">
        <v>895</v>
      </c>
    </row>
    <row r="373" spans="1:17" x14ac:dyDescent="0.3">
      <c r="A373" t="s">
        <v>17</v>
      </c>
      <c r="B373" t="str">
        <f>"603568"</f>
        <v>603568</v>
      </c>
      <c r="C373" t="s">
        <v>896</v>
      </c>
      <c r="D373" t="s">
        <v>897</v>
      </c>
      <c r="E373">
        <v>452857877</v>
      </c>
      <c r="F373">
        <v>172465145</v>
      </c>
      <c r="G373">
        <v>82745071</v>
      </c>
      <c r="H373">
        <v>-22580456</v>
      </c>
      <c r="I373">
        <v>39079272</v>
      </c>
      <c r="J373">
        <v>25165337</v>
      </c>
      <c r="K373">
        <v>22770602</v>
      </c>
      <c r="L373">
        <v>83540627</v>
      </c>
      <c r="P373">
        <v>16270</v>
      </c>
      <c r="Q373" t="s">
        <v>898</v>
      </c>
    </row>
    <row r="374" spans="1:17" x14ac:dyDescent="0.3">
      <c r="A374" t="s">
        <v>17</v>
      </c>
      <c r="B374" t="str">
        <f>"600691"</f>
        <v>600691</v>
      </c>
      <c r="C374" t="s">
        <v>899</v>
      </c>
      <c r="D374" t="s">
        <v>900</v>
      </c>
      <c r="E374">
        <v>449619815</v>
      </c>
      <c r="F374">
        <v>511281803</v>
      </c>
      <c r="G374">
        <v>-61293410</v>
      </c>
      <c r="H374">
        <v>257149646</v>
      </c>
      <c r="I374">
        <v>199421421</v>
      </c>
      <c r="J374">
        <v>195904761</v>
      </c>
      <c r="K374">
        <v>264063617</v>
      </c>
      <c r="L374">
        <v>306618875</v>
      </c>
      <c r="M374">
        <v>91582743</v>
      </c>
      <c r="N374">
        <v>247934632</v>
      </c>
      <c r="O374">
        <v>-2012849</v>
      </c>
      <c r="P374">
        <v>130</v>
      </c>
      <c r="Q374" t="s">
        <v>901</v>
      </c>
    </row>
    <row r="375" spans="1:17" x14ac:dyDescent="0.3">
      <c r="A375" t="s">
        <v>33</v>
      </c>
      <c r="B375" t="str">
        <f>"300003"</f>
        <v>300003</v>
      </c>
      <c r="C375" t="s">
        <v>902</v>
      </c>
      <c r="D375" t="s">
        <v>903</v>
      </c>
      <c r="E375">
        <v>448932891</v>
      </c>
      <c r="F375">
        <v>1299360017</v>
      </c>
      <c r="G375">
        <v>105363331</v>
      </c>
      <c r="H375">
        <v>256768200</v>
      </c>
      <c r="I375">
        <v>199777693</v>
      </c>
      <c r="J375">
        <v>158657933</v>
      </c>
      <c r="K375">
        <v>80505558</v>
      </c>
      <c r="L375">
        <v>8308631</v>
      </c>
      <c r="M375">
        <v>32872357</v>
      </c>
      <c r="N375">
        <v>32161130</v>
      </c>
      <c r="O375">
        <v>79659706</v>
      </c>
      <c r="P375">
        <v>3268</v>
      </c>
      <c r="Q375" t="s">
        <v>904</v>
      </c>
    </row>
    <row r="376" spans="1:17" x14ac:dyDescent="0.3">
      <c r="A376" t="s">
        <v>17</v>
      </c>
      <c r="B376" t="str">
        <f>"603392"</f>
        <v>603392</v>
      </c>
      <c r="C376" t="s">
        <v>905</v>
      </c>
      <c r="D376" t="s">
        <v>221</v>
      </c>
      <c r="E376">
        <v>448101537</v>
      </c>
      <c r="F376">
        <v>76771570</v>
      </c>
      <c r="G376">
        <v>-35205704</v>
      </c>
      <c r="H376">
        <v>-14467019</v>
      </c>
      <c r="P376">
        <v>552</v>
      </c>
      <c r="Q376" t="s">
        <v>906</v>
      </c>
    </row>
    <row r="377" spans="1:17" x14ac:dyDescent="0.3">
      <c r="A377" t="s">
        <v>33</v>
      </c>
      <c r="B377" t="str">
        <f>"000423"</f>
        <v>000423</v>
      </c>
      <c r="C377" t="s">
        <v>907</v>
      </c>
      <c r="D377" t="s">
        <v>533</v>
      </c>
      <c r="E377">
        <v>447359354</v>
      </c>
      <c r="F377">
        <v>1105787346</v>
      </c>
      <c r="G377">
        <v>216072250</v>
      </c>
      <c r="H377">
        <v>-632632219</v>
      </c>
      <c r="I377">
        <v>-387789861</v>
      </c>
      <c r="J377">
        <v>143772707</v>
      </c>
      <c r="K377">
        <v>-675206717</v>
      </c>
      <c r="L377">
        <v>-258158378</v>
      </c>
      <c r="M377">
        <v>-102368810</v>
      </c>
      <c r="N377">
        <v>-315392932</v>
      </c>
      <c r="O377">
        <v>-6043291</v>
      </c>
      <c r="P377">
        <v>24620</v>
      </c>
      <c r="Q377" t="s">
        <v>908</v>
      </c>
    </row>
    <row r="378" spans="1:17" x14ac:dyDescent="0.3">
      <c r="A378" t="s">
        <v>17</v>
      </c>
      <c r="B378" t="str">
        <f>"600395"</f>
        <v>600395</v>
      </c>
      <c r="C378" t="s">
        <v>909</v>
      </c>
      <c r="D378" t="s">
        <v>265</v>
      </c>
      <c r="E378">
        <v>446588188</v>
      </c>
      <c r="F378">
        <v>315870078</v>
      </c>
      <c r="G378">
        <v>96484322</v>
      </c>
      <c r="H378">
        <v>285276440</v>
      </c>
      <c r="I378">
        <v>287878000</v>
      </c>
      <c r="J378">
        <v>-92677300</v>
      </c>
      <c r="K378">
        <v>-63948500</v>
      </c>
      <c r="L378">
        <v>267592604</v>
      </c>
      <c r="M378">
        <v>163955366</v>
      </c>
      <c r="N378">
        <v>268132532</v>
      </c>
      <c r="O378">
        <v>278223066</v>
      </c>
      <c r="P378">
        <v>517</v>
      </c>
      <c r="Q378" t="s">
        <v>910</v>
      </c>
    </row>
    <row r="379" spans="1:17" x14ac:dyDescent="0.3">
      <c r="A379" t="s">
        <v>17</v>
      </c>
      <c r="B379" t="str">
        <f>"600282"</f>
        <v>600282</v>
      </c>
      <c r="C379" t="s">
        <v>911</v>
      </c>
      <c r="D379" t="s">
        <v>131</v>
      </c>
      <c r="E379">
        <v>446194039</v>
      </c>
      <c r="F379">
        <v>542468307</v>
      </c>
      <c r="G379">
        <v>116976781</v>
      </c>
      <c r="H379">
        <v>1624137221</v>
      </c>
      <c r="I379">
        <v>340994896</v>
      </c>
      <c r="J379">
        <v>209915824</v>
      </c>
      <c r="K379">
        <v>612235961</v>
      </c>
      <c r="L379">
        <v>1762099546</v>
      </c>
      <c r="M379">
        <v>1716001414</v>
      </c>
      <c r="N379">
        <v>323062939</v>
      </c>
      <c r="O379">
        <v>-209173340</v>
      </c>
      <c r="P379">
        <v>1311</v>
      </c>
      <c r="Q379" t="s">
        <v>912</v>
      </c>
    </row>
    <row r="380" spans="1:17" x14ac:dyDescent="0.3">
      <c r="A380" t="s">
        <v>17</v>
      </c>
      <c r="B380" t="str">
        <f>"600782"</f>
        <v>600782</v>
      </c>
      <c r="C380" t="s">
        <v>913</v>
      </c>
      <c r="D380" t="s">
        <v>131</v>
      </c>
      <c r="E380">
        <v>442062280</v>
      </c>
      <c r="F380">
        <v>1828660475</v>
      </c>
      <c r="G380">
        <v>1871798105</v>
      </c>
      <c r="H380">
        <v>358502725</v>
      </c>
      <c r="I380">
        <v>1105785034</v>
      </c>
      <c r="J380">
        <v>573099173</v>
      </c>
      <c r="K380">
        <v>-357961122</v>
      </c>
      <c r="L380">
        <v>-26155662</v>
      </c>
      <c r="M380">
        <v>-239992799</v>
      </c>
      <c r="N380">
        <v>-241570866</v>
      </c>
      <c r="O380">
        <v>-332559637</v>
      </c>
      <c r="P380">
        <v>1414</v>
      </c>
      <c r="Q380" t="s">
        <v>914</v>
      </c>
    </row>
    <row r="381" spans="1:17" x14ac:dyDescent="0.3">
      <c r="A381" t="s">
        <v>33</v>
      </c>
      <c r="B381" t="str">
        <f>"000690"</f>
        <v>000690</v>
      </c>
      <c r="C381" t="s">
        <v>915</v>
      </c>
      <c r="D381" t="s">
        <v>145</v>
      </c>
      <c r="E381">
        <v>441951223</v>
      </c>
      <c r="F381">
        <v>418292478</v>
      </c>
      <c r="G381">
        <v>599471266</v>
      </c>
      <c r="H381">
        <v>149311484</v>
      </c>
      <c r="I381">
        <v>169417873</v>
      </c>
      <c r="J381">
        <v>163419054</v>
      </c>
      <c r="K381">
        <v>217474672</v>
      </c>
      <c r="L381">
        <v>277963368</v>
      </c>
      <c r="M381">
        <v>186814752</v>
      </c>
      <c r="N381">
        <v>584744554</v>
      </c>
      <c r="O381">
        <v>155374832</v>
      </c>
      <c r="P381">
        <v>643</v>
      </c>
      <c r="Q381" t="s">
        <v>916</v>
      </c>
    </row>
    <row r="382" spans="1:17" x14ac:dyDescent="0.3">
      <c r="A382" t="s">
        <v>17</v>
      </c>
      <c r="B382" t="str">
        <f>"600887"</f>
        <v>600887</v>
      </c>
      <c r="C382" t="s">
        <v>917</v>
      </c>
      <c r="D382" t="s">
        <v>918</v>
      </c>
      <c r="E382">
        <v>441419297</v>
      </c>
      <c r="F382">
        <v>1121729589</v>
      </c>
      <c r="G382">
        <v>-2652825692</v>
      </c>
      <c r="H382">
        <v>1349987110</v>
      </c>
      <c r="I382">
        <v>1670064865</v>
      </c>
      <c r="J382">
        <v>-529628984</v>
      </c>
      <c r="K382">
        <v>966431060</v>
      </c>
      <c r="L382">
        <v>2150025662</v>
      </c>
      <c r="M382">
        <v>-1683373969</v>
      </c>
      <c r="N382">
        <v>860322523</v>
      </c>
      <c r="O382">
        <v>-785084347</v>
      </c>
      <c r="P382">
        <v>72799</v>
      </c>
      <c r="Q382" t="s">
        <v>919</v>
      </c>
    </row>
    <row r="383" spans="1:17" x14ac:dyDescent="0.3">
      <c r="A383" t="s">
        <v>17</v>
      </c>
      <c r="B383" t="str">
        <f>"600428"</f>
        <v>600428</v>
      </c>
      <c r="C383" t="s">
        <v>920</v>
      </c>
      <c r="D383" t="s">
        <v>55</v>
      </c>
      <c r="E383">
        <v>440568403</v>
      </c>
      <c r="F383">
        <v>-10105584</v>
      </c>
      <c r="G383">
        <v>44331682</v>
      </c>
      <c r="H383">
        <v>197524024</v>
      </c>
      <c r="I383">
        <v>-135550619</v>
      </c>
      <c r="J383">
        <v>131586261</v>
      </c>
      <c r="K383">
        <v>101511912</v>
      </c>
      <c r="L383">
        <v>412560647</v>
      </c>
      <c r="M383">
        <v>194734564</v>
      </c>
      <c r="N383">
        <v>-183742008</v>
      </c>
      <c r="O383">
        <v>108114973</v>
      </c>
      <c r="P383">
        <v>199</v>
      </c>
      <c r="Q383" t="s">
        <v>921</v>
      </c>
    </row>
    <row r="384" spans="1:17" x14ac:dyDescent="0.3">
      <c r="A384" t="s">
        <v>17</v>
      </c>
      <c r="B384" t="str">
        <f>"600837"</f>
        <v>600837</v>
      </c>
      <c r="C384" t="s">
        <v>922</v>
      </c>
      <c r="D384" t="s">
        <v>52</v>
      </c>
      <c r="E384">
        <v>436192763</v>
      </c>
      <c r="F384">
        <v>27929503727</v>
      </c>
      <c r="G384">
        <v>3884725217</v>
      </c>
      <c r="H384">
        <v>19403417058</v>
      </c>
      <c r="I384">
        <v>-4842369590</v>
      </c>
      <c r="J384">
        <v>-22577833626</v>
      </c>
      <c r="K384">
        <v>-3531713824</v>
      </c>
      <c r="L384">
        <v>-7737764946</v>
      </c>
      <c r="M384">
        <v>-1225823006</v>
      </c>
      <c r="N384">
        <v>2239921228</v>
      </c>
      <c r="O384">
        <v>9625245666</v>
      </c>
      <c r="P384">
        <v>4976</v>
      </c>
      <c r="Q384" t="s">
        <v>923</v>
      </c>
    </row>
    <row r="385" spans="1:17" x14ac:dyDescent="0.3">
      <c r="A385" t="s">
        <v>17</v>
      </c>
      <c r="B385" t="str">
        <f>"600369"</f>
        <v>600369</v>
      </c>
      <c r="C385" t="s">
        <v>924</v>
      </c>
      <c r="D385" t="s">
        <v>52</v>
      </c>
      <c r="E385">
        <v>434735796</v>
      </c>
      <c r="F385">
        <v>-789629416</v>
      </c>
      <c r="G385">
        <v>2923081500</v>
      </c>
      <c r="H385">
        <v>5156794378</v>
      </c>
      <c r="I385">
        <v>1606516946</v>
      </c>
      <c r="J385">
        <v>-383069948</v>
      </c>
      <c r="K385">
        <v>-1655581468</v>
      </c>
      <c r="L385">
        <v>2223018925</v>
      </c>
      <c r="M385">
        <v>-1633589886</v>
      </c>
      <c r="N385">
        <v>728089800</v>
      </c>
      <c r="O385">
        <v>1105585312</v>
      </c>
      <c r="P385">
        <v>930</v>
      </c>
      <c r="Q385" t="s">
        <v>925</v>
      </c>
    </row>
    <row r="386" spans="1:17" x14ac:dyDescent="0.3">
      <c r="A386" t="s">
        <v>17</v>
      </c>
      <c r="B386" t="str">
        <f>"603195"</f>
        <v>603195</v>
      </c>
      <c r="C386" t="s">
        <v>926</v>
      </c>
      <c r="D386" t="s">
        <v>927</v>
      </c>
      <c r="E386">
        <v>433646078</v>
      </c>
      <c r="F386">
        <v>355943368</v>
      </c>
      <c r="G386">
        <v>-183694819</v>
      </c>
      <c r="H386">
        <v>1033277317</v>
      </c>
      <c r="P386">
        <v>1473</v>
      </c>
      <c r="Q386" t="s">
        <v>928</v>
      </c>
    </row>
    <row r="387" spans="1:17" x14ac:dyDescent="0.3">
      <c r="A387" t="s">
        <v>33</v>
      </c>
      <c r="B387" t="str">
        <f>"002048"</f>
        <v>002048</v>
      </c>
      <c r="C387" t="s">
        <v>929</v>
      </c>
      <c r="D387" t="s">
        <v>200</v>
      </c>
      <c r="E387">
        <v>432263339</v>
      </c>
      <c r="F387">
        <v>356733563</v>
      </c>
      <c r="G387">
        <v>716139893</v>
      </c>
      <c r="H387">
        <v>75945862</v>
      </c>
      <c r="I387">
        <v>81117884</v>
      </c>
      <c r="J387">
        <v>73301815</v>
      </c>
      <c r="K387">
        <v>130222851</v>
      </c>
      <c r="L387">
        <v>142654473</v>
      </c>
      <c r="M387">
        <v>-205411758</v>
      </c>
      <c r="N387">
        <v>-122752934</v>
      </c>
      <c r="O387">
        <v>-164634967</v>
      </c>
      <c r="P387">
        <v>645</v>
      </c>
      <c r="Q387" t="s">
        <v>930</v>
      </c>
    </row>
    <row r="388" spans="1:17" x14ac:dyDescent="0.3">
      <c r="A388" t="s">
        <v>17</v>
      </c>
      <c r="B388" t="str">
        <f>"601158"</f>
        <v>601158</v>
      </c>
      <c r="C388" t="s">
        <v>931</v>
      </c>
      <c r="D388" t="s">
        <v>932</v>
      </c>
      <c r="E388">
        <v>432088281</v>
      </c>
      <c r="F388">
        <v>398015703</v>
      </c>
      <c r="G388">
        <v>420139660</v>
      </c>
      <c r="H388">
        <v>466692106</v>
      </c>
      <c r="I388">
        <v>358402163</v>
      </c>
      <c r="J388">
        <v>276347441</v>
      </c>
      <c r="K388">
        <v>386967046</v>
      </c>
      <c r="L388">
        <v>458614203</v>
      </c>
      <c r="M388">
        <v>670758669</v>
      </c>
      <c r="N388">
        <v>507214410</v>
      </c>
      <c r="O388">
        <v>366243560</v>
      </c>
      <c r="P388">
        <v>587</v>
      </c>
      <c r="Q388" t="s">
        <v>933</v>
      </c>
    </row>
    <row r="389" spans="1:17" x14ac:dyDescent="0.3">
      <c r="A389" t="s">
        <v>33</v>
      </c>
      <c r="B389" t="str">
        <f>"002737"</f>
        <v>002737</v>
      </c>
      <c r="C389" t="s">
        <v>934</v>
      </c>
      <c r="D389" t="s">
        <v>533</v>
      </c>
      <c r="E389">
        <v>430597674</v>
      </c>
      <c r="F389">
        <v>220961896</v>
      </c>
      <c r="G389">
        <v>247958853</v>
      </c>
      <c r="H389">
        <v>177715584</v>
      </c>
      <c r="I389">
        <v>161914470</v>
      </c>
      <c r="J389">
        <v>39984750</v>
      </c>
      <c r="K389">
        <v>151665222</v>
      </c>
      <c r="L389">
        <v>184233843</v>
      </c>
      <c r="M389">
        <v>166667268</v>
      </c>
      <c r="P389">
        <v>1117</v>
      </c>
      <c r="Q389" t="s">
        <v>935</v>
      </c>
    </row>
    <row r="390" spans="1:17" x14ac:dyDescent="0.3">
      <c r="A390" t="s">
        <v>17</v>
      </c>
      <c r="B390" t="str">
        <f>"600033"</f>
        <v>600033</v>
      </c>
      <c r="C390" t="s">
        <v>936</v>
      </c>
      <c r="D390" t="s">
        <v>458</v>
      </c>
      <c r="E390">
        <v>430126968</v>
      </c>
      <c r="F390">
        <v>610588748</v>
      </c>
      <c r="G390">
        <v>-137658338</v>
      </c>
      <c r="H390">
        <v>-189842230</v>
      </c>
      <c r="I390">
        <v>432887349</v>
      </c>
      <c r="J390">
        <v>368146518</v>
      </c>
      <c r="K390">
        <v>193384093</v>
      </c>
      <c r="L390">
        <v>725959996</v>
      </c>
      <c r="M390">
        <v>209470742</v>
      </c>
      <c r="N390">
        <v>387694608</v>
      </c>
      <c r="O390">
        <v>475719110</v>
      </c>
      <c r="P390">
        <v>397</v>
      </c>
      <c r="Q390" t="s">
        <v>937</v>
      </c>
    </row>
    <row r="391" spans="1:17" x14ac:dyDescent="0.3">
      <c r="A391" t="s">
        <v>33</v>
      </c>
      <c r="B391" t="str">
        <f>"301177"</f>
        <v>301177</v>
      </c>
      <c r="C391" t="s">
        <v>938</v>
      </c>
      <c r="D391" t="s">
        <v>161</v>
      </c>
      <c r="E391">
        <v>428576837</v>
      </c>
      <c r="P391">
        <v>30</v>
      </c>
      <c r="Q391" t="s">
        <v>939</v>
      </c>
    </row>
    <row r="392" spans="1:17" x14ac:dyDescent="0.3">
      <c r="A392" t="s">
        <v>33</v>
      </c>
      <c r="B392" t="str">
        <f>"002001"</f>
        <v>002001</v>
      </c>
      <c r="C392" t="s">
        <v>940</v>
      </c>
      <c r="D392" t="s">
        <v>941</v>
      </c>
      <c r="E392">
        <v>422441680</v>
      </c>
      <c r="F392">
        <v>1076704399</v>
      </c>
      <c r="G392">
        <v>260591713</v>
      </c>
      <c r="H392">
        <v>254948181</v>
      </c>
      <c r="I392">
        <v>393653098</v>
      </c>
      <c r="J392">
        <v>126956024</v>
      </c>
      <c r="K392">
        <v>179965849</v>
      </c>
      <c r="L392">
        <v>110078428</v>
      </c>
      <c r="M392">
        <v>242571641</v>
      </c>
      <c r="N392">
        <v>320860339</v>
      </c>
      <c r="O392">
        <v>214996315</v>
      </c>
      <c r="P392">
        <v>1984</v>
      </c>
      <c r="Q392" t="s">
        <v>942</v>
      </c>
    </row>
    <row r="393" spans="1:17" x14ac:dyDescent="0.3">
      <c r="A393" t="s">
        <v>17</v>
      </c>
      <c r="B393" t="str">
        <f>"600702"</f>
        <v>600702</v>
      </c>
      <c r="C393" t="s">
        <v>943</v>
      </c>
      <c r="D393" t="s">
        <v>229</v>
      </c>
      <c r="E393">
        <v>418713737</v>
      </c>
      <c r="F393">
        <v>389519311</v>
      </c>
      <c r="G393">
        <v>-74264174</v>
      </c>
      <c r="H393">
        <v>-10938373</v>
      </c>
      <c r="I393">
        <v>248321396</v>
      </c>
      <c r="J393">
        <v>96662062</v>
      </c>
      <c r="K393">
        <v>60842874</v>
      </c>
      <c r="L393">
        <v>94515021</v>
      </c>
      <c r="M393">
        <v>-57611410</v>
      </c>
      <c r="N393">
        <v>220862532</v>
      </c>
      <c r="O393">
        <v>136964301</v>
      </c>
      <c r="P393">
        <v>1462</v>
      </c>
      <c r="Q393" t="s">
        <v>944</v>
      </c>
    </row>
    <row r="394" spans="1:17" x14ac:dyDescent="0.3">
      <c r="A394" t="s">
        <v>17</v>
      </c>
      <c r="B394" t="str">
        <f>"600075"</f>
        <v>600075</v>
      </c>
      <c r="C394" t="s">
        <v>945</v>
      </c>
      <c r="D394" t="s">
        <v>496</v>
      </c>
      <c r="E394">
        <v>418542449</v>
      </c>
      <c r="F394">
        <v>43659314</v>
      </c>
      <c r="G394">
        <v>-61408470</v>
      </c>
      <c r="H394">
        <v>-55737570</v>
      </c>
      <c r="I394">
        <v>15185891</v>
      </c>
      <c r="J394">
        <v>192074724</v>
      </c>
      <c r="K394">
        <v>37685834</v>
      </c>
      <c r="L394">
        <v>85965360</v>
      </c>
      <c r="M394">
        <v>19665354</v>
      </c>
      <c r="N394">
        <v>79162457</v>
      </c>
      <c r="O394">
        <v>108078722</v>
      </c>
      <c r="P394">
        <v>194</v>
      </c>
      <c r="Q394" t="s">
        <v>946</v>
      </c>
    </row>
    <row r="395" spans="1:17" x14ac:dyDescent="0.3">
      <c r="A395" t="s">
        <v>33</v>
      </c>
      <c r="B395" t="str">
        <f>"300759"</f>
        <v>300759</v>
      </c>
      <c r="C395" t="s">
        <v>947</v>
      </c>
      <c r="D395" t="s">
        <v>846</v>
      </c>
      <c r="E395">
        <v>417792057</v>
      </c>
      <c r="F395">
        <v>498953761</v>
      </c>
      <c r="G395">
        <v>325694990</v>
      </c>
      <c r="H395">
        <v>118816895</v>
      </c>
      <c r="I395">
        <v>69444796</v>
      </c>
      <c r="P395">
        <v>1080</v>
      </c>
      <c r="Q395" t="s">
        <v>948</v>
      </c>
    </row>
    <row r="396" spans="1:17" x14ac:dyDescent="0.3">
      <c r="A396" t="s">
        <v>17</v>
      </c>
      <c r="B396" t="str">
        <f>"600420"</f>
        <v>600420</v>
      </c>
      <c r="C396" t="s">
        <v>949</v>
      </c>
      <c r="D396" t="s">
        <v>590</v>
      </c>
      <c r="E396">
        <v>416829178</v>
      </c>
      <c r="F396">
        <v>105013867</v>
      </c>
      <c r="G396">
        <v>-336707671</v>
      </c>
      <c r="H396">
        <v>-287851790</v>
      </c>
      <c r="I396">
        <v>247783653</v>
      </c>
      <c r="J396">
        <v>-2183793</v>
      </c>
      <c r="K396">
        <v>23882193</v>
      </c>
      <c r="L396">
        <v>-64100224</v>
      </c>
      <c r="M396">
        <v>-7236874</v>
      </c>
      <c r="N396">
        <v>75572529</v>
      </c>
      <c r="O396">
        <v>-1010723</v>
      </c>
      <c r="P396">
        <v>381</v>
      </c>
      <c r="Q396" t="s">
        <v>950</v>
      </c>
    </row>
    <row r="397" spans="1:17" x14ac:dyDescent="0.3">
      <c r="A397" t="s">
        <v>33</v>
      </c>
      <c r="B397" t="str">
        <f>"300677"</f>
        <v>300677</v>
      </c>
      <c r="C397" t="s">
        <v>951</v>
      </c>
      <c r="D397" t="s">
        <v>903</v>
      </c>
      <c r="E397">
        <v>416703728</v>
      </c>
      <c r="F397">
        <v>3075354570</v>
      </c>
      <c r="G397">
        <v>276145066</v>
      </c>
      <c r="H397">
        <v>62926300</v>
      </c>
      <c r="I397">
        <v>48512832</v>
      </c>
      <c r="J397">
        <v>16247199</v>
      </c>
      <c r="K397">
        <v>28360988</v>
      </c>
      <c r="P397">
        <v>1821</v>
      </c>
      <c r="Q397" t="s">
        <v>952</v>
      </c>
    </row>
    <row r="398" spans="1:17" x14ac:dyDescent="0.3">
      <c r="A398" t="s">
        <v>33</v>
      </c>
      <c r="B398" t="str">
        <f>"002252"</f>
        <v>002252</v>
      </c>
      <c r="C398" t="s">
        <v>953</v>
      </c>
      <c r="D398" t="s">
        <v>954</v>
      </c>
      <c r="E398">
        <v>415302907</v>
      </c>
      <c r="F398">
        <v>287898726</v>
      </c>
      <c r="G398">
        <v>508223560</v>
      </c>
      <c r="H398">
        <v>121820789</v>
      </c>
      <c r="I398">
        <v>-63729670</v>
      </c>
      <c r="J398">
        <v>-137940219</v>
      </c>
      <c r="K398">
        <v>150774961</v>
      </c>
      <c r="L398">
        <v>69962976</v>
      </c>
      <c r="M398">
        <v>132906007</v>
      </c>
      <c r="N398">
        <v>-91839650</v>
      </c>
      <c r="O398">
        <v>-18610174</v>
      </c>
      <c r="P398">
        <v>602</v>
      </c>
      <c r="Q398" t="s">
        <v>955</v>
      </c>
    </row>
    <row r="399" spans="1:17" x14ac:dyDescent="0.3">
      <c r="A399" t="s">
        <v>17</v>
      </c>
      <c r="B399" t="str">
        <f>"600269"</f>
        <v>600269</v>
      </c>
      <c r="C399" t="s">
        <v>956</v>
      </c>
      <c r="D399" t="s">
        <v>458</v>
      </c>
      <c r="E399">
        <v>413634022</v>
      </c>
      <c r="F399">
        <v>878229834</v>
      </c>
      <c r="G399">
        <v>288321065</v>
      </c>
      <c r="H399">
        <v>455187674</v>
      </c>
      <c r="I399">
        <v>14012931</v>
      </c>
      <c r="J399">
        <v>789514909</v>
      </c>
      <c r="K399">
        <v>343424118</v>
      </c>
      <c r="L399">
        <v>570791090</v>
      </c>
      <c r="M399">
        <v>388597108</v>
      </c>
      <c r="N399">
        <v>263771425</v>
      </c>
      <c r="O399">
        <v>366920094</v>
      </c>
      <c r="P399">
        <v>405</v>
      </c>
      <c r="Q399" t="s">
        <v>957</v>
      </c>
    </row>
    <row r="400" spans="1:17" x14ac:dyDescent="0.3">
      <c r="A400" t="s">
        <v>33</v>
      </c>
      <c r="B400" t="str">
        <f>"002195"</f>
        <v>002195</v>
      </c>
      <c r="C400" t="s">
        <v>958</v>
      </c>
      <c r="D400" t="s">
        <v>508</v>
      </c>
      <c r="E400">
        <v>412036761</v>
      </c>
      <c r="F400">
        <v>109568572</v>
      </c>
      <c r="G400">
        <v>209275267</v>
      </c>
      <c r="H400">
        <v>1168335139</v>
      </c>
      <c r="I400">
        <v>-331524832</v>
      </c>
      <c r="J400">
        <v>-85671083</v>
      </c>
      <c r="K400">
        <v>-114377007</v>
      </c>
      <c r="L400">
        <v>51119452</v>
      </c>
      <c r="M400">
        <v>1215082</v>
      </c>
      <c r="N400">
        <v>6277746</v>
      </c>
      <c r="O400">
        <v>16273706</v>
      </c>
      <c r="P400">
        <v>558</v>
      </c>
      <c r="Q400" t="s">
        <v>959</v>
      </c>
    </row>
    <row r="401" spans="1:17" x14ac:dyDescent="0.3">
      <c r="A401" t="s">
        <v>33</v>
      </c>
      <c r="B401" t="str">
        <f>"002223"</f>
        <v>002223</v>
      </c>
      <c r="C401" t="s">
        <v>960</v>
      </c>
      <c r="D401" t="s">
        <v>111</v>
      </c>
      <c r="E401">
        <v>411916789</v>
      </c>
      <c r="F401">
        <v>172429602</v>
      </c>
      <c r="G401">
        <v>950024692</v>
      </c>
      <c r="H401">
        <v>-119276721</v>
      </c>
      <c r="I401">
        <v>26166223</v>
      </c>
      <c r="J401">
        <v>2807902</v>
      </c>
      <c r="K401">
        <v>216945977</v>
      </c>
      <c r="L401">
        <v>100977974</v>
      </c>
      <c r="M401">
        <v>35060177</v>
      </c>
      <c r="N401">
        <v>20964241</v>
      </c>
      <c r="O401">
        <v>-36021563</v>
      </c>
      <c r="P401">
        <v>17494</v>
      </c>
      <c r="Q401" t="s">
        <v>961</v>
      </c>
    </row>
    <row r="402" spans="1:17" x14ac:dyDescent="0.3">
      <c r="A402" t="s">
        <v>17</v>
      </c>
      <c r="B402" t="str">
        <f>"601969"</f>
        <v>601969</v>
      </c>
      <c r="C402" t="s">
        <v>962</v>
      </c>
      <c r="D402" t="s">
        <v>866</v>
      </c>
      <c r="E402">
        <v>403534680</v>
      </c>
      <c r="F402">
        <v>-6437100</v>
      </c>
      <c r="G402">
        <v>279111240</v>
      </c>
      <c r="H402">
        <v>174912048</v>
      </c>
      <c r="I402">
        <v>137337849</v>
      </c>
      <c r="J402">
        <v>80355447</v>
      </c>
      <c r="K402">
        <v>-127313766</v>
      </c>
      <c r="L402">
        <v>-178857761</v>
      </c>
      <c r="M402">
        <v>250193545</v>
      </c>
      <c r="P402">
        <v>154</v>
      </c>
      <c r="Q402" t="s">
        <v>963</v>
      </c>
    </row>
    <row r="403" spans="1:17" x14ac:dyDescent="0.3">
      <c r="A403" t="s">
        <v>17</v>
      </c>
      <c r="B403" t="str">
        <f>"600160"</f>
        <v>600160</v>
      </c>
      <c r="C403" t="s">
        <v>964</v>
      </c>
      <c r="D403" t="s">
        <v>881</v>
      </c>
      <c r="E403">
        <v>403184822</v>
      </c>
      <c r="F403">
        <v>312910723</v>
      </c>
      <c r="G403">
        <v>-82128033</v>
      </c>
      <c r="H403">
        <v>549093136</v>
      </c>
      <c r="I403">
        <v>696607154</v>
      </c>
      <c r="J403">
        <v>103871408</v>
      </c>
      <c r="K403">
        <v>39824076</v>
      </c>
      <c r="L403">
        <v>-18276496</v>
      </c>
      <c r="M403">
        <v>-412574117</v>
      </c>
      <c r="N403">
        <v>461119181</v>
      </c>
      <c r="O403">
        <v>160691249</v>
      </c>
      <c r="P403">
        <v>471</v>
      </c>
      <c r="Q403" t="s">
        <v>965</v>
      </c>
    </row>
    <row r="404" spans="1:17" x14ac:dyDescent="0.3">
      <c r="A404" t="s">
        <v>17</v>
      </c>
      <c r="B404" t="str">
        <f>"600435"</f>
        <v>600435</v>
      </c>
      <c r="C404" t="s">
        <v>966</v>
      </c>
      <c r="D404" t="s">
        <v>967</v>
      </c>
      <c r="E404">
        <v>402708677</v>
      </c>
      <c r="F404">
        <v>565237564</v>
      </c>
      <c r="G404">
        <v>-214683418</v>
      </c>
      <c r="H404">
        <v>-68028159</v>
      </c>
      <c r="I404">
        <v>-13660606</v>
      </c>
      <c r="J404">
        <v>-121931783</v>
      </c>
      <c r="K404">
        <v>-363717761</v>
      </c>
      <c r="L404">
        <v>-318136354</v>
      </c>
      <c r="M404">
        <v>-101110026</v>
      </c>
      <c r="N404">
        <v>-5660999</v>
      </c>
      <c r="O404">
        <v>35723894</v>
      </c>
      <c r="P404">
        <v>230</v>
      </c>
      <c r="Q404" t="s">
        <v>968</v>
      </c>
    </row>
    <row r="405" spans="1:17" x14ac:dyDescent="0.3">
      <c r="A405" t="s">
        <v>17</v>
      </c>
      <c r="B405" t="str">
        <f>"900948"</f>
        <v>900948</v>
      </c>
      <c r="C405" t="s">
        <v>969</v>
      </c>
      <c r="E405">
        <v>401845427.62910002</v>
      </c>
      <c r="F405">
        <v>122327897.22840001</v>
      </c>
      <c r="G405">
        <v>192902250.12</v>
      </c>
      <c r="H405">
        <v>7422500.858</v>
      </c>
      <c r="I405">
        <v>77571308.161799997</v>
      </c>
      <c r="J405">
        <v>407976204.27960002</v>
      </c>
      <c r="K405">
        <v>72724480.4155</v>
      </c>
      <c r="L405">
        <v>30883317.242699999</v>
      </c>
      <c r="M405">
        <v>205004243.6904</v>
      </c>
      <c r="N405">
        <v>252510993.18200001</v>
      </c>
      <c r="O405">
        <v>250186876.3504</v>
      </c>
      <c r="P405">
        <v>225</v>
      </c>
      <c r="Q405" t="s">
        <v>970</v>
      </c>
    </row>
    <row r="406" spans="1:17" x14ac:dyDescent="0.3">
      <c r="A406" t="s">
        <v>33</v>
      </c>
      <c r="B406" t="str">
        <f>"002039"</f>
        <v>002039</v>
      </c>
      <c r="C406" t="s">
        <v>971</v>
      </c>
      <c r="D406" t="s">
        <v>205</v>
      </c>
      <c r="E406">
        <v>398344741</v>
      </c>
      <c r="F406">
        <v>277040471</v>
      </c>
      <c r="G406">
        <v>297253878</v>
      </c>
      <c r="H406">
        <v>505596298</v>
      </c>
      <c r="I406">
        <v>602322089</v>
      </c>
      <c r="J406">
        <v>228444090</v>
      </c>
      <c r="K406">
        <v>559377263</v>
      </c>
      <c r="L406">
        <v>548458317</v>
      </c>
      <c r="M406">
        <v>24842793</v>
      </c>
      <c r="N406">
        <v>149679776</v>
      </c>
      <c r="O406">
        <v>56651889</v>
      </c>
      <c r="P406">
        <v>431</v>
      </c>
      <c r="Q406" t="s">
        <v>972</v>
      </c>
    </row>
    <row r="407" spans="1:17" x14ac:dyDescent="0.3">
      <c r="A407" t="s">
        <v>33</v>
      </c>
      <c r="B407" t="str">
        <f>"300888"</f>
        <v>300888</v>
      </c>
      <c r="C407" t="s">
        <v>973</v>
      </c>
      <c r="D407" t="s">
        <v>974</v>
      </c>
      <c r="E407">
        <v>397234802</v>
      </c>
      <c r="F407">
        <v>187866671</v>
      </c>
      <c r="P407">
        <v>457</v>
      </c>
      <c r="Q407" t="s">
        <v>975</v>
      </c>
    </row>
    <row r="408" spans="1:17" x14ac:dyDescent="0.3">
      <c r="A408" t="s">
        <v>33</v>
      </c>
      <c r="B408" t="str">
        <f>"000672"</f>
        <v>000672</v>
      </c>
      <c r="C408" t="s">
        <v>976</v>
      </c>
      <c r="D408" t="s">
        <v>260</v>
      </c>
      <c r="E408">
        <v>396325656</v>
      </c>
      <c r="F408">
        <v>420788299</v>
      </c>
      <c r="G408">
        <v>521575037</v>
      </c>
      <c r="H408">
        <v>667504242</v>
      </c>
      <c r="I408">
        <v>172937310</v>
      </c>
      <c r="J408">
        <v>268724150</v>
      </c>
      <c r="K408">
        <v>24334433</v>
      </c>
      <c r="L408">
        <v>112354606</v>
      </c>
      <c r="M408">
        <v>129329361</v>
      </c>
      <c r="N408">
        <v>-2556270</v>
      </c>
      <c r="O408">
        <v>-40738</v>
      </c>
      <c r="P408">
        <v>1263</v>
      </c>
      <c r="Q408" t="s">
        <v>977</v>
      </c>
    </row>
    <row r="409" spans="1:17" x14ac:dyDescent="0.3">
      <c r="A409" t="s">
        <v>17</v>
      </c>
      <c r="B409" t="str">
        <f>"600779"</f>
        <v>600779</v>
      </c>
      <c r="C409" t="s">
        <v>978</v>
      </c>
      <c r="D409" t="s">
        <v>229</v>
      </c>
      <c r="E409">
        <v>393892663</v>
      </c>
      <c r="F409">
        <v>612226648</v>
      </c>
      <c r="G409">
        <v>81223967</v>
      </c>
      <c r="H409">
        <v>246356487</v>
      </c>
      <c r="I409">
        <v>-93137891</v>
      </c>
      <c r="J409">
        <v>168641978</v>
      </c>
      <c r="K409">
        <v>75282281</v>
      </c>
      <c r="L409">
        <v>112072624</v>
      </c>
      <c r="M409">
        <v>-61978440</v>
      </c>
      <c r="N409">
        <v>-68020710</v>
      </c>
      <c r="O409">
        <v>11165790</v>
      </c>
      <c r="P409">
        <v>2794</v>
      </c>
      <c r="Q409" t="s">
        <v>979</v>
      </c>
    </row>
    <row r="410" spans="1:17" x14ac:dyDescent="0.3">
      <c r="A410" t="s">
        <v>33</v>
      </c>
      <c r="B410" t="str">
        <f>"300047"</f>
        <v>300047</v>
      </c>
      <c r="C410" t="s">
        <v>980</v>
      </c>
      <c r="D410" t="s">
        <v>807</v>
      </c>
      <c r="E410">
        <v>392778295</v>
      </c>
      <c r="F410">
        <v>373920577</v>
      </c>
      <c r="G410">
        <v>358565967</v>
      </c>
      <c r="H410">
        <v>127324049</v>
      </c>
      <c r="I410">
        <v>7148759</v>
      </c>
      <c r="J410">
        <v>-4999465</v>
      </c>
      <c r="K410">
        <v>-67227516</v>
      </c>
      <c r="L410">
        <v>20748836</v>
      </c>
      <c r="M410">
        <v>-13478924</v>
      </c>
      <c r="N410">
        <v>-56583425</v>
      </c>
      <c r="O410">
        <v>12856321</v>
      </c>
      <c r="P410">
        <v>338</v>
      </c>
      <c r="Q410" t="s">
        <v>981</v>
      </c>
    </row>
    <row r="411" spans="1:17" x14ac:dyDescent="0.3">
      <c r="A411" t="s">
        <v>17</v>
      </c>
      <c r="B411" t="str">
        <f>"600348"</f>
        <v>600348</v>
      </c>
      <c r="C411" t="s">
        <v>982</v>
      </c>
      <c r="D411" t="s">
        <v>265</v>
      </c>
      <c r="E411">
        <v>388534008</v>
      </c>
      <c r="F411">
        <v>1295171522</v>
      </c>
      <c r="G411">
        <v>1124153026</v>
      </c>
      <c r="H411">
        <v>325013063</v>
      </c>
      <c r="I411">
        <v>947648689</v>
      </c>
      <c r="J411">
        <v>-1386888459</v>
      </c>
      <c r="K411">
        <v>-398252665</v>
      </c>
      <c r="L411">
        <v>-138972344</v>
      </c>
      <c r="M411">
        <v>-1063356808</v>
      </c>
      <c r="N411">
        <v>1623482672</v>
      </c>
      <c r="O411">
        <v>1322523610</v>
      </c>
      <c r="P411">
        <v>1285</v>
      </c>
      <c r="Q411" t="s">
        <v>983</v>
      </c>
    </row>
    <row r="412" spans="1:17" x14ac:dyDescent="0.3">
      <c r="A412" t="s">
        <v>17</v>
      </c>
      <c r="B412" t="str">
        <f>"601689"</f>
        <v>601689</v>
      </c>
      <c r="C412" t="s">
        <v>984</v>
      </c>
      <c r="D412" t="s">
        <v>858</v>
      </c>
      <c r="E412">
        <v>387085582</v>
      </c>
      <c r="F412">
        <v>156558518</v>
      </c>
      <c r="G412">
        <v>83589141</v>
      </c>
      <c r="H412">
        <v>75184570</v>
      </c>
      <c r="I412">
        <v>85406630</v>
      </c>
      <c r="J412">
        <v>83734681</v>
      </c>
      <c r="K412">
        <v>41536684</v>
      </c>
      <c r="L412">
        <v>6779377</v>
      </c>
      <c r="M412">
        <v>27676819</v>
      </c>
      <c r="P412">
        <v>664</v>
      </c>
      <c r="Q412" t="s">
        <v>985</v>
      </c>
    </row>
    <row r="413" spans="1:17" x14ac:dyDescent="0.3">
      <c r="A413" t="s">
        <v>33</v>
      </c>
      <c r="B413" t="str">
        <f>"002185"</f>
        <v>002185</v>
      </c>
      <c r="C413" t="s">
        <v>986</v>
      </c>
      <c r="D413" t="s">
        <v>370</v>
      </c>
      <c r="E413">
        <v>386104975</v>
      </c>
      <c r="F413">
        <v>611701162</v>
      </c>
      <c r="G413">
        <v>211760319</v>
      </c>
      <c r="H413">
        <v>113984808</v>
      </c>
      <c r="I413">
        <v>132141617</v>
      </c>
      <c r="J413">
        <v>161215968</v>
      </c>
      <c r="K413">
        <v>107944352</v>
      </c>
      <c r="L413">
        <v>60142705</v>
      </c>
      <c r="M413">
        <v>68762236</v>
      </c>
      <c r="N413">
        <v>33963040</v>
      </c>
      <c r="O413">
        <v>4421439</v>
      </c>
      <c r="P413">
        <v>1176</v>
      </c>
      <c r="Q413" t="s">
        <v>987</v>
      </c>
    </row>
    <row r="414" spans="1:17" x14ac:dyDescent="0.3">
      <c r="A414" t="s">
        <v>33</v>
      </c>
      <c r="B414" t="str">
        <f>"002277"</f>
        <v>002277</v>
      </c>
      <c r="C414" t="s">
        <v>988</v>
      </c>
      <c r="D414" t="s">
        <v>989</v>
      </c>
      <c r="E414">
        <v>383241815</v>
      </c>
      <c r="F414">
        <v>109402507</v>
      </c>
      <c r="G414">
        <v>-168035246</v>
      </c>
      <c r="H414">
        <v>-147763769</v>
      </c>
      <c r="I414">
        <v>43885447</v>
      </c>
      <c r="J414">
        <v>35258013</v>
      </c>
      <c r="K414">
        <v>-225332718</v>
      </c>
      <c r="L414">
        <v>-398001863</v>
      </c>
      <c r="M414">
        <v>-112569648</v>
      </c>
      <c r="N414">
        <v>224549980</v>
      </c>
      <c r="O414">
        <v>-16286530</v>
      </c>
      <c r="P414">
        <v>145</v>
      </c>
      <c r="Q414" t="s">
        <v>990</v>
      </c>
    </row>
    <row r="415" spans="1:17" x14ac:dyDescent="0.3">
      <c r="A415" t="s">
        <v>17</v>
      </c>
      <c r="B415" t="str">
        <f>"603456"</f>
        <v>603456</v>
      </c>
      <c r="C415" t="s">
        <v>991</v>
      </c>
      <c r="D415" t="s">
        <v>846</v>
      </c>
      <c r="E415">
        <v>382358482</v>
      </c>
      <c r="F415">
        <v>10058630</v>
      </c>
      <c r="G415">
        <v>80898429</v>
      </c>
      <c r="H415">
        <v>105857616</v>
      </c>
      <c r="I415">
        <v>8086811</v>
      </c>
      <c r="J415">
        <v>68134690</v>
      </c>
      <c r="K415">
        <v>120070693</v>
      </c>
      <c r="L415">
        <v>188013447</v>
      </c>
      <c r="M415">
        <v>14446634</v>
      </c>
      <c r="P415">
        <v>453</v>
      </c>
      <c r="Q415" t="s">
        <v>992</v>
      </c>
    </row>
    <row r="416" spans="1:17" x14ac:dyDescent="0.3">
      <c r="A416" t="s">
        <v>33</v>
      </c>
      <c r="B416" t="str">
        <f>"002386"</f>
        <v>002386</v>
      </c>
      <c r="C416" t="s">
        <v>993</v>
      </c>
      <c r="D416" t="s">
        <v>496</v>
      </c>
      <c r="E416">
        <v>381346236</v>
      </c>
      <c r="F416">
        <v>249845986</v>
      </c>
      <c r="G416">
        <v>111541403</v>
      </c>
      <c r="H416">
        <v>116481963</v>
      </c>
      <c r="I416">
        <v>116354151</v>
      </c>
      <c r="J416">
        <v>47734278</v>
      </c>
      <c r="K416">
        <v>15075602</v>
      </c>
      <c r="L416">
        <v>16006231</v>
      </c>
      <c r="M416">
        <v>168524884</v>
      </c>
      <c r="N416">
        <v>51367830</v>
      </c>
      <c r="O416">
        <v>30985250</v>
      </c>
      <c r="P416">
        <v>143</v>
      </c>
      <c r="Q416" t="s">
        <v>994</v>
      </c>
    </row>
    <row r="417" spans="1:17" x14ac:dyDescent="0.3">
      <c r="A417" t="s">
        <v>33</v>
      </c>
      <c r="B417" t="str">
        <f>"002759"</f>
        <v>002759</v>
      </c>
      <c r="C417" t="s">
        <v>995</v>
      </c>
      <c r="D417" t="s">
        <v>795</v>
      </c>
      <c r="E417">
        <v>377200304</v>
      </c>
      <c r="F417">
        <v>54113187</v>
      </c>
      <c r="G417">
        <v>-35875252</v>
      </c>
      <c r="H417">
        <v>-33735179</v>
      </c>
      <c r="I417">
        <v>-23777556</v>
      </c>
      <c r="J417">
        <v>-46163195</v>
      </c>
      <c r="K417">
        <v>19029365</v>
      </c>
      <c r="L417">
        <v>-22004958</v>
      </c>
      <c r="P417">
        <v>251</v>
      </c>
      <c r="Q417" t="s">
        <v>996</v>
      </c>
    </row>
    <row r="418" spans="1:17" x14ac:dyDescent="0.3">
      <c r="A418" t="s">
        <v>33</v>
      </c>
      <c r="B418" t="str">
        <f>"300979"</f>
        <v>300979</v>
      </c>
      <c r="C418" t="s">
        <v>997</v>
      </c>
      <c r="D418" t="s">
        <v>998</v>
      </c>
      <c r="E418">
        <v>376803164</v>
      </c>
      <c r="F418">
        <v>425815105</v>
      </c>
      <c r="G418">
        <v>703986502</v>
      </c>
      <c r="P418">
        <v>95</v>
      </c>
      <c r="Q418" t="s">
        <v>999</v>
      </c>
    </row>
    <row r="419" spans="1:17" x14ac:dyDescent="0.3">
      <c r="A419" t="s">
        <v>33</v>
      </c>
      <c r="B419" t="str">
        <f>"000966"</f>
        <v>000966</v>
      </c>
      <c r="C419" t="s">
        <v>1000</v>
      </c>
      <c r="D419" t="s">
        <v>145</v>
      </c>
      <c r="E419">
        <v>375565647</v>
      </c>
      <c r="F419">
        <v>297240884</v>
      </c>
      <c r="G419">
        <v>314709939</v>
      </c>
      <c r="H419">
        <v>335554567</v>
      </c>
      <c r="I419">
        <v>92131869</v>
      </c>
      <c r="J419">
        <v>222234419</v>
      </c>
      <c r="K419">
        <v>807357117</v>
      </c>
      <c r="L419">
        <v>623538366</v>
      </c>
      <c r="M419">
        <v>696082464</v>
      </c>
      <c r="N419">
        <v>659986910</v>
      </c>
      <c r="O419">
        <v>296790167</v>
      </c>
      <c r="P419">
        <v>398</v>
      </c>
      <c r="Q419" t="s">
        <v>1001</v>
      </c>
    </row>
    <row r="420" spans="1:17" x14ac:dyDescent="0.3">
      <c r="A420" t="s">
        <v>17</v>
      </c>
      <c r="B420" t="str">
        <f>"603858"</f>
        <v>603858</v>
      </c>
      <c r="C420" t="s">
        <v>1002</v>
      </c>
      <c r="D420" t="s">
        <v>533</v>
      </c>
      <c r="E420">
        <v>374953344</v>
      </c>
      <c r="F420">
        <v>346429158</v>
      </c>
      <c r="G420">
        <v>209279205</v>
      </c>
      <c r="H420">
        <v>680475026</v>
      </c>
      <c r="I420">
        <v>140338498</v>
      </c>
      <c r="J420">
        <v>460538234</v>
      </c>
      <c r="K420">
        <v>89064343</v>
      </c>
      <c r="P420">
        <v>828</v>
      </c>
      <c r="Q420" t="s">
        <v>1003</v>
      </c>
    </row>
    <row r="421" spans="1:17" x14ac:dyDescent="0.3">
      <c r="A421" t="s">
        <v>17</v>
      </c>
      <c r="B421" t="str">
        <f>"600971"</f>
        <v>600971</v>
      </c>
      <c r="C421" t="s">
        <v>1004</v>
      </c>
      <c r="D421" t="s">
        <v>77</v>
      </c>
      <c r="E421">
        <v>374470760</v>
      </c>
      <c r="F421">
        <v>363031480</v>
      </c>
      <c r="G421">
        <v>380816501</v>
      </c>
      <c r="H421">
        <v>529365601</v>
      </c>
      <c r="I421">
        <v>419008334</v>
      </c>
      <c r="J421">
        <v>265157705</v>
      </c>
      <c r="K421">
        <v>547915498</v>
      </c>
      <c r="L421">
        <v>81187285</v>
      </c>
      <c r="M421">
        <v>198044906</v>
      </c>
      <c r="N421">
        <v>287282922</v>
      </c>
      <c r="O421">
        <v>618800547</v>
      </c>
      <c r="P421">
        <v>1522</v>
      </c>
      <c r="Q421" t="s">
        <v>1005</v>
      </c>
    </row>
    <row r="422" spans="1:17" x14ac:dyDescent="0.3">
      <c r="A422" t="s">
        <v>17</v>
      </c>
      <c r="B422" t="str">
        <f>"600032"</f>
        <v>600032</v>
      </c>
      <c r="C422" t="s">
        <v>1006</v>
      </c>
      <c r="D422" t="s">
        <v>1007</v>
      </c>
      <c r="E422">
        <v>374172243</v>
      </c>
      <c r="F422">
        <v>30198904</v>
      </c>
      <c r="G422">
        <v>55754487</v>
      </c>
      <c r="P422">
        <v>81</v>
      </c>
      <c r="Q422" t="s">
        <v>1008</v>
      </c>
    </row>
    <row r="423" spans="1:17" x14ac:dyDescent="0.3">
      <c r="A423" t="s">
        <v>33</v>
      </c>
      <c r="B423" t="str">
        <f>"002769"</f>
        <v>002769</v>
      </c>
      <c r="C423" t="s">
        <v>1009</v>
      </c>
      <c r="D423" t="s">
        <v>1010</v>
      </c>
      <c r="E423">
        <v>373025136</v>
      </c>
      <c r="F423">
        <v>-388068109</v>
      </c>
      <c r="G423">
        <v>-635635539</v>
      </c>
      <c r="H423">
        <v>-420792547</v>
      </c>
      <c r="I423">
        <v>-773592040</v>
      </c>
      <c r="J423">
        <v>-344336708</v>
      </c>
      <c r="K423">
        <v>-774555</v>
      </c>
      <c r="L423">
        <v>16732000</v>
      </c>
      <c r="M423">
        <v>268884900</v>
      </c>
      <c r="P423">
        <v>96</v>
      </c>
      <c r="Q423" t="s">
        <v>1011</v>
      </c>
    </row>
    <row r="424" spans="1:17" x14ac:dyDescent="0.3">
      <c r="A424" t="s">
        <v>33</v>
      </c>
      <c r="B424" t="str">
        <f>"200869"</f>
        <v>200869</v>
      </c>
      <c r="C424" t="s">
        <v>1012</v>
      </c>
      <c r="E424">
        <v>369337109.458</v>
      </c>
      <c r="F424">
        <v>372993746.99349999</v>
      </c>
      <c r="G424">
        <v>-127978529.89049999</v>
      </c>
      <c r="H424">
        <v>344508449.6322</v>
      </c>
      <c r="I424">
        <v>634333586.98199999</v>
      </c>
      <c r="J424">
        <v>433633268.7256</v>
      </c>
      <c r="K424">
        <v>727094580.59280002</v>
      </c>
      <c r="L424">
        <v>871745408.75</v>
      </c>
      <c r="M424">
        <v>882003617.19319999</v>
      </c>
      <c r="N424">
        <v>654359710.69200003</v>
      </c>
      <c r="O424">
        <v>612974691.477</v>
      </c>
      <c r="P424">
        <v>348</v>
      </c>
      <c r="Q424" t="s">
        <v>1013</v>
      </c>
    </row>
    <row r="425" spans="1:17" x14ac:dyDescent="0.3">
      <c r="A425" t="s">
        <v>33</v>
      </c>
      <c r="B425" t="str">
        <f>"002831"</f>
        <v>002831</v>
      </c>
      <c r="C425" t="s">
        <v>1014</v>
      </c>
      <c r="D425" t="s">
        <v>1015</v>
      </c>
      <c r="E425">
        <v>368215188</v>
      </c>
      <c r="F425">
        <v>12895390</v>
      </c>
      <c r="G425">
        <v>307832739</v>
      </c>
      <c r="H425">
        <v>750748863</v>
      </c>
      <c r="I425">
        <v>203776517</v>
      </c>
      <c r="J425">
        <v>536834297</v>
      </c>
      <c r="K425">
        <v>321252098</v>
      </c>
      <c r="P425">
        <v>663</v>
      </c>
      <c r="Q425" t="s">
        <v>1016</v>
      </c>
    </row>
    <row r="426" spans="1:17" x14ac:dyDescent="0.3">
      <c r="A426" t="s">
        <v>33</v>
      </c>
      <c r="B426" t="str">
        <f>"002756"</f>
        <v>002756</v>
      </c>
      <c r="C426" t="s">
        <v>1017</v>
      </c>
      <c r="D426" t="s">
        <v>253</v>
      </c>
      <c r="E426">
        <v>368156357</v>
      </c>
      <c r="F426">
        <v>-207690808</v>
      </c>
      <c r="G426">
        <v>6332028</v>
      </c>
      <c r="H426">
        <v>33969349</v>
      </c>
      <c r="I426">
        <v>-104259214</v>
      </c>
      <c r="J426">
        <v>17635927</v>
      </c>
      <c r="K426">
        <v>133752524</v>
      </c>
      <c r="L426">
        <v>118966700</v>
      </c>
      <c r="M426">
        <v>-263061268</v>
      </c>
      <c r="P426">
        <v>307</v>
      </c>
      <c r="Q426" t="s">
        <v>1018</v>
      </c>
    </row>
    <row r="427" spans="1:17" x14ac:dyDescent="0.3">
      <c r="A427" t="s">
        <v>33</v>
      </c>
      <c r="B427" t="str">
        <f>"300317"</f>
        <v>300317</v>
      </c>
      <c r="C427" t="s">
        <v>1019</v>
      </c>
      <c r="D427" t="s">
        <v>1007</v>
      </c>
      <c r="E427">
        <v>366979539</v>
      </c>
      <c r="F427">
        <v>66301274</v>
      </c>
      <c r="G427">
        <v>-29386769</v>
      </c>
      <c r="H427">
        <v>-23225451</v>
      </c>
      <c r="I427">
        <v>-114299328</v>
      </c>
      <c r="J427">
        <v>-84814994</v>
      </c>
      <c r="K427">
        <v>-177556893</v>
      </c>
      <c r="L427">
        <v>-4137082</v>
      </c>
      <c r="M427">
        <v>-38539861</v>
      </c>
      <c r="N427">
        <v>8514449</v>
      </c>
      <c r="O427">
        <v>-43905631</v>
      </c>
      <c r="P427">
        <v>142</v>
      </c>
      <c r="Q427" t="s">
        <v>1020</v>
      </c>
    </row>
    <row r="428" spans="1:17" x14ac:dyDescent="0.3">
      <c r="A428" t="s">
        <v>17</v>
      </c>
      <c r="B428" t="str">
        <f>"600955"</f>
        <v>600955</v>
      </c>
      <c r="C428" t="s">
        <v>1021</v>
      </c>
      <c r="D428" t="s">
        <v>1022</v>
      </c>
      <c r="E428">
        <v>366936777</v>
      </c>
      <c r="P428">
        <v>46</v>
      </c>
      <c r="Q428" t="s">
        <v>1023</v>
      </c>
    </row>
    <row r="429" spans="1:17" x14ac:dyDescent="0.3">
      <c r="A429" t="s">
        <v>17</v>
      </c>
      <c r="B429" t="str">
        <f>"600586"</f>
        <v>600586</v>
      </c>
      <c r="C429" t="s">
        <v>1024</v>
      </c>
      <c r="D429" t="s">
        <v>1025</v>
      </c>
      <c r="E429">
        <v>366786326</v>
      </c>
      <c r="F429">
        <v>278484040</v>
      </c>
      <c r="G429">
        <v>160417802</v>
      </c>
      <c r="H429">
        <v>174433918</v>
      </c>
      <c r="I429">
        <v>169013670</v>
      </c>
      <c r="J429">
        <v>161329495</v>
      </c>
      <c r="K429">
        <v>152814660</v>
      </c>
      <c r="L429">
        <v>230791562</v>
      </c>
      <c r="M429">
        <v>159169068</v>
      </c>
      <c r="N429">
        <v>116621845</v>
      </c>
      <c r="O429">
        <v>47968147</v>
      </c>
      <c r="P429">
        <v>245</v>
      </c>
      <c r="Q429" t="s">
        <v>1026</v>
      </c>
    </row>
    <row r="430" spans="1:17" x14ac:dyDescent="0.3">
      <c r="A430" t="s">
        <v>17</v>
      </c>
      <c r="B430" t="str">
        <f>"600299"</f>
        <v>600299</v>
      </c>
      <c r="C430" t="s">
        <v>1027</v>
      </c>
      <c r="D430" t="s">
        <v>1028</v>
      </c>
      <c r="E430">
        <v>364716123</v>
      </c>
      <c r="F430">
        <v>542235728</v>
      </c>
      <c r="G430">
        <v>678830693</v>
      </c>
      <c r="H430">
        <v>316150314</v>
      </c>
      <c r="I430">
        <v>-22464050</v>
      </c>
      <c r="J430">
        <v>609215893</v>
      </c>
      <c r="K430">
        <v>949522412</v>
      </c>
      <c r="L430">
        <v>37314050</v>
      </c>
      <c r="M430">
        <v>103521207</v>
      </c>
      <c r="N430">
        <v>5718214</v>
      </c>
      <c r="O430">
        <v>29141528</v>
      </c>
      <c r="P430">
        <v>497</v>
      </c>
      <c r="Q430" t="s">
        <v>1029</v>
      </c>
    </row>
    <row r="431" spans="1:17" x14ac:dyDescent="0.3">
      <c r="A431" t="s">
        <v>33</v>
      </c>
      <c r="B431" t="str">
        <f>"002032"</f>
        <v>002032</v>
      </c>
      <c r="C431" t="s">
        <v>1030</v>
      </c>
      <c r="D431" t="s">
        <v>849</v>
      </c>
      <c r="E431">
        <v>364623904</v>
      </c>
      <c r="F431">
        <v>576498822</v>
      </c>
      <c r="G431">
        <v>103090780</v>
      </c>
      <c r="H431">
        <v>-118659387</v>
      </c>
      <c r="I431">
        <v>440632421</v>
      </c>
      <c r="J431">
        <v>415714994</v>
      </c>
      <c r="K431">
        <v>166782790</v>
      </c>
      <c r="L431">
        <v>18749712</v>
      </c>
      <c r="M431">
        <v>209107739</v>
      </c>
      <c r="N431">
        <v>275317699</v>
      </c>
      <c r="O431">
        <v>103266458</v>
      </c>
      <c r="P431">
        <v>52892</v>
      </c>
      <c r="Q431" t="s">
        <v>1031</v>
      </c>
    </row>
    <row r="432" spans="1:17" x14ac:dyDescent="0.3">
      <c r="A432" t="s">
        <v>17</v>
      </c>
      <c r="B432" t="str">
        <f>"601369"</f>
        <v>601369</v>
      </c>
      <c r="C432" t="s">
        <v>1032</v>
      </c>
      <c r="D432" t="s">
        <v>1033</v>
      </c>
      <c r="E432">
        <v>361696828</v>
      </c>
      <c r="F432">
        <v>529548098</v>
      </c>
      <c r="G432">
        <v>385596947</v>
      </c>
      <c r="H432">
        <v>439505646</v>
      </c>
      <c r="I432">
        <v>-105074446</v>
      </c>
      <c r="J432">
        <v>-235166856</v>
      </c>
      <c r="K432">
        <v>-151887307</v>
      </c>
      <c r="L432">
        <v>-419172020</v>
      </c>
      <c r="M432">
        <v>-159493552</v>
      </c>
      <c r="N432">
        <v>-398967419</v>
      </c>
      <c r="O432">
        <v>-42100379</v>
      </c>
      <c r="P432">
        <v>217</v>
      </c>
      <c r="Q432" t="s">
        <v>1034</v>
      </c>
    </row>
    <row r="433" spans="1:17" x14ac:dyDescent="0.3">
      <c r="A433" t="s">
        <v>17</v>
      </c>
      <c r="B433" t="str">
        <f>"603517"</f>
        <v>603517</v>
      </c>
      <c r="C433" t="s">
        <v>1035</v>
      </c>
      <c r="D433" t="s">
        <v>1036</v>
      </c>
      <c r="E433">
        <v>358234503</v>
      </c>
      <c r="F433">
        <v>350907421</v>
      </c>
      <c r="G433">
        <v>239222812</v>
      </c>
      <c r="H433">
        <v>183885011</v>
      </c>
      <c r="I433">
        <v>46749148</v>
      </c>
      <c r="J433">
        <v>251552064</v>
      </c>
      <c r="K433">
        <v>194870857</v>
      </c>
      <c r="P433">
        <v>2367</v>
      </c>
      <c r="Q433" t="s">
        <v>1037</v>
      </c>
    </row>
    <row r="434" spans="1:17" x14ac:dyDescent="0.3">
      <c r="A434" t="s">
        <v>17</v>
      </c>
      <c r="B434" t="str">
        <f>"688772"</f>
        <v>688772</v>
      </c>
      <c r="C434" t="s">
        <v>1038</v>
      </c>
      <c r="D434" t="s">
        <v>156</v>
      </c>
      <c r="E434">
        <v>358071468</v>
      </c>
      <c r="P434">
        <v>33</v>
      </c>
      <c r="Q434" t="s">
        <v>1039</v>
      </c>
    </row>
    <row r="435" spans="1:17" x14ac:dyDescent="0.3">
      <c r="A435" t="s">
        <v>33</v>
      </c>
      <c r="B435" t="str">
        <f>"300476"</f>
        <v>300476</v>
      </c>
      <c r="C435" t="s">
        <v>1040</v>
      </c>
      <c r="D435" t="s">
        <v>239</v>
      </c>
      <c r="E435">
        <v>356729451</v>
      </c>
      <c r="F435">
        <v>122335491</v>
      </c>
      <c r="G435">
        <v>350913944</v>
      </c>
      <c r="H435">
        <v>150785753</v>
      </c>
      <c r="I435">
        <v>70642752</v>
      </c>
      <c r="J435">
        <v>107806725</v>
      </c>
      <c r="K435">
        <v>94373397</v>
      </c>
      <c r="L435">
        <v>-26040000</v>
      </c>
      <c r="M435">
        <v>-5771500</v>
      </c>
      <c r="P435">
        <v>633</v>
      </c>
      <c r="Q435" t="s">
        <v>1041</v>
      </c>
    </row>
    <row r="436" spans="1:17" x14ac:dyDescent="0.3">
      <c r="A436" t="s">
        <v>33</v>
      </c>
      <c r="B436" t="str">
        <f>"200761"</f>
        <v>200761</v>
      </c>
      <c r="C436" t="s">
        <v>1042</v>
      </c>
      <c r="E436">
        <v>356694700.48199999</v>
      </c>
      <c r="F436">
        <v>-1144784028.8924999</v>
      </c>
      <c r="G436">
        <v>748468870.99800003</v>
      </c>
      <c r="H436">
        <v>3218014616.6745</v>
      </c>
      <c r="I436">
        <v>-11093820590.1845</v>
      </c>
      <c r="J436">
        <v>-3861527179.9341998</v>
      </c>
      <c r="K436">
        <v>3121566274.8573999</v>
      </c>
      <c r="L436">
        <v>751467228.75</v>
      </c>
      <c r="M436">
        <v>-1575524903.4751999</v>
      </c>
      <c r="N436">
        <v>-816231803.26259995</v>
      </c>
      <c r="O436">
        <v>715091513.50800002</v>
      </c>
      <c r="P436">
        <v>41</v>
      </c>
      <c r="Q436" t="s">
        <v>1043</v>
      </c>
    </row>
    <row r="437" spans="1:17" x14ac:dyDescent="0.3">
      <c r="A437" t="s">
        <v>33</v>
      </c>
      <c r="B437" t="str">
        <f>"002517"</f>
        <v>002517</v>
      </c>
      <c r="C437" t="s">
        <v>1044</v>
      </c>
      <c r="D437" t="s">
        <v>751</v>
      </c>
      <c r="E437">
        <v>356551692</v>
      </c>
      <c r="F437">
        <v>83531732</v>
      </c>
      <c r="G437">
        <v>138515981</v>
      </c>
      <c r="H437">
        <v>-3821219</v>
      </c>
      <c r="I437">
        <v>54411617</v>
      </c>
      <c r="J437">
        <v>163268021</v>
      </c>
      <c r="K437">
        <v>90756082</v>
      </c>
      <c r="L437">
        <v>21162626</v>
      </c>
      <c r="M437">
        <v>6978809</v>
      </c>
      <c r="N437">
        <v>-7341396</v>
      </c>
      <c r="O437">
        <v>17957213</v>
      </c>
      <c r="P437">
        <v>289</v>
      </c>
      <c r="Q437" t="s">
        <v>1045</v>
      </c>
    </row>
    <row r="438" spans="1:17" x14ac:dyDescent="0.3">
      <c r="A438" t="s">
        <v>33</v>
      </c>
      <c r="B438" t="str">
        <f>"002739"</f>
        <v>002739</v>
      </c>
      <c r="C438" t="s">
        <v>1046</v>
      </c>
      <c r="D438" t="s">
        <v>1047</v>
      </c>
      <c r="E438">
        <v>356147874</v>
      </c>
      <c r="F438">
        <v>1699430576</v>
      </c>
      <c r="G438">
        <v>128950575</v>
      </c>
      <c r="H438">
        <v>812737112</v>
      </c>
      <c r="I438">
        <v>863517613</v>
      </c>
      <c r="J438">
        <v>726690937</v>
      </c>
      <c r="K438">
        <v>664552297</v>
      </c>
      <c r="L438">
        <v>612939409</v>
      </c>
      <c r="M438">
        <v>417510960</v>
      </c>
      <c r="P438">
        <v>911</v>
      </c>
      <c r="Q438" t="s">
        <v>1048</v>
      </c>
    </row>
    <row r="439" spans="1:17" x14ac:dyDescent="0.3">
      <c r="A439" t="s">
        <v>33</v>
      </c>
      <c r="B439" t="str">
        <f>"000582"</f>
        <v>000582</v>
      </c>
      <c r="C439" t="s">
        <v>1049</v>
      </c>
      <c r="D439" t="s">
        <v>289</v>
      </c>
      <c r="E439">
        <v>355960508</v>
      </c>
      <c r="F439">
        <v>69947568</v>
      </c>
      <c r="G439">
        <v>125715279</v>
      </c>
      <c r="H439">
        <v>93744571</v>
      </c>
      <c r="I439">
        <v>194664699</v>
      </c>
      <c r="J439">
        <v>150463194</v>
      </c>
      <c r="K439">
        <v>196340361</v>
      </c>
      <c r="L439">
        <v>167394920</v>
      </c>
      <c r="M439">
        <v>154206568</v>
      </c>
      <c r="N439">
        <v>5192662</v>
      </c>
      <c r="O439">
        <v>6694249</v>
      </c>
      <c r="P439">
        <v>227</v>
      </c>
      <c r="Q439" t="s">
        <v>1050</v>
      </c>
    </row>
    <row r="440" spans="1:17" x14ac:dyDescent="0.3">
      <c r="A440" t="s">
        <v>33</v>
      </c>
      <c r="B440" t="str">
        <f>"002274"</f>
        <v>002274</v>
      </c>
      <c r="C440" t="s">
        <v>1051</v>
      </c>
      <c r="D440" t="s">
        <v>610</v>
      </c>
      <c r="E440">
        <v>355018024</v>
      </c>
      <c r="F440">
        <v>446488668</v>
      </c>
      <c r="G440">
        <v>-67782144</v>
      </c>
      <c r="H440">
        <v>15529669</v>
      </c>
      <c r="I440">
        <v>-71358286</v>
      </c>
      <c r="J440">
        <v>67282863</v>
      </c>
      <c r="K440">
        <v>-37851448</v>
      </c>
      <c r="L440">
        <v>88955888</v>
      </c>
      <c r="M440">
        <v>90706180</v>
      </c>
      <c r="N440">
        <v>2048887</v>
      </c>
      <c r="O440">
        <v>-67023672</v>
      </c>
      <c r="P440">
        <v>217</v>
      </c>
      <c r="Q440" t="s">
        <v>1052</v>
      </c>
    </row>
    <row r="441" spans="1:17" x14ac:dyDescent="0.3">
      <c r="A441" t="s">
        <v>17</v>
      </c>
      <c r="B441" t="str">
        <f>"601928"</f>
        <v>601928</v>
      </c>
      <c r="C441" t="s">
        <v>1053</v>
      </c>
      <c r="D441" t="s">
        <v>1054</v>
      </c>
      <c r="E441">
        <v>354617080</v>
      </c>
      <c r="F441">
        <v>508717660</v>
      </c>
      <c r="G441">
        <v>441665823</v>
      </c>
      <c r="H441">
        <v>697917915</v>
      </c>
      <c r="I441">
        <v>173384602</v>
      </c>
      <c r="J441">
        <v>382717952</v>
      </c>
      <c r="K441">
        <v>165389254</v>
      </c>
      <c r="L441">
        <v>-161013718</v>
      </c>
      <c r="M441">
        <v>88207748</v>
      </c>
      <c r="N441">
        <v>15063120</v>
      </c>
      <c r="O441">
        <v>140423460</v>
      </c>
      <c r="P441">
        <v>551</v>
      </c>
      <c r="Q441" t="s">
        <v>1055</v>
      </c>
    </row>
    <row r="442" spans="1:17" x14ac:dyDescent="0.3">
      <c r="A442" t="s">
        <v>33</v>
      </c>
      <c r="B442" t="str">
        <f>"002326"</f>
        <v>002326</v>
      </c>
      <c r="C442" t="s">
        <v>1056</v>
      </c>
      <c r="D442" t="s">
        <v>881</v>
      </c>
      <c r="E442">
        <v>354261294</v>
      </c>
      <c r="F442">
        <v>52914552</v>
      </c>
      <c r="G442">
        <v>21001861</v>
      </c>
      <c r="H442">
        <v>31294479</v>
      </c>
      <c r="I442">
        <v>33344</v>
      </c>
      <c r="J442">
        <v>-53111038</v>
      </c>
      <c r="K442">
        <v>84151680</v>
      </c>
      <c r="L442">
        <v>38344530</v>
      </c>
      <c r="M442">
        <v>93367464</v>
      </c>
      <c r="N442">
        <v>-57557620</v>
      </c>
      <c r="O442">
        <v>51301384</v>
      </c>
      <c r="P442">
        <v>298</v>
      </c>
      <c r="Q442" t="s">
        <v>1057</v>
      </c>
    </row>
    <row r="443" spans="1:17" x14ac:dyDescent="0.3">
      <c r="A443" t="s">
        <v>17</v>
      </c>
      <c r="B443" t="str">
        <f>"600746"</f>
        <v>600746</v>
      </c>
      <c r="C443" t="s">
        <v>1058</v>
      </c>
      <c r="D443" t="s">
        <v>301</v>
      </c>
      <c r="E443">
        <v>354075789</v>
      </c>
      <c r="F443">
        <v>426918733</v>
      </c>
      <c r="G443">
        <v>69411754</v>
      </c>
      <c r="H443">
        <v>42226932</v>
      </c>
      <c r="I443">
        <v>13306116</v>
      </c>
      <c r="J443">
        <v>89359196</v>
      </c>
      <c r="K443">
        <v>33022010</v>
      </c>
      <c r="L443">
        <v>10637679</v>
      </c>
      <c r="M443">
        <v>4757260</v>
      </c>
      <c r="N443">
        <v>15171066</v>
      </c>
      <c r="O443">
        <v>-5800500</v>
      </c>
      <c r="P443">
        <v>230</v>
      </c>
      <c r="Q443" t="s">
        <v>1059</v>
      </c>
    </row>
    <row r="444" spans="1:17" x14ac:dyDescent="0.3">
      <c r="A444" t="s">
        <v>17</v>
      </c>
      <c r="B444" t="str">
        <f>"600867"</f>
        <v>600867</v>
      </c>
      <c r="C444" t="s">
        <v>1060</v>
      </c>
      <c r="D444" t="s">
        <v>756</v>
      </c>
      <c r="E444">
        <v>353628439</v>
      </c>
      <c r="F444">
        <v>371302361</v>
      </c>
      <c r="G444">
        <v>357547827</v>
      </c>
      <c r="H444">
        <v>390885485</v>
      </c>
      <c r="I444">
        <v>169243950</v>
      </c>
      <c r="J444">
        <v>232792568</v>
      </c>
      <c r="K444">
        <v>118320660</v>
      </c>
      <c r="L444">
        <v>53478550</v>
      </c>
      <c r="M444">
        <v>101242968</v>
      </c>
      <c r="N444">
        <v>17787888</v>
      </c>
      <c r="O444">
        <v>12773042</v>
      </c>
      <c r="P444">
        <v>2948</v>
      </c>
      <c r="Q444" t="s">
        <v>1061</v>
      </c>
    </row>
    <row r="445" spans="1:17" x14ac:dyDescent="0.3">
      <c r="A445" t="s">
        <v>33</v>
      </c>
      <c r="B445" t="str">
        <f>"000631"</f>
        <v>000631</v>
      </c>
      <c r="C445" t="s">
        <v>1062</v>
      </c>
      <c r="D445" t="s">
        <v>167</v>
      </c>
      <c r="E445">
        <v>352986186</v>
      </c>
      <c r="F445">
        <v>244389641</v>
      </c>
      <c r="G445">
        <v>10452569</v>
      </c>
      <c r="H445">
        <v>-16781476</v>
      </c>
      <c r="I445">
        <v>86218927</v>
      </c>
      <c r="J445">
        <v>217428981</v>
      </c>
      <c r="K445">
        <v>669794083</v>
      </c>
      <c r="L445">
        <v>15307062</v>
      </c>
      <c r="M445">
        <v>-1138242189</v>
      </c>
      <c r="N445">
        <v>158940378</v>
      </c>
      <c r="O445">
        <v>91888608</v>
      </c>
      <c r="P445">
        <v>359</v>
      </c>
      <c r="Q445" t="s">
        <v>1063</v>
      </c>
    </row>
    <row r="446" spans="1:17" x14ac:dyDescent="0.3">
      <c r="A446" t="s">
        <v>17</v>
      </c>
      <c r="B446" t="str">
        <f>"600707"</f>
        <v>600707</v>
      </c>
      <c r="C446" t="s">
        <v>1064</v>
      </c>
      <c r="D446" t="s">
        <v>102</v>
      </c>
      <c r="E446">
        <v>352898056</v>
      </c>
      <c r="F446">
        <v>2088849405</v>
      </c>
      <c r="G446">
        <v>-134826815</v>
      </c>
      <c r="H446">
        <v>-260405705</v>
      </c>
      <c r="I446">
        <v>-169009896</v>
      </c>
      <c r="J446">
        <v>-1682326</v>
      </c>
      <c r="K446">
        <v>-21153210</v>
      </c>
      <c r="L446">
        <v>8539040</v>
      </c>
      <c r="M446">
        <v>-52974862</v>
      </c>
      <c r="N446">
        <v>-35166958</v>
      </c>
      <c r="O446">
        <v>40319277</v>
      </c>
      <c r="P446">
        <v>251</v>
      </c>
      <c r="Q446" t="s">
        <v>1065</v>
      </c>
    </row>
    <row r="447" spans="1:17" x14ac:dyDescent="0.3">
      <c r="A447" t="s">
        <v>33</v>
      </c>
      <c r="B447" t="str">
        <f>"000155"</f>
        <v>000155</v>
      </c>
      <c r="C447" t="s">
        <v>1066</v>
      </c>
      <c r="D447" t="s">
        <v>367</v>
      </c>
      <c r="E447">
        <v>352297098</v>
      </c>
      <c r="F447">
        <v>125891824</v>
      </c>
      <c r="G447">
        <v>114833791</v>
      </c>
      <c r="H447">
        <v>147907993</v>
      </c>
      <c r="I447">
        <v>44235231</v>
      </c>
      <c r="J447">
        <v>-62647357</v>
      </c>
      <c r="K447">
        <v>-61360965</v>
      </c>
      <c r="L447">
        <v>-13106209</v>
      </c>
      <c r="M447">
        <v>-46547442</v>
      </c>
      <c r="N447">
        <v>41522721</v>
      </c>
      <c r="O447">
        <v>-121494644</v>
      </c>
      <c r="P447">
        <v>309</v>
      </c>
      <c r="Q447" t="s">
        <v>1067</v>
      </c>
    </row>
    <row r="448" spans="1:17" x14ac:dyDescent="0.3">
      <c r="A448" t="s">
        <v>17</v>
      </c>
      <c r="B448" t="str">
        <f>"603787"</f>
        <v>603787</v>
      </c>
      <c r="C448" t="s">
        <v>1068</v>
      </c>
      <c r="D448" t="s">
        <v>1069</v>
      </c>
      <c r="E448">
        <v>351673041</v>
      </c>
      <c r="F448">
        <v>188277665</v>
      </c>
      <c r="G448">
        <v>-51736295</v>
      </c>
      <c r="H448">
        <v>-135680761</v>
      </c>
      <c r="I448">
        <v>59170543</v>
      </c>
      <c r="J448">
        <v>117628361</v>
      </c>
      <c r="K448">
        <v>65248</v>
      </c>
      <c r="P448">
        <v>103</v>
      </c>
      <c r="Q448" t="s">
        <v>1070</v>
      </c>
    </row>
    <row r="449" spans="1:17" x14ac:dyDescent="0.3">
      <c r="A449" t="s">
        <v>17</v>
      </c>
      <c r="B449" t="str">
        <f>"600389"</f>
        <v>600389</v>
      </c>
      <c r="C449" t="s">
        <v>1071</v>
      </c>
      <c r="D449" t="s">
        <v>636</v>
      </c>
      <c r="E449">
        <v>348590406</v>
      </c>
      <c r="F449">
        <v>-77762518</v>
      </c>
      <c r="G449">
        <v>-149158341</v>
      </c>
      <c r="H449">
        <v>-254290056</v>
      </c>
      <c r="I449">
        <v>4010296</v>
      </c>
      <c r="J449">
        <v>-147065113</v>
      </c>
      <c r="K449">
        <v>50081675</v>
      </c>
      <c r="L449">
        <v>-39443296</v>
      </c>
      <c r="M449">
        <v>64467001</v>
      </c>
      <c r="N449">
        <v>236054515</v>
      </c>
      <c r="O449">
        <v>2184702</v>
      </c>
      <c r="P449">
        <v>426</v>
      </c>
      <c r="Q449" t="s">
        <v>1072</v>
      </c>
    </row>
    <row r="450" spans="1:17" x14ac:dyDescent="0.3">
      <c r="A450" t="s">
        <v>33</v>
      </c>
      <c r="B450" t="str">
        <f>"300770"</f>
        <v>300770</v>
      </c>
      <c r="C450" t="s">
        <v>1073</v>
      </c>
      <c r="D450" t="s">
        <v>1074</v>
      </c>
      <c r="E450">
        <v>347358561</v>
      </c>
      <c r="F450">
        <v>357129162</v>
      </c>
      <c r="G450">
        <v>275649554</v>
      </c>
      <c r="H450">
        <v>122865793</v>
      </c>
      <c r="I450">
        <v>68928512</v>
      </c>
      <c r="P450">
        <v>632</v>
      </c>
      <c r="Q450" t="s">
        <v>1075</v>
      </c>
    </row>
    <row r="451" spans="1:17" x14ac:dyDescent="0.3">
      <c r="A451" t="s">
        <v>33</v>
      </c>
      <c r="B451" t="str">
        <f>"300002"</f>
        <v>300002</v>
      </c>
      <c r="C451" t="s">
        <v>1076</v>
      </c>
      <c r="D451" t="s">
        <v>751</v>
      </c>
      <c r="E451">
        <v>342901908</v>
      </c>
      <c r="F451">
        <v>79013637</v>
      </c>
      <c r="G451">
        <v>-54332248</v>
      </c>
      <c r="H451">
        <v>-49394093</v>
      </c>
      <c r="I451">
        <v>-27660588</v>
      </c>
      <c r="J451">
        <v>-88353928</v>
      </c>
      <c r="K451">
        <v>-137847908</v>
      </c>
      <c r="L451">
        <v>-129804435</v>
      </c>
      <c r="M451">
        <v>-222288053</v>
      </c>
      <c r="N451">
        <v>-9958146</v>
      </c>
      <c r="O451">
        <v>-126146253</v>
      </c>
      <c r="P451">
        <v>282</v>
      </c>
      <c r="Q451" t="s">
        <v>1077</v>
      </c>
    </row>
    <row r="452" spans="1:17" x14ac:dyDescent="0.3">
      <c r="A452" t="s">
        <v>33</v>
      </c>
      <c r="B452" t="str">
        <f>"000923"</f>
        <v>000923</v>
      </c>
      <c r="C452" t="s">
        <v>1078</v>
      </c>
      <c r="D452" t="s">
        <v>866</v>
      </c>
      <c r="E452">
        <v>342301269</v>
      </c>
      <c r="F452">
        <v>780968031</v>
      </c>
      <c r="G452">
        <v>191613753</v>
      </c>
      <c r="H452">
        <v>39264861</v>
      </c>
      <c r="I452">
        <v>26191412</v>
      </c>
      <c r="J452">
        <v>-91121099</v>
      </c>
      <c r="K452">
        <v>-4405309</v>
      </c>
      <c r="L452">
        <v>-17300847</v>
      </c>
      <c r="M452">
        <v>53266546</v>
      </c>
      <c r="N452">
        <v>-75941661</v>
      </c>
      <c r="O452">
        <v>-52099225</v>
      </c>
      <c r="P452">
        <v>224</v>
      </c>
      <c r="Q452" t="s">
        <v>1079</v>
      </c>
    </row>
    <row r="453" spans="1:17" x14ac:dyDescent="0.3">
      <c r="A453" t="s">
        <v>17</v>
      </c>
      <c r="B453" t="str">
        <f>"603605"</f>
        <v>603605</v>
      </c>
      <c r="C453" t="s">
        <v>1080</v>
      </c>
      <c r="D453" t="s">
        <v>810</v>
      </c>
      <c r="E453">
        <v>342107056</v>
      </c>
      <c r="F453">
        <v>55030969</v>
      </c>
      <c r="G453">
        <v>-134873267</v>
      </c>
      <c r="H453">
        <v>-41461462</v>
      </c>
      <c r="I453">
        <v>146461526</v>
      </c>
      <c r="J453">
        <v>100414542</v>
      </c>
      <c r="P453">
        <v>1725</v>
      </c>
      <c r="Q453" t="s">
        <v>1081</v>
      </c>
    </row>
    <row r="454" spans="1:17" x14ac:dyDescent="0.3">
      <c r="A454" t="s">
        <v>33</v>
      </c>
      <c r="B454" t="str">
        <f>"000061"</f>
        <v>000061</v>
      </c>
      <c r="C454" t="s">
        <v>1082</v>
      </c>
      <c r="D454" t="s">
        <v>394</v>
      </c>
      <c r="E454">
        <v>338747810</v>
      </c>
      <c r="F454">
        <v>117468705</v>
      </c>
      <c r="G454">
        <v>561746</v>
      </c>
      <c r="H454">
        <v>150580530</v>
      </c>
      <c r="I454">
        <v>139402488</v>
      </c>
      <c r="J454">
        <v>175691743</v>
      </c>
      <c r="K454">
        <v>59234478</v>
      </c>
      <c r="L454">
        <v>57956629</v>
      </c>
      <c r="M454">
        <v>226223789</v>
      </c>
      <c r="N454">
        <v>45402431</v>
      </c>
      <c r="O454">
        <v>-86185833</v>
      </c>
      <c r="P454">
        <v>209</v>
      </c>
      <c r="Q454" t="s">
        <v>1083</v>
      </c>
    </row>
    <row r="455" spans="1:17" x14ac:dyDescent="0.3">
      <c r="A455" t="s">
        <v>33</v>
      </c>
      <c r="B455" t="str">
        <f>"300724"</f>
        <v>300724</v>
      </c>
      <c r="C455" t="s">
        <v>1084</v>
      </c>
      <c r="D455" t="s">
        <v>715</v>
      </c>
      <c r="E455">
        <v>338576997</v>
      </c>
      <c r="F455">
        <v>297985291</v>
      </c>
      <c r="G455">
        <v>237299588</v>
      </c>
      <c r="H455">
        <v>-93982970</v>
      </c>
      <c r="I455">
        <v>29177122</v>
      </c>
      <c r="J455">
        <v>-18762293</v>
      </c>
      <c r="P455">
        <v>573</v>
      </c>
      <c r="Q455" t="s">
        <v>1085</v>
      </c>
    </row>
    <row r="456" spans="1:17" x14ac:dyDescent="0.3">
      <c r="A456" t="s">
        <v>33</v>
      </c>
      <c r="B456" t="str">
        <f>"000637"</f>
        <v>000637</v>
      </c>
      <c r="C456" t="s">
        <v>1086</v>
      </c>
      <c r="D456" t="s">
        <v>732</v>
      </c>
      <c r="E456">
        <v>337202401</v>
      </c>
      <c r="F456">
        <v>57674270</v>
      </c>
      <c r="G456">
        <v>-140473663</v>
      </c>
      <c r="H456">
        <v>19709532</v>
      </c>
      <c r="I456">
        <v>43977157</v>
      </c>
      <c r="J456">
        <v>-110943159</v>
      </c>
      <c r="K456">
        <v>100730602</v>
      </c>
      <c r="L456">
        <v>27985781</v>
      </c>
      <c r="M456">
        <v>32963070</v>
      </c>
      <c r="N456">
        <v>-30447761</v>
      </c>
      <c r="O456">
        <v>-75120964</v>
      </c>
      <c r="P456">
        <v>93</v>
      </c>
      <c r="Q456" t="s">
        <v>1087</v>
      </c>
    </row>
    <row r="457" spans="1:17" x14ac:dyDescent="0.3">
      <c r="A457" t="s">
        <v>17</v>
      </c>
      <c r="B457" t="str">
        <f>"600531"</f>
        <v>600531</v>
      </c>
      <c r="C457" t="s">
        <v>1088</v>
      </c>
      <c r="D457" t="s">
        <v>702</v>
      </c>
      <c r="E457">
        <v>335558958</v>
      </c>
      <c r="F457">
        <v>-764480441</v>
      </c>
      <c r="G457">
        <v>26222580</v>
      </c>
      <c r="H457">
        <v>30322763</v>
      </c>
      <c r="I457">
        <v>1476508</v>
      </c>
      <c r="J457">
        <v>-579081547</v>
      </c>
      <c r="K457">
        <v>357633389</v>
      </c>
      <c r="L457">
        <v>511620780</v>
      </c>
      <c r="M457">
        <v>-509896609</v>
      </c>
      <c r="N457">
        <v>129966573</v>
      </c>
      <c r="O457">
        <v>633465874</v>
      </c>
      <c r="P457">
        <v>148</v>
      </c>
      <c r="Q457" t="s">
        <v>1089</v>
      </c>
    </row>
    <row r="458" spans="1:17" x14ac:dyDescent="0.3">
      <c r="A458" t="s">
        <v>33</v>
      </c>
      <c r="B458" t="str">
        <f>"002176"</f>
        <v>002176</v>
      </c>
      <c r="C458" t="s">
        <v>1090</v>
      </c>
      <c r="D458" t="s">
        <v>1091</v>
      </c>
      <c r="E458">
        <v>335534706</v>
      </c>
      <c r="F458">
        <v>-76856292</v>
      </c>
      <c r="G458">
        <v>129814907</v>
      </c>
      <c r="H458">
        <v>-395315862</v>
      </c>
      <c r="I458">
        <v>-367630300</v>
      </c>
      <c r="J458">
        <v>-275432850</v>
      </c>
      <c r="K458">
        <v>-168347235</v>
      </c>
      <c r="L458">
        <v>-38305460</v>
      </c>
      <c r="M458">
        <v>-21284050</v>
      </c>
      <c r="N458">
        <v>-7648449</v>
      </c>
      <c r="O458">
        <v>-54972386</v>
      </c>
      <c r="P458">
        <v>317</v>
      </c>
      <c r="Q458" t="s">
        <v>1092</v>
      </c>
    </row>
    <row r="459" spans="1:17" x14ac:dyDescent="0.3">
      <c r="A459" t="s">
        <v>17</v>
      </c>
      <c r="B459" t="str">
        <f>"600982"</f>
        <v>600982</v>
      </c>
      <c r="C459" t="s">
        <v>1093</v>
      </c>
      <c r="D459" t="s">
        <v>1094</v>
      </c>
      <c r="E459">
        <v>334587446</v>
      </c>
      <c r="F459">
        <v>162033886</v>
      </c>
      <c r="G459">
        <v>235424040</v>
      </c>
      <c r="H459">
        <v>1629937</v>
      </c>
      <c r="I459">
        <v>-8490654</v>
      </c>
      <c r="J459">
        <v>-3037135</v>
      </c>
      <c r="K459">
        <v>-190494309</v>
      </c>
      <c r="L459">
        <v>-41292473</v>
      </c>
      <c r="M459">
        <v>14129241</v>
      </c>
      <c r="N459">
        <v>79894776</v>
      </c>
      <c r="O459">
        <v>6931534</v>
      </c>
      <c r="P459">
        <v>135</v>
      </c>
      <c r="Q459" t="s">
        <v>1095</v>
      </c>
    </row>
    <row r="460" spans="1:17" x14ac:dyDescent="0.3">
      <c r="A460" t="s">
        <v>33</v>
      </c>
      <c r="B460" t="str">
        <f>"300363"</f>
        <v>300363</v>
      </c>
      <c r="C460" t="s">
        <v>1096</v>
      </c>
      <c r="D460" t="s">
        <v>846</v>
      </c>
      <c r="E460">
        <v>334267822</v>
      </c>
      <c r="F460">
        <v>35593516</v>
      </c>
      <c r="G460">
        <v>100608445</v>
      </c>
      <c r="H460">
        <v>10737155</v>
      </c>
      <c r="I460">
        <v>30739794</v>
      </c>
      <c r="J460">
        <v>152077211</v>
      </c>
      <c r="K460">
        <v>39585329</v>
      </c>
      <c r="L460">
        <v>165885607</v>
      </c>
      <c r="M460">
        <v>-15715312</v>
      </c>
      <c r="N460">
        <v>56437586</v>
      </c>
      <c r="P460">
        <v>542</v>
      </c>
      <c r="Q460" t="s">
        <v>1097</v>
      </c>
    </row>
    <row r="461" spans="1:17" x14ac:dyDescent="0.3">
      <c r="A461" t="s">
        <v>33</v>
      </c>
      <c r="B461" t="str">
        <f>"000612"</f>
        <v>000612</v>
      </c>
      <c r="C461" t="s">
        <v>1098</v>
      </c>
      <c r="D461" t="s">
        <v>140</v>
      </c>
      <c r="E461">
        <v>332701231</v>
      </c>
      <c r="F461">
        <v>590860192</v>
      </c>
      <c r="G461">
        <v>278991896</v>
      </c>
      <c r="H461">
        <v>22382479</v>
      </c>
      <c r="I461">
        <v>102270228</v>
      </c>
      <c r="J461">
        <v>-128749229</v>
      </c>
      <c r="K461">
        <v>39416077</v>
      </c>
      <c r="L461">
        <v>-317303805</v>
      </c>
      <c r="M461">
        <v>-22120513</v>
      </c>
      <c r="N461">
        <v>-91057737</v>
      </c>
      <c r="O461">
        <v>21116725</v>
      </c>
      <c r="P461">
        <v>199</v>
      </c>
      <c r="Q461" t="s">
        <v>1099</v>
      </c>
    </row>
    <row r="462" spans="1:17" x14ac:dyDescent="0.3">
      <c r="A462" t="s">
        <v>17</v>
      </c>
      <c r="B462" t="str">
        <f>"600035"</f>
        <v>600035</v>
      </c>
      <c r="C462" t="s">
        <v>1100</v>
      </c>
      <c r="D462" t="s">
        <v>458</v>
      </c>
      <c r="E462">
        <v>331949479</v>
      </c>
      <c r="F462">
        <v>283811392</v>
      </c>
      <c r="G462">
        <v>158412870</v>
      </c>
      <c r="H462">
        <v>213480094</v>
      </c>
      <c r="I462">
        <v>105960221</v>
      </c>
      <c r="J462">
        <v>278020319</v>
      </c>
      <c r="K462">
        <v>242496020</v>
      </c>
      <c r="L462">
        <v>212042216</v>
      </c>
      <c r="M462">
        <v>175325000</v>
      </c>
      <c r="N462">
        <v>171002870</v>
      </c>
      <c r="O462">
        <v>202226546</v>
      </c>
      <c r="P462">
        <v>290</v>
      </c>
      <c r="Q462" t="s">
        <v>1101</v>
      </c>
    </row>
    <row r="463" spans="1:17" x14ac:dyDescent="0.3">
      <c r="A463" t="s">
        <v>33</v>
      </c>
      <c r="B463" t="str">
        <f>"002950"</f>
        <v>002950</v>
      </c>
      <c r="C463" t="s">
        <v>1102</v>
      </c>
      <c r="D463" t="s">
        <v>903</v>
      </c>
      <c r="E463">
        <v>330956749</v>
      </c>
      <c r="F463">
        <v>13427441</v>
      </c>
      <c r="G463">
        <v>351379372</v>
      </c>
      <c r="H463">
        <v>-71619471</v>
      </c>
      <c r="I463">
        <v>-34842152</v>
      </c>
      <c r="P463">
        <v>1080</v>
      </c>
      <c r="Q463" t="s">
        <v>1103</v>
      </c>
    </row>
    <row r="464" spans="1:17" x14ac:dyDescent="0.3">
      <c r="A464" t="s">
        <v>17</v>
      </c>
      <c r="B464" t="str">
        <f>"600888"</f>
        <v>600888</v>
      </c>
      <c r="C464" t="s">
        <v>1104</v>
      </c>
      <c r="D464" t="s">
        <v>140</v>
      </c>
      <c r="E464">
        <v>329063874</v>
      </c>
      <c r="F464">
        <v>96770424</v>
      </c>
      <c r="G464">
        <v>76241046</v>
      </c>
      <c r="H464">
        <v>-60160835</v>
      </c>
      <c r="I464">
        <v>184179751</v>
      </c>
      <c r="J464">
        <v>-840577988</v>
      </c>
      <c r="K464">
        <v>-579047981</v>
      </c>
      <c r="L464">
        <v>-634394897</v>
      </c>
      <c r="M464">
        <v>-253899115</v>
      </c>
      <c r="N464">
        <v>-171345642</v>
      </c>
      <c r="O464">
        <v>-43156494</v>
      </c>
      <c r="P464">
        <v>183</v>
      </c>
      <c r="Q464" t="s">
        <v>1105</v>
      </c>
    </row>
    <row r="465" spans="1:17" x14ac:dyDescent="0.3">
      <c r="A465" t="s">
        <v>17</v>
      </c>
      <c r="B465" t="str">
        <f>"600121"</f>
        <v>600121</v>
      </c>
      <c r="C465" t="s">
        <v>1106</v>
      </c>
      <c r="D465" t="s">
        <v>77</v>
      </c>
      <c r="E465">
        <v>328891591</v>
      </c>
      <c r="F465">
        <v>-153064098</v>
      </c>
      <c r="G465">
        <v>-557373666</v>
      </c>
      <c r="H465">
        <v>26246441</v>
      </c>
      <c r="I465">
        <v>66291675</v>
      </c>
      <c r="J465">
        <v>16344102</v>
      </c>
      <c r="K465">
        <v>-198225933</v>
      </c>
      <c r="L465">
        <v>-440144338</v>
      </c>
      <c r="M465">
        <v>-96366697</v>
      </c>
      <c r="N465">
        <v>-215877119</v>
      </c>
      <c r="O465">
        <v>-225988553</v>
      </c>
      <c r="P465">
        <v>180</v>
      </c>
      <c r="Q465" t="s">
        <v>1107</v>
      </c>
    </row>
    <row r="466" spans="1:17" x14ac:dyDescent="0.3">
      <c r="A466" t="s">
        <v>17</v>
      </c>
      <c r="B466" t="str">
        <f>"603444"</f>
        <v>603444</v>
      </c>
      <c r="C466" t="s">
        <v>1108</v>
      </c>
      <c r="D466" t="s">
        <v>751</v>
      </c>
      <c r="E466">
        <v>327911346</v>
      </c>
      <c r="F466">
        <v>327582010</v>
      </c>
      <c r="G466">
        <v>364392864</v>
      </c>
      <c r="H466">
        <v>221637597</v>
      </c>
      <c r="I466">
        <v>136503210</v>
      </c>
      <c r="J466">
        <v>111907727</v>
      </c>
      <c r="K466">
        <v>50196407</v>
      </c>
      <c r="P466">
        <v>4237</v>
      </c>
      <c r="Q466" t="s">
        <v>1109</v>
      </c>
    </row>
    <row r="467" spans="1:17" x14ac:dyDescent="0.3">
      <c r="A467" t="s">
        <v>17</v>
      </c>
      <c r="B467" t="str">
        <f>"600732"</f>
        <v>600732</v>
      </c>
      <c r="C467" t="s">
        <v>1110</v>
      </c>
      <c r="D467" t="s">
        <v>690</v>
      </c>
      <c r="E467">
        <v>327283300</v>
      </c>
      <c r="F467">
        <v>-871687849</v>
      </c>
      <c r="G467">
        <v>50400623</v>
      </c>
      <c r="H467">
        <v>17615760</v>
      </c>
      <c r="I467">
        <v>-1295531</v>
      </c>
      <c r="J467">
        <v>-4064210</v>
      </c>
      <c r="K467">
        <v>8007865</v>
      </c>
      <c r="L467">
        <v>-19532410</v>
      </c>
      <c r="M467">
        <v>5234558</v>
      </c>
      <c r="N467">
        <v>-85714297</v>
      </c>
      <c r="O467">
        <v>-28324269</v>
      </c>
      <c r="P467">
        <v>357</v>
      </c>
      <c r="Q467" t="s">
        <v>1111</v>
      </c>
    </row>
    <row r="468" spans="1:17" x14ac:dyDescent="0.3">
      <c r="A468" t="s">
        <v>33</v>
      </c>
      <c r="B468" t="str">
        <f>"000759"</f>
        <v>000759</v>
      </c>
      <c r="C468" t="s">
        <v>1112</v>
      </c>
      <c r="D468" t="s">
        <v>279</v>
      </c>
      <c r="E468">
        <v>324781161</v>
      </c>
      <c r="F468">
        <v>508650054</v>
      </c>
      <c r="G468">
        <v>1492131624</v>
      </c>
      <c r="H468">
        <v>434713177</v>
      </c>
      <c r="I468">
        <v>594295841</v>
      </c>
      <c r="J468">
        <v>407585203</v>
      </c>
      <c r="K468">
        <v>550270320</v>
      </c>
      <c r="L468">
        <v>194137063</v>
      </c>
      <c r="M468">
        <v>489204761</v>
      </c>
      <c r="N468">
        <v>283034140</v>
      </c>
      <c r="O468">
        <v>268631455</v>
      </c>
      <c r="P468">
        <v>153</v>
      </c>
      <c r="Q468" t="s">
        <v>1113</v>
      </c>
    </row>
    <row r="469" spans="1:17" x14ac:dyDescent="0.3">
      <c r="A469" t="s">
        <v>17</v>
      </c>
      <c r="B469" t="str">
        <f>"600858"</f>
        <v>600858</v>
      </c>
      <c r="C469" t="s">
        <v>1114</v>
      </c>
      <c r="D469" t="s">
        <v>526</v>
      </c>
      <c r="E469">
        <v>320050873</v>
      </c>
      <c r="F469">
        <v>925055158</v>
      </c>
      <c r="G469">
        <v>237696689</v>
      </c>
      <c r="H469">
        <v>910146301</v>
      </c>
      <c r="I469">
        <v>330347774</v>
      </c>
      <c r="J469">
        <v>117949297</v>
      </c>
      <c r="K469">
        <v>20127532</v>
      </c>
      <c r="L469">
        <v>-341108466</v>
      </c>
      <c r="M469">
        <v>545688173</v>
      </c>
      <c r="N469">
        <v>68762298</v>
      </c>
      <c r="O469">
        <v>-111697245</v>
      </c>
      <c r="P469">
        <v>91</v>
      </c>
      <c r="Q469" t="s">
        <v>1115</v>
      </c>
    </row>
    <row r="470" spans="1:17" x14ac:dyDescent="0.3">
      <c r="A470" t="s">
        <v>33</v>
      </c>
      <c r="B470" t="str">
        <f>"300842"</f>
        <v>300842</v>
      </c>
      <c r="C470" t="s">
        <v>1116</v>
      </c>
      <c r="D470" t="s">
        <v>800</v>
      </c>
      <c r="E470">
        <v>319671947</v>
      </c>
      <c r="F470">
        <v>-160654259</v>
      </c>
      <c r="G470">
        <v>-139597234</v>
      </c>
      <c r="H470">
        <v>28870935</v>
      </c>
      <c r="P470">
        <v>130</v>
      </c>
      <c r="Q470" t="s">
        <v>1117</v>
      </c>
    </row>
    <row r="471" spans="1:17" x14ac:dyDescent="0.3">
      <c r="A471" t="s">
        <v>17</v>
      </c>
      <c r="B471" t="str">
        <f>"600433"</f>
        <v>600433</v>
      </c>
      <c r="C471" t="s">
        <v>1118</v>
      </c>
      <c r="D471" t="s">
        <v>1119</v>
      </c>
      <c r="E471">
        <v>317857945</v>
      </c>
      <c r="F471">
        <v>19705181</v>
      </c>
      <c r="G471">
        <v>51311901</v>
      </c>
      <c r="H471">
        <v>-7693176</v>
      </c>
      <c r="I471">
        <v>33859933</v>
      </c>
      <c r="J471">
        <v>46053631</v>
      </c>
      <c r="K471">
        <v>-96555256</v>
      </c>
      <c r="L471">
        <v>-31958107</v>
      </c>
      <c r="M471">
        <v>-22389938</v>
      </c>
      <c r="N471">
        <v>-9360008</v>
      </c>
      <c r="O471">
        <v>-40677191</v>
      </c>
      <c r="P471">
        <v>105</v>
      </c>
      <c r="Q471" t="s">
        <v>1120</v>
      </c>
    </row>
    <row r="472" spans="1:17" x14ac:dyDescent="0.3">
      <c r="A472" t="s">
        <v>33</v>
      </c>
      <c r="B472" t="str">
        <f>"000868"</f>
        <v>000868</v>
      </c>
      <c r="C472" t="s">
        <v>1121</v>
      </c>
      <c r="D472" t="s">
        <v>1122</v>
      </c>
      <c r="E472">
        <v>315302371</v>
      </c>
      <c r="F472">
        <v>12069937</v>
      </c>
      <c r="G472">
        <v>-210752256</v>
      </c>
      <c r="H472">
        <v>392669117</v>
      </c>
      <c r="I472">
        <v>-595022222</v>
      </c>
      <c r="J472">
        <v>-253472295</v>
      </c>
      <c r="K472">
        <v>-506145153</v>
      </c>
      <c r="L472">
        <v>-521563434</v>
      </c>
      <c r="M472">
        <v>-333206858</v>
      </c>
      <c r="N472">
        <v>-85924638</v>
      </c>
      <c r="O472">
        <v>-356084958</v>
      </c>
      <c r="P472">
        <v>171</v>
      </c>
      <c r="Q472" t="s">
        <v>1123</v>
      </c>
    </row>
    <row r="473" spans="1:17" x14ac:dyDescent="0.3">
      <c r="A473" t="s">
        <v>33</v>
      </c>
      <c r="B473" t="str">
        <f>"300242"</f>
        <v>300242</v>
      </c>
      <c r="C473" t="s">
        <v>1124</v>
      </c>
      <c r="D473" t="s">
        <v>1125</v>
      </c>
      <c r="E473">
        <v>315097281</v>
      </c>
      <c r="F473">
        <v>-158454415</v>
      </c>
      <c r="G473">
        <v>-74886404</v>
      </c>
      <c r="H473">
        <v>123743967</v>
      </c>
      <c r="I473">
        <v>7210664</v>
      </c>
      <c r="J473">
        <v>-35675440</v>
      </c>
      <c r="K473">
        <v>-61196960</v>
      </c>
      <c r="L473">
        <v>-17127973</v>
      </c>
      <c r="M473">
        <v>-9951470</v>
      </c>
      <c r="N473">
        <v>-14221142</v>
      </c>
      <c r="O473">
        <v>-9519720</v>
      </c>
      <c r="P473">
        <v>95</v>
      </c>
      <c r="Q473" t="s">
        <v>1126</v>
      </c>
    </row>
    <row r="474" spans="1:17" x14ac:dyDescent="0.3">
      <c r="A474" t="s">
        <v>17</v>
      </c>
      <c r="B474" t="str">
        <f>"601339"</f>
        <v>601339</v>
      </c>
      <c r="C474" t="s">
        <v>1127</v>
      </c>
      <c r="D474" t="s">
        <v>693</v>
      </c>
      <c r="E474">
        <v>315010430</v>
      </c>
      <c r="F474">
        <v>389366303</v>
      </c>
      <c r="G474">
        <v>86902186</v>
      </c>
      <c r="H474">
        <v>-353343604</v>
      </c>
      <c r="I474">
        <v>-126694962</v>
      </c>
      <c r="J474">
        <v>-402421137</v>
      </c>
      <c r="K474">
        <v>-70496674</v>
      </c>
      <c r="L474">
        <v>-256277724</v>
      </c>
      <c r="M474">
        <v>-117279753</v>
      </c>
      <c r="N474">
        <v>-368008102</v>
      </c>
      <c r="O474">
        <v>3707995</v>
      </c>
      <c r="P474">
        <v>207</v>
      </c>
      <c r="Q474" t="s">
        <v>1128</v>
      </c>
    </row>
    <row r="475" spans="1:17" x14ac:dyDescent="0.3">
      <c r="A475" t="s">
        <v>33</v>
      </c>
      <c r="B475" t="str">
        <f>"300418"</f>
        <v>300418</v>
      </c>
      <c r="C475" t="s">
        <v>1129</v>
      </c>
      <c r="D475" t="s">
        <v>751</v>
      </c>
      <c r="E475">
        <v>315006190</v>
      </c>
      <c r="F475">
        <v>127541546</v>
      </c>
      <c r="G475">
        <v>379031689</v>
      </c>
      <c r="H475">
        <v>170159731</v>
      </c>
      <c r="I475">
        <v>-151746957</v>
      </c>
      <c r="J475">
        <v>50025574</v>
      </c>
      <c r="K475">
        <v>21934147</v>
      </c>
      <c r="L475">
        <v>-139806389</v>
      </c>
      <c r="M475">
        <v>101193537</v>
      </c>
      <c r="P475">
        <v>17528</v>
      </c>
      <c r="Q475" t="s">
        <v>1130</v>
      </c>
    </row>
    <row r="476" spans="1:17" x14ac:dyDescent="0.3">
      <c r="A476" t="s">
        <v>17</v>
      </c>
      <c r="B476" t="str">
        <f>"601717"</f>
        <v>601717</v>
      </c>
      <c r="C476" t="s">
        <v>1131</v>
      </c>
      <c r="D476" t="s">
        <v>1132</v>
      </c>
      <c r="E476">
        <v>312070297</v>
      </c>
      <c r="F476">
        <v>212287831</v>
      </c>
      <c r="G476">
        <v>-19571089</v>
      </c>
      <c r="H476">
        <v>216669314</v>
      </c>
      <c r="I476">
        <v>86705421</v>
      </c>
      <c r="J476">
        <v>502745729</v>
      </c>
      <c r="K476">
        <v>218580076</v>
      </c>
      <c r="L476">
        <v>190688591</v>
      </c>
      <c r="M476">
        <v>-66427216</v>
      </c>
      <c r="N476">
        <v>-253634573</v>
      </c>
      <c r="O476">
        <v>-47045976</v>
      </c>
      <c r="P476">
        <v>318</v>
      </c>
      <c r="Q476" t="s">
        <v>1133</v>
      </c>
    </row>
    <row r="477" spans="1:17" x14ac:dyDescent="0.3">
      <c r="A477" t="s">
        <v>17</v>
      </c>
      <c r="B477" t="str">
        <f>"600340"</f>
        <v>600340</v>
      </c>
      <c r="C477" t="s">
        <v>1134</v>
      </c>
      <c r="D477" t="s">
        <v>1135</v>
      </c>
      <c r="E477">
        <v>311911925</v>
      </c>
      <c r="F477">
        <v>-2565929233</v>
      </c>
      <c r="G477">
        <v>-12511801287</v>
      </c>
      <c r="H477">
        <v>-15453734796</v>
      </c>
      <c r="I477">
        <v>-9603397963</v>
      </c>
      <c r="J477">
        <v>-2414916039</v>
      </c>
      <c r="K477">
        <v>-3779431653</v>
      </c>
      <c r="L477">
        <v>-1573058266</v>
      </c>
      <c r="M477">
        <v>-1885483246</v>
      </c>
      <c r="N477">
        <v>-404484866</v>
      </c>
      <c r="O477">
        <v>100836694</v>
      </c>
      <c r="P477">
        <v>22451</v>
      </c>
      <c r="Q477" t="s">
        <v>1136</v>
      </c>
    </row>
    <row r="478" spans="1:17" x14ac:dyDescent="0.3">
      <c r="A478" t="s">
        <v>17</v>
      </c>
      <c r="B478" t="str">
        <f>"601921"</f>
        <v>601921</v>
      </c>
      <c r="C478" t="s">
        <v>1137</v>
      </c>
      <c r="D478" t="s">
        <v>1054</v>
      </c>
      <c r="E478">
        <v>311578083</v>
      </c>
      <c r="F478">
        <v>564052679</v>
      </c>
      <c r="G478">
        <v>122932264</v>
      </c>
      <c r="P478">
        <v>28</v>
      </c>
      <c r="Q478" t="s">
        <v>1138</v>
      </c>
    </row>
    <row r="479" spans="1:17" x14ac:dyDescent="0.3">
      <c r="A479" t="s">
        <v>17</v>
      </c>
      <c r="B479" t="str">
        <f>"600780"</f>
        <v>600780</v>
      </c>
      <c r="C479" t="s">
        <v>1139</v>
      </c>
      <c r="D479" t="s">
        <v>145</v>
      </c>
      <c r="E479">
        <v>309818603</v>
      </c>
      <c r="F479">
        <v>314411181</v>
      </c>
      <c r="G479">
        <v>313499770</v>
      </c>
      <c r="H479">
        <v>336455444</v>
      </c>
      <c r="I479">
        <v>416053312</v>
      </c>
      <c r="J479">
        <v>194618893</v>
      </c>
      <c r="K479">
        <v>423116376</v>
      </c>
      <c r="L479">
        <v>181484823</v>
      </c>
      <c r="M479">
        <v>231489988</v>
      </c>
      <c r="N479">
        <v>387244877</v>
      </c>
      <c r="O479">
        <v>179964029</v>
      </c>
      <c r="P479">
        <v>108</v>
      </c>
      <c r="Q479" t="s">
        <v>1140</v>
      </c>
    </row>
    <row r="480" spans="1:17" x14ac:dyDescent="0.3">
      <c r="A480" t="s">
        <v>17</v>
      </c>
      <c r="B480" t="str">
        <f>"603666"</f>
        <v>603666</v>
      </c>
      <c r="C480" t="s">
        <v>1141</v>
      </c>
      <c r="D480" t="s">
        <v>1142</v>
      </c>
      <c r="E480">
        <v>309008789</v>
      </c>
      <c r="F480">
        <v>158032956</v>
      </c>
      <c r="G480">
        <v>20456528</v>
      </c>
      <c r="H480">
        <v>-43922744</v>
      </c>
      <c r="I480">
        <v>14012066</v>
      </c>
      <c r="J480">
        <v>-70704484</v>
      </c>
      <c r="P480">
        <v>449</v>
      </c>
      <c r="Q480" t="s">
        <v>1143</v>
      </c>
    </row>
    <row r="481" spans="1:17" x14ac:dyDescent="0.3">
      <c r="A481" t="s">
        <v>33</v>
      </c>
      <c r="B481" t="str">
        <f>"000552"</f>
        <v>000552</v>
      </c>
      <c r="C481" t="s">
        <v>1144</v>
      </c>
      <c r="D481" t="s">
        <v>77</v>
      </c>
      <c r="E481">
        <v>308794340</v>
      </c>
      <c r="F481">
        <v>-47912624</v>
      </c>
      <c r="G481">
        <v>207741402</v>
      </c>
      <c r="H481">
        <v>-44878778</v>
      </c>
      <c r="I481">
        <v>158572061</v>
      </c>
      <c r="J481">
        <v>108501472</v>
      </c>
      <c r="K481">
        <v>4554405</v>
      </c>
      <c r="L481">
        <v>-259413044</v>
      </c>
      <c r="M481">
        <v>-249171665</v>
      </c>
      <c r="N481">
        <v>104795496</v>
      </c>
      <c r="O481">
        <v>133348611</v>
      </c>
      <c r="P481">
        <v>263</v>
      </c>
      <c r="Q481" t="s">
        <v>1145</v>
      </c>
    </row>
    <row r="482" spans="1:17" x14ac:dyDescent="0.3">
      <c r="A482" t="s">
        <v>33</v>
      </c>
      <c r="B482" t="str">
        <f>"001896"</f>
        <v>001896</v>
      </c>
      <c r="C482" t="s">
        <v>1146</v>
      </c>
      <c r="D482" t="s">
        <v>145</v>
      </c>
      <c r="E482">
        <v>308371199</v>
      </c>
      <c r="F482">
        <v>707050990</v>
      </c>
      <c r="G482">
        <v>485268007</v>
      </c>
      <c r="H482">
        <v>491977228</v>
      </c>
      <c r="I482">
        <v>60803732</v>
      </c>
      <c r="J482">
        <v>93906963</v>
      </c>
      <c r="K482">
        <v>456528733</v>
      </c>
      <c r="L482">
        <v>245670544</v>
      </c>
      <c r="M482">
        <v>451523538</v>
      </c>
      <c r="N482">
        <v>256739436</v>
      </c>
      <c r="O482">
        <v>253052065</v>
      </c>
      <c r="P482">
        <v>202</v>
      </c>
      <c r="Q482" t="s">
        <v>1147</v>
      </c>
    </row>
    <row r="483" spans="1:17" x14ac:dyDescent="0.3">
      <c r="A483" t="s">
        <v>33</v>
      </c>
      <c r="B483" t="str">
        <f>"000762"</f>
        <v>000762</v>
      </c>
      <c r="C483" t="s">
        <v>1148</v>
      </c>
      <c r="D483" t="s">
        <v>212</v>
      </c>
      <c r="E483">
        <v>307060922</v>
      </c>
      <c r="F483">
        <v>108531384</v>
      </c>
      <c r="G483">
        <v>8631350</v>
      </c>
      <c r="H483">
        <v>-699213</v>
      </c>
      <c r="I483">
        <v>-7603176</v>
      </c>
      <c r="J483">
        <v>-109320736</v>
      </c>
      <c r="K483">
        <v>57287040</v>
      </c>
      <c r="L483">
        <v>31437229</v>
      </c>
      <c r="M483">
        <v>-21370239</v>
      </c>
      <c r="N483">
        <v>-62567214</v>
      </c>
      <c r="O483">
        <v>-32925450</v>
      </c>
      <c r="P483">
        <v>257</v>
      </c>
      <c r="Q483" t="s">
        <v>1149</v>
      </c>
    </row>
    <row r="484" spans="1:17" x14ac:dyDescent="0.3">
      <c r="A484" t="s">
        <v>33</v>
      </c>
      <c r="B484" t="str">
        <f>"000731"</f>
        <v>000731</v>
      </c>
      <c r="C484" t="s">
        <v>1150</v>
      </c>
      <c r="D484" t="s">
        <v>900</v>
      </c>
      <c r="E484">
        <v>306947953</v>
      </c>
      <c r="F484">
        <v>15008822</v>
      </c>
      <c r="G484">
        <v>-102565422</v>
      </c>
      <c r="H484">
        <v>80251981</v>
      </c>
      <c r="I484">
        <v>-23556309</v>
      </c>
      <c r="J484">
        <v>-56826006</v>
      </c>
      <c r="K484">
        <v>-16767369</v>
      </c>
      <c r="L484">
        <v>-51855160</v>
      </c>
      <c r="M484">
        <v>-82944202</v>
      </c>
      <c r="N484">
        <v>-154286214</v>
      </c>
      <c r="O484">
        <v>67938509</v>
      </c>
      <c r="P484">
        <v>127</v>
      </c>
      <c r="Q484" t="s">
        <v>1151</v>
      </c>
    </row>
    <row r="485" spans="1:17" x14ac:dyDescent="0.3">
      <c r="A485" t="s">
        <v>33</v>
      </c>
      <c r="B485" t="str">
        <f>"001965"</f>
        <v>001965</v>
      </c>
      <c r="C485" t="s">
        <v>1152</v>
      </c>
      <c r="D485" t="s">
        <v>458</v>
      </c>
      <c r="E485">
        <v>303383572</v>
      </c>
      <c r="F485">
        <v>741095571</v>
      </c>
      <c r="G485">
        <v>249577993</v>
      </c>
      <c r="H485">
        <v>721975584</v>
      </c>
      <c r="I485">
        <v>72705022</v>
      </c>
      <c r="J485">
        <v>548619456</v>
      </c>
      <c r="P485">
        <v>359</v>
      </c>
      <c r="Q485" t="s">
        <v>1153</v>
      </c>
    </row>
    <row r="486" spans="1:17" x14ac:dyDescent="0.3">
      <c r="A486" t="s">
        <v>33</v>
      </c>
      <c r="B486" t="str">
        <f>"300347"</f>
        <v>300347</v>
      </c>
      <c r="C486" t="s">
        <v>1154</v>
      </c>
      <c r="D486" t="s">
        <v>846</v>
      </c>
      <c r="E486">
        <v>303078663</v>
      </c>
      <c r="F486">
        <v>238339758</v>
      </c>
      <c r="G486">
        <v>88916058</v>
      </c>
      <c r="H486">
        <v>51154596</v>
      </c>
      <c r="I486">
        <v>85686214</v>
      </c>
      <c r="J486">
        <v>88989021</v>
      </c>
      <c r="K486">
        <v>-24225003</v>
      </c>
      <c r="L486">
        <v>26193083</v>
      </c>
      <c r="M486">
        <v>-17155763</v>
      </c>
      <c r="N486">
        <v>3276896</v>
      </c>
      <c r="O486">
        <v>-4370756</v>
      </c>
      <c r="P486">
        <v>3109</v>
      </c>
      <c r="Q486" t="s">
        <v>1155</v>
      </c>
    </row>
    <row r="487" spans="1:17" x14ac:dyDescent="0.3">
      <c r="A487" t="s">
        <v>33</v>
      </c>
      <c r="B487" t="str">
        <f>"300783"</f>
        <v>300783</v>
      </c>
      <c r="C487" t="s">
        <v>1156</v>
      </c>
      <c r="D487" t="s">
        <v>1157</v>
      </c>
      <c r="E487">
        <v>303070214</v>
      </c>
      <c r="F487">
        <v>390962668</v>
      </c>
      <c r="G487">
        <v>1040941969</v>
      </c>
      <c r="H487">
        <v>308878536</v>
      </c>
      <c r="I487">
        <v>344769542</v>
      </c>
      <c r="P487">
        <v>730</v>
      </c>
      <c r="Q487" t="s">
        <v>1158</v>
      </c>
    </row>
    <row r="488" spans="1:17" x14ac:dyDescent="0.3">
      <c r="A488" t="s">
        <v>17</v>
      </c>
      <c r="B488" t="str">
        <f>"603588"</f>
        <v>603588</v>
      </c>
      <c r="C488" t="s">
        <v>1159</v>
      </c>
      <c r="D488" t="s">
        <v>897</v>
      </c>
      <c r="E488">
        <v>302570626</v>
      </c>
      <c r="F488">
        <v>120828729</v>
      </c>
      <c r="G488">
        <v>83828978</v>
      </c>
      <c r="H488">
        <v>58261346</v>
      </c>
      <c r="I488">
        <v>-137379351</v>
      </c>
      <c r="J488">
        <v>-141385848</v>
      </c>
      <c r="K488">
        <v>-81044170</v>
      </c>
      <c r="L488">
        <v>-79202965</v>
      </c>
      <c r="M488">
        <v>-49256911</v>
      </c>
      <c r="P488">
        <v>580</v>
      </c>
      <c r="Q488" t="s">
        <v>1160</v>
      </c>
    </row>
    <row r="489" spans="1:17" x14ac:dyDescent="0.3">
      <c r="A489" t="s">
        <v>33</v>
      </c>
      <c r="B489" t="str">
        <f>"002978"</f>
        <v>002978</v>
      </c>
      <c r="C489" t="s">
        <v>1161</v>
      </c>
      <c r="D489" t="s">
        <v>720</v>
      </c>
      <c r="E489">
        <v>301206373</v>
      </c>
      <c r="F489">
        <v>55220923</v>
      </c>
      <c r="G489">
        <v>206569052</v>
      </c>
      <c r="P489">
        <v>229</v>
      </c>
      <c r="Q489" t="s">
        <v>1162</v>
      </c>
    </row>
    <row r="490" spans="1:17" x14ac:dyDescent="0.3">
      <c r="A490" t="s">
        <v>33</v>
      </c>
      <c r="B490" t="str">
        <f>"000755"</f>
        <v>000755</v>
      </c>
      <c r="C490" t="s">
        <v>1163</v>
      </c>
      <c r="D490" t="s">
        <v>458</v>
      </c>
      <c r="E490">
        <v>301132595</v>
      </c>
      <c r="F490">
        <v>111984152</v>
      </c>
      <c r="G490">
        <v>20476559</v>
      </c>
      <c r="H490">
        <v>205847245</v>
      </c>
      <c r="I490">
        <v>-122123487</v>
      </c>
      <c r="J490">
        <v>-85060986</v>
      </c>
      <c r="K490">
        <v>8892191</v>
      </c>
      <c r="L490">
        <v>-79395109</v>
      </c>
      <c r="M490">
        <v>-6488333</v>
      </c>
      <c r="N490">
        <v>-5344535</v>
      </c>
      <c r="O490">
        <v>71075499</v>
      </c>
      <c r="P490">
        <v>96</v>
      </c>
      <c r="Q490" t="s">
        <v>1164</v>
      </c>
    </row>
    <row r="491" spans="1:17" x14ac:dyDescent="0.3">
      <c r="A491" t="s">
        <v>33</v>
      </c>
      <c r="B491" t="str">
        <f>"002928"</f>
        <v>002928</v>
      </c>
      <c r="C491" t="s">
        <v>1165</v>
      </c>
      <c r="D491" t="s">
        <v>1166</v>
      </c>
      <c r="E491">
        <v>301117062</v>
      </c>
      <c r="F491">
        <v>-244579095</v>
      </c>
      <c r="G491">
        <v>98605453</v>
      </c>
      <c r="H491">
        <v>-78295361</v>
      </c>
      <c r="I491">
        <v>-75654484</v>
      </c>
      <c r="J491">
        <v>23320655</v>
      </c>
      <c r="P491">
        <v>333</v>
      </c>
      <c r="Q491" t="s">
        <v>1167</v>
      </c>
    </row>
    <row r="492" spans="1:17" x14ac:dyDescent="0.3">
      <c r="A492" t="s">
        <v>33</v>
      </c>
      <c r="B492" t="str">
        <f>"002641"</f>
        <v>002641</v>
      </c>
      <c r="C492" t="s">
        <v>1168</v>
      </c>
      <c r="D492" t="s">
        <v>1169</v>
      </c>
      <c r="E492">
        <v>300090838</v>
      </c>
      <c r="F492">
        <v>318976106</v>
      </c>
      <c r="G492">
        <v>57569833</v>
      </c>
      <c r="H492">
        <v>118771614</v>
      </c>
      <c r="I492">
        <v>30746960</v>
      </c>
      <c r="J492">
        <v>-55918557</v>
      </c>
      <c r="K492">
        <v>66149017</v>
      </c>
      <c r="L492">
        <v>60580448</v>
      </c>
      <c r="M492">
        <v>-19205575</v>
      </c>
      <c r="N492">
        <v>-61827972</v>
      </c>
      <c r="O492">
        <v>-83372131</v>
      </c>
      <c r="P492">
        <v>360</v>
      </c>
      <c r="Q492" t="s">
        <v>1170</v>
      </c>
    </row>
    <row r="493" spans="1:17" x14ac:dyDescent="0.3">
      <c r="A493" t="s">
        <v>33</v>
      </c>
      <c r="B493" t="str">
        <f>"000869"</f>
        <v>000869</v>
      </c>
      <c r="C493" t="s">
        <v>1171</v>
      </c>
      <c r="D493" t="s">
        <v>1172</v>
      </c>
      <c r="E493">
        <v>299300737</v>
      </c>
      <c r="F493">
        <v>314895523</v>
      </c>
      <c r="G493">
        <v>-117099945</v>
      </c>
      <c r="H493">
        <v>294678342</v>
      </c>
      <c r="I493">
        <v>507263964</v>
      </c>
      <c r="J493">
        <v>384358508</v>
      </c>
      <c r="K493">
        <v>605256456</v>
      </c>
      <c r="L493">
        <v>697396327</v>
      </c>
      <c r="M493">
        <v>706507223</v>
      </c>
      <c r="N493">
        <v>523571540</v>
      </c>
      <c r="O493">
        <v>497140869</v>
      </c>
      <c r="P493">
        <v>833</v>
      </c>
      <c r="Q493" t="s">
        <v>1173</v>
      </c>
    </row>
    <row r="494" spans="1:17" x14ac:dyDescent="0.3">
      <c r="A494" t="s">
        <v>17</v>
      </c>
      <c r="B494" t="str">
        <f>"600682"</f>
        <v>600682</v>
      </c>
      <c r="C494" t="s">
        <v>1174</v>
      </c>
      <c r="D494" t="s">
        <v>756</v>
      </c>
      <c r="E494">
        <v>298465363</v>
      </c>
      <c r="F494">
        <v>299134266</v>
      </c>
      <c r="G494">
        <v>127517664</v>
      </c>
      <c r="H494">
        <v>-680855002</v>
      </c>
      <c r="I494">
        <v>-1325723713</v>
      </c>
      <c r="J494">
        <v>-1090018428</v>
      </c>
      <c r="K494">
        <v>-1297396777</v>
      </c>
      <c r="L494">
        <v>-896422700</v>
      </c>
      <c r="M494">
        <v>-24152420</v>
      </c>
      <c r="N494">
        <v>16568405</v>
      </c>
      <c r="O494">
        <v>-37457812</v>
      </c>
      <c r="P494">
        <v>237</v>
      </c>
      <c r="Q494" t="s">
        <v>1175</v>
      </c>
    </row>
    <row r="495" spans="1:17" x14ac:dyDescent="0.3">
      <c r="A495" t="s">
        <v>17</v>
      </c>
      <c r="B495" t="str">
        <f>"688223"</f>
        <v>688223</v>
      </c>
      <c r="C495" t="s">
        <v>1176</v>
      </c>
      <c r="D495" t="s">
        <v>1177</v>
      </c>
      <c r="E495">
        <v>295462951</v>
      </c>
      <c r="P495">
        <v>29</v>
      </c>
      <c r="Q495" t="s">
        <v>1178</v>
      </c>
    </row>
    <row r="496" spans="1:17" x14ac:dyDescent="0.3">
      <c r="A496" t="s">
        <v>33</v>
      </c>
      <c r="B496" t="str">
        <f>"000912"</f>
        <v>000912</v>
      </c>
      <c r="C496" t="s">
        <v>1179</v>
      </c>
      <c r="D496" t="s">
        <v>900</v>
      </c>
      <c r="E496">
        <v>294355742</v>
      </c>
      <c r="F496">
        <v>74978855</v>
      </c>
      <c r="G496">
        <v>130701751</v>
      </c>
      <c r="H496">
        <v>6342469</v>
      </c>
      <c r="I496">
        <v>4471364</v>
      </c>
      <c r="J496">
        <v>-52495063</v>
      </c>
      <c r="K496">
        <v>54489809</v>
      </c>
      <c r="L496">
        <v>155983092</v>
      </c>
      <c r="M496">
        <v>-124916568</v>
      </c>
      <c r="N496">
        <v>-88733020</v>
      </c>
      <c r="O496">
        <v>-36955209</v>
      </c>
      <c r="P496">
        <v>110</v>
      </c>
      <c r="Q496" t="s">
        <v>1180</v>
      </c>
    </row>
    <row r="497" spans="1:17" x14ac:dyDescent="0.3">
      <c r="A497" t="s">
        <v>17</v>
      </c>
      <c r="B497" t="str">
        <f>"600885"</f>
        <v>600885</v>
      </c>
      <c r="C497" t="s">
        <v>1181</v>
      </c>
      <c r="D497" t="s">
        <v>1182</v>
      </c>
      <c r="E497">
        <v>294223359</v>
      </c>
      <c r="F497">
        <v>-62511431</v>
      </c>
      <c r="G497">
        <v>84891487</v>
      </c>
      <c r="H497">
        <v>133535581</v>
      </c>
      <c r="I497">
        <v>-195317498</v>
      </c>
      <c r="J497">
        <v>-126196864</v>
      </c>
      <c r="K497">
        <v>28063175</v>
      </c>
      <c r="L497">
        <v>88290495</v>
      </c>
      <c r="M497">
        <v>-59488410</v>
      </c>
      <c r="N497">
        <v>88140572</v>
      </c>
      <c r="O497">
        <v>44349615</v>
      </c>
      <c r="P497">
        <v>13105</v>
      </c>
      <c r="Q497" t="s">
        <v>1183</v>
      </c>
    </row>
    <row r="498" spans="1:17" x14ac:dyDescent="0.3">
      <c r="A498" t="s">
        <v>17</v>
      </c>
      <c r="B498" t="str">
        <f>"600758"</f>
        <v>600758</v>
      </c>
      <c r="C498" t="s">
        <v>1184</v>
      </c>
      <c r="D498" t="s">
        <v>265</v>
      </c>
      <c r="E498">
        <v>293289071</v>
      </c>
      <c r="F498">
        <v>71326469</v>
      </c>
      <c r="G498">
        <v>-129465600</v>
      </c>
      <c r="H498">
        <v>-168803473</v>
      </c>
      <c r="I498">
        <v>50910757</v>
      </c>
      <c r="J498">
        <v>-198545669</v>
      </c>
      <c r="K498">
        <v>-510058564</v>
      </c>
      <c r="L498">
        <v>-17730594</v>
      </c>
      <c r="M498">
        <v>-7475700</v>
      </c>
      <c r="N498">
        <v>-53552325</v>
      </c>
      <c r="O498">
        <v>-17850317</v>
      </c>
      <c r="P498">
        <v>126</v>
      </c>
      <c r="Q498" t="s">
        <v>1185</v>
      </c>
    </row>
    <row r="499" spans="1:17" x14ac:dyDescent="0.3">
      <c r="A499" t="s">
        <v>17</v>
      </c>
      <c r="B499" t="str">
        <f>"605499"</f>
        <v>605499</v>
      </c>
      <c r="C499" t="s">
        <v>1186</v>
      </c>
      <c r="D499" t="s">
        <v>1187</v>
      </c>
      <c r="E499">
        <v>291353587</v>
      </c>
      <c r="F499">
        <v>454908294</v>
      </c>
      <c r="G499">
        <v>-41922024</v>
      </c>
      <c r="P499">
        <v>282</v>
      </c>
      <c r="Q499" t="s">
        <v>1188</v>
      </c>
    </row>
    <row r="500" spans="1:17" x14ac:dyDescent="0.3">
      <c r="A500" t="s">
        <v>17</v>
      </c>
      <c r="B500" t="str">
        <f>"601568"</f>
        <v>601568</v>
      </c>
      <c r="C500" t="s">
        <v>1189</v>
      </c>
      <c r="D500" t="s">
        <v>496</v>
      </c>
      <c r="E500">
        <v>290997190</v>
      </c>
      <c r="F500">
        <v>1014387971</v>
      </c>
      <c r="G500">
        <v>394831024</v>
      </c>
      <c r="P500">
        <v>121</v>
      </c>
      <c r="Q500" t="s">
        <v>1190</v>
      </c>
    </row>
    <row r="501" spans="1:17" x14ac:dyDescent="0.3">
      <c r="A501" t="s">
        <v>33</v>
      </c>
      <c r="B501" t="str">
        <f>"300661"</f>
        <v>300661</v>
      </c>
      <c r="C501" t="s">
        <v>1191</v>
      </c>
      <c r="D501" t="s">
        <v>1192</v>
      </c>
      <c r="E501">
        <v>290470687</v>
      </c>
      <c r="F501">
        <v>59918262</v>
      </c>
      <c r="G501">
        <v>-21073542</v>
      </c>
      <c r="H501">
        <v>12434201</v>
      </c>
      <c r="I501">
        <v>-1647824</v>
      </c>
      <c r="J501">
        <v>6692050</v>
      </c>
      <c r="P501">
        <v>1054</v>
      </c>
      <c r="Q501" t="s">
        <v>1193</v>
      </c>
    </row>
    <row r="502" spans="1:17" x14ac:dyDescent="0.3">
      <c r="A502" t="s">
        <v>33</v>
      </c>
      <c r="B502" t="str">
        <f>"002932"</f>
        <v>002932</v>
      </c>
      <c r="C502" t="s">
        <v>1194</v>
      </c>
      <c r="D502" t="s">
        <v>221</v>
      </c>
      <c r="E502">
        <v>289745937</v>
      </c>
      <c r="F502">
        <v>253046511</v>
      </c>
      <c r="G502">
        <v>10300898</v>
      </c>
      <c r="H502">
        <v>2568153</v>
      </c>
      <c r="I502">
        <v>1071404</v>
      </c>
      <c r="P502">
        <v>423</v>
      </c>
      <c r="Q502" t="s">
        <v>1195</v>
      </c>
    </row>
    <row r="503" spans="1:17" x14ac:dyDescent="0.3">
      <c r="A503" t="s">
        <v>17</v>
      </c>
      <c r="B503" t="str">
        <f>"600338"</f>
        <v>600338</v>
      </c>
      <c r="C503" t="s">
        <v>1196</v>
      </c>
      <c r="D503" t="s">
        <v>702</v>
      </c>
      <c r="E503">
        <v>289169854</v>
      </c>
      <c r="F503">
        <v>176588601</v>
      </c>
      <c r="G503">
        <v>62396391</v>
      </c>
      <c r="H503">
        <v>88321807</v>
      </c>
      <c r="I503">
        <v>229469053</v>
      </c>
      <c r="J503">
        <v>283623319</v>
      </c>
      <c r="K503">
        <v>-43873119</v>
      </c>
      <c r="L503">
        <v>-157242928</v>
      </c>
      <c r="M503">
        <v>6145721</v>
      </c>
      <c r="N503">
        <v>23860155</v>
      </c>
      <c r="O503">
        <v>-18179395</v>
      </c>
      <c r="P503">
        <v>4533</v>
      </c>
      <c r="Q503" t="s">
        <v>1197</v>
      </c>
    </row>
    <row r="504" spans="1:17" x14ac:dyDescent="0.3">
      <c r="A504" t="s">
        <v>33</v>
      </c>
      <c r="B504" t="str">
        <f>"000048"</f>
        <v>000048</v>
      </c>
      <c r="C504" t="s">
        <v>1198</v>
      </c>
      <c r="D504" t="s">
        <v>167</v>
      </c>
      <c r="E504">
        <v>289115017</v>
      </c>
      <c r="F504">
        <v>-598524003</v>
      </c>
      <c r="G504">
        <v>286990215</v>
      </c>
      <c r="H504">
        <v>981186607</v>
      </c>
      <c r="I504">
        <v>-78072549</v>
      </c>
      <c r="J504">
        <v>-137741758</v>
      </c>
      <c r="K504">
        <v>-34890466</v>
      </c>
      <c r="L504">
        <v>144570940</v>
      </c>
      <c r="M504">
        <v>110757147</v>
      </c>
      <c r="N504">
        <v>-44435684</v>
      </c>
      <c r="O504">
        <v>-32906399</v>
      </c>
      <c r="P504">
        <v>588</v>
      </c>
      <c r="Q504" t="s">
        <v>1199</v>
      </c>
    </row>
    <row r="505" spans="1:17" x14ac:dyDescent="0.3">
      <c r="A505" t="s">
        <v>33</v>
      </c>
      <c r="B505" t="str">
        <f>"000761"</f>
        <v>000761</v>
      </c>
      <c r="C505" t="s">
        <v>1200</v>
      </c>
      <c r="D505" t="s">
        <v>131</v>
      </c>
      <c r="E505">
        <v>289055673</v>
      </c>
      <c r="F505">
        <v>-966470265</v>
      </c>
      <c r="G505">
        <v>684846620</v>
      </c>
      <c r="H505">
        <v>2752557195</v>
      </c>
      <c r="I505">
        <v>-8871507869</v>
      </c>
      <c r="J505">
        <v>-3422732831</v>
      </c>
      <c r="K505">
        <v>2598490198</v>
      </c>
      <c r="L505">
        <v>601173783</v>
      </c>
      <c r="M505">
        <v>-1262035328</v>
      </c>
      <c r="N505">
        <v>-653089937</v>
      </c>
      <c r="O505">
        <v>579960676</v>
      </c>
      <c r="P505">
        <v>237</v>
      </c>
      <c r="Q505" t="s">
        <v>1201</v>
      </c>
    </row>
    <row r="506" spans="1:17" x14ac:dyDescent="0.3">
      <c r="A506" t="s">
        <v>33</v>
      </c>
      <c r="B506" t="str">
        <f>"002773"</f>
        <v>002773</v>
      </c>
      <c r="C506" t="s">
        <v>1202</v>
      </c>
      <c r="D506" t="s">
        <v>590</v>
      </c>
      <c r="E506">
        <v>288758046</v>
      </c>
      <c r="F506">
        <v>194488660</v>
      </c>
      <c r="G506">
        <v>34550598</v>
      </c>
      <c r="H506">
        <v>76206590</v>
      </c>
      <c r="I506">
        <v>12094763</v>
      </c>
      <c r="J506">
        <v>69962077</v>
      </c>
      <c r="K506">
        <v>-61720822</v>
      </c>
      <c r="L506">
        <v>-152473700</v>
      </c>
      <c r="M506">
        <v>-159654600</v>
      </c>
      <c r="P506">
        <v>5281</v>
      </c>
      <c r="Q506" t="s">
        <v>1203</v>
      </c>
    </row>
    <row r="507" spans="1:17" x14ac:dyDescent="0.3">
      <c r="A507" t="s">
        <v>17</v>
      </c>
      <c r="B507" t="str">
        <f>"603619"</f>
        <v>603619</v>
      </c>
      <c r="C507" t="s">
        <v>1204</v>
      </c>
      <c r="D507" t="s">
        <v>348</v>
      </c>
      <c r="E507">
        <v>287545288</v>
      </c>
      <c r="F507">
        <v>80008785</v>
      </c>
      <c r="G507">
        <v>2956968</v>
      </c>
      <c r="H507">
        <v>24513549</v>
      </c>
      <c r="I507">
        <v>28765612</v>
      </c>
      <c r="J507">
        <v>127224300</v>
      </c>
      <c r="K507">
        <v>32261700</v>
      </c>
      <c r="P507">
        <v>74</v>
      </c>
      <c r="Q507" t="s">
        <v>1205</v>
      </c>
    </row>
    <row r="508" spans="1:17" x14ac:dyDescent="0.3">
      <c r="A508" t="s">
        <v>17</v>
      </c>
      <c r="B508" t="str">
        <f>"600267"</f>
        <v>600267</v>
      </c>
      <c r="C508" t="s">
        <v>1206</v>
      </c>
      <c r="D508" t="s">
        <v>941</v>
      </c>
      <c r="E508">
        <v>286573768</v>
      </c>
      <c r="F508">
        <v>230216191</v>
      </c>
      <c r="G508">
        <v>523830656</v>
      </c>
      <c r="H508">
        <v>98619184</v>
      </c>
      <c r="I508">
        <v>285464905</v>
      </c>
      <c r="J508">
        <v>84475183</v>
      </c>
      <c r="K508">
        <v>20101890</v>
      </c>
      <c r="L508">
        <v>163749236</v>
      </c>
      <c r="M508">
        <v>37710750</v>
      </c>
      <c r="N508">
        <v>-64816356</v>
      </c>
      <c r="O508">
        <v>5353182</v>
      </c>
      <c r="P508">
        <v>532</v>
      </c>
      <c r="Q508" t="s">
        <v>1207</v>
      </c>
    </row>
    <row r="509" spans="1:17" x14ac:dyDescent="0.3">
      <c r="A509" t="s">
        <v>33</v>
      </c>
      <c r="B509" t="str">
        <f>"300568"</f>
        <v>300568</v>
      </c>
      <c r="C509" t="s">
        <v>1208</v>
      </c>
      <c r="D509" t="s">
        <v>795</v>
      </c>
      <c r="E509">
        <v>286266897</v>
      </c>
      <c r="F509">
        <v>34324549</v>
      </c>
      <c r="G509">
        <v>1849258</v>
      </c>
      <c r="H509">
        <v>23825884</v>
      </c>
      <c r="I509">
        <v>90066595</v>
      </c>
      <c r="J509">
        <v>753748</v>
      </c>
      <c r="K509">
        <v>20487926</v>
      </c>
      <c r="P509">
        <v>474</v>
      </c>
      <c r="Q509" t="s">
        <v>1209</v>
      </c>
    </row>
    <row r="510" spans="1:17" x14ac:dyDescent="0.3">
      <c r="A510" t="s">
        <v>33</v>
      </c>
      <c r="B510" t="str">
        <f>"002262"</f>
        <v>002262</v>
      </c>
      <c r="C510" t="s">
        <v>1210</v>
      </c>
      <c r="D510" t="s">
        <v>590</v>
      </c>
      <c r="E510">
        <v>286170933</v>
      </c>
      <c r="F510">
        <v>259099727</v>
      </c>
      <c r="G510">
        <v>237109709</v>
      </c>
      <c r="H510">
        <v>146312252</v>
      </c>
      <c r="I510">
        <v>87052228</v>
      </c>
      <c r="J510">
        <v>103247262</v>
      </c>
      <c r="K510">
        <v>19531807</v>
      </c>
      <c r="L510">
        <v>40922858</v>
      </c>
      <c r="M510">
        <v>8497387</v>
      </c>
      <c r="N510">
        <v>-1384044</v>
      </c>
      <c r="O510">
        <v>20583955</v>
      </c>
      <c r="P510">
        <v>51365</v>
      </c>
      <c r="Q510" t="s">
        <v>1211</v>
      </c>
    </row>
    <row r="511" spans="1:17" x14ac:dyDescent="0.3">
      <c r="A511" t="s">
        <v>17</v>
      </c>
      <c r="B511" t="str">
        <f>"601100"</f>
        <v>601100</v>
      </c>
      <c r="C511" t="s">
        <v>1212</v>
      </c>
      <c r="D511" t="s">
        <v>1213</v>
      </c>
      <c r="E511">
        <v>285167320</v>
      </c>
      <c r="F511">
        <v>310210543</v>
      </c>
      <c r="G511">
        <v>167309599</v>
      </c>
      <c r="H511">
        <v>155518173</v>
      </c>
      <c r="I511">
        <v>22147144</v>
      </c>
      <c r="J511">
        <v>-69362551</v>
      </c>
      <c r="K511">
        <v>-35617129</v>
      </c>
      <c r="L511">
        <v>24519362</v>
      </c>
      <c r="M511">
        <v>62313498</v>
      </c>
      <c r="N511">
        <v>25429771</v>
      </c>
      <c r="O511">
        <v>135855323</v>
      </c>
      <c r="P511">
        <v>1782</v>
      </c>
      <c r="Q511" t="s">
        <v>1214</v>
      </c>
    </row>
    <row r="512" spans="1:17" x14ac:dyDescent="0.3">
      <c r="A512" t="s">
        <v>33</v>
      </c>
      <c r="B512" t="str">
        <f>"002627"</f>
        <v>002627</v>
      </c>
      <c r="C512" t="s">
        <v>1215</v>
      </c>
      <c r="D512" t="s">
        <v>1216</v>
      </c>
      <c r="E512">
        <v>282076234</v>
      </c>
      <c r="F512">
        <v>421324418</v>
      </c>
      <c r="G512">
        <v>-120650606</v>
      </c>
      <c r="H512">
        <v>7909113</v>
      </c>
      <c r="I512">
        <v>-127793635</v>
      </c>
      <c r="J512">
        <v>5233856</v>
      </c>
      <c r="K512">
        <v>21584463</v>
      </c>
      <c r="L512">
        <v>9129442</v>
      </c>
      <c r="M512">
        <v>11815136</v>
      </c>
      <c r="N512">
        <v>8533566</v>
      </c>
      <c r="O512">
        <v>20378466</v>
      </c>
      <c r="P512">
        <v>99</v>
      </c>
      <c r="Q512" t="s">
        <v>1217</v>
      </c>
    </row>
    <row r="513" spans="1:17" x14ac:dyDescent="0.3">
      <c r="A513" t="s">
        <v>33</v>
      </c>
      <c r="B513" t="str">
        <f>"300861"</f>
        <v>300861</v>
      </c>
      <c r="C513" t="s">
        <v>1218</v>
      </c>
      <c r="D513" t="s">
        <v>1219</v>
      </c>
      <c r="E513">
        <v>279141641</v>
      </c>
      <c r="F513">
        <v>121190172</v>
      </c>
      <c r="G513">
        <v>52034573</v>
      </c>
      <c r="P513">
        <v>147</v>
      </c>
      <c r="Q513" t="s">
        <v>1220</v>
      </c>
    </row>
    <row r="514" spans="1:17" x14ac:dyDescent="0.3">
      <c r="A514" t="s">
        <v>17</v>
      </c>
      <c r="B514" t="str">
        <f>"600361"</f>
        <v>600361</v>
      </c>
      <c r="C514" t="s">
        <v>1221</v>
      </c>
      <c r="D514" t="s">
        <v>279</v>
      </c>
      <c r="E514">
        <v>278642443</v>
      </c>
      <c r="F514">
        <v>-232010766</v>
      </c>
      <c r="G514">
        <v>609490005</v>
      </c>
      <c r="H514">
        <v>329101036</v>
      </c>
      <c r="I514">
        <v>24325906</v>
      </c>
      <c r="J514">
        <v>236233049</v>
      </c>
      <c r="K514">
        <v>80945240</v>
      </c>
      <c r="L514">
        <v>865273676</v>
      </c>
      <c r="M514">
        <v>247061984</v>
      </c>
      <c r="N514">
        <v>147626711</v>
      </c>
      <c r="O514">
        <v>89017256</v>
      </c>
      <c r="P514">
        <v>134</v>
      </c>
      <c r="Q514" t="s">
        <v>1222</v>
      </c>
    </row>
    <row r="515" spans="1:17" x14ac:dyDescent="0.3">
      <c r="A515" t="s">
        <v>17</v>
      </c>
      <c r="B515" t="str">
        <f>"601005"</f>
        <v>601005</v>
      </c>
      <c r="C515" t="s">
        <v>1223</v>
      </c>
      <c r="D515" t="s">
        <v>131</v>
      </c>
      <c r="E515">
        <v>278512000</v>
      </c>
      <c r="F515">
        <v>-1031089000</v>
      </c>
      <c r="G515">
        <v>-213075000</v>
      </c>
      <c r="H515">
        <v>-138559000</v>
      </c>
      <c r="I515">
        <v>-304134000</v>
      </c>
      <c r="J515">
        <v>-148645000</v>
      </c>
      <c r="K515">
        <v>80828000</v>
      </c>
      <c r="L515">
        <v>-302368000</v>
      </c>
      <c r="M515">
        <v>410723000</v>
      </c>
      <c r="N515">
        <v>-1475990000</v>
      </c>
      <c r="O515">
        <v>567689000</v>
      </c>
      <c r="P515">
        <v>249</v>
      </c>
      <c r="Q515" t="s">
        <v>1224</v>
      </c>
    </row>
    <row r="516" spans="1:17" x14ac:dyDescent="0.3">
      <c r="A516" t="s">
        <v>17</v>
      </c>
      <c r="B516" t="str">
        <f>"600461"</f>
        <v>600461</v>
      </c>
      <c r="C516" t="s">
        <v>1225</v>
      </c>
      <c r="D516" t="s">
        <v>932</v>
      </c>
      <c r="E516">
        <v>277694166</v>
      </c>
      <c r="F516">
        <v>131581581</v>
      </c>
      <c r="G516">
        <v>-29134196</v>
      </c>
      <c r="H516">
        <v>25190240</v>
      </c>
      <c r="I516">
        <v>50251446</v>
      </c>
      <c r="J516">
        <v>65123517</v>
      </c>
      <c r="K516">
        <v>5291510</v>
      </c>
      <c r="L516">
        <v>90193919</v>
      </c>
      <c r="M516">
        <v>106348866</v>
      </c>
      <c r="N516">
        <v>49076094</v>
      </c>
      <c r="O516">
        <v>146910769</v>
      </c>
      <c r="P516">
        <v>366</v>
      </c>
      <c r="Q516" t="s">
        <v>1226</v>
      </c>
    </row>
    <row r="517" spans="1:17" x14ac:dyDescent="0.3">
      <c r="A517" t="s">
        <v>17</v>
      </c>
      <c r="B517" t="str">
        <f>"600595"</f>
        <v>600595</v>
      </c>
      <c r="C517" t="s">
        <v>1227</v>
      </c>
      <c r="D517" t="s">
        <v>140</v>
      </c>
      <c r="E517">
        <v>277177804</v>
      </c>
      <c r="F517">
        <v>81509147</v>
      </c>
      <c r="G517">
        <v>16715461</v>
      </c>
      <c r="H517">
        <v>150831164</v>
      </c>
      <c r="I517">
        <v>28726387</v>
      </c>
      <c r="J517">
        <v>215280169</v>
      </c>
      <c r="K517">
        <v>760553747</v>
      </c>
      <c r="L517">
        <v>141281961</v>
      </c>
      <c r="M517">
        <v>297851583</v>
      </c>
      <c r="N517">
        <v>744036479</v>
      </c>
      <c r="O517">
        <v>196044129</v>
      </c>
      <c r="P517">
        <v>68</v>
      </c>
      <c r="Q517" t="s">
        <v>1228</v>
      </c>
    </row>
    <row r="518" spans="1:17" x14ac:dyDescent="0.3">
      <c r="A518" t="s">
        <v>33</v>
      </c>
      <c r="B518" t="str">
        <f>"000915"</f>
        <v>000915</v>
      </c>
      <c r="C518" t="s">
        <v>1229</v>
      </c>
      <c r="D518" t="s">
        <v>590</v>
      </c>
      <c r="E518">
        <v>276299060</v>
      </c>
      <c r="F518">
        <v>136767795</v>
      </c>
      <c r="G518">
        <v>95198530</v>
      </c>
      <c r="H518">
        <v>-76705466</v>
      </c>
      <c r="I518">
        <v>90939989</v>
      </c>
      <c r="J518">
        <v>8464653</v>
      </c>
      <c r="K518">
        <v>59627881</v>
      </c>
      <c r="L518">
        <v>8508246</v>
      </c>
      <c r="M518">
        <v>45064325</v>
      </c>
      <c r="N518">
        <v>38634394</v>
      </c>
      <c r="O518">
        <v>34162128</v>
      </c>
      <c r="P518">
        <v>648</v>
      </c>
      <c r="Q518" t="s">
        <v>1230</v>
      </c>
    </row>
    <row r="519" spans="1:17" x14ac:dyDescent="0.3">
      <c r="A519" t="s">
        <v>17</v>
      </c>
      <c r="B519" t="str">
        <f>"688317"</f>
        <v>688317</v>
      </c>
      <c r="C519" t="s">
        <v>1231</v>
      </c>
      <c r="D519" t="s">
        <v>221</v>
      </c>
      <c r="E519">
        <v>275709143</v>
      </c>
      <c r="F519">
        <v>179287670</v>
      </c>
      <c r="G519">
        <v>138044205</v>
      </c>
      <c r="P519">
        <v>120</v>
      </c>
      <c r="Q519" t="s">
        <v>1232</v>
      </c>
    </row>
    <row r="520" spans="1:17" x14ac:dyDescent="0.3">
      <c r="A520" t="s">
        <v>17</v>
      </c>
      <c r="B520" t="str">
        <f>"600565"</f>
        <v>600565</v>
      </c>
      <c r="C520" t="s">
        <v>1233</v>
      </c>
      <c r="D520" t="s">
        <v>167</v>
      </c>
      <c r="E520">
        <v>275404066</v>
      </c>
      <c r="F520">
        <v>-2104989018</v>
      </c>
      <c r="G520">
        <v>-2590889935</v>
      </c>
      <c r="H520">
        <v>-1409085901</v>
      </c>
      <c r="I520">
        <v>721347595</v>
      </c>
      <c r="J520">
        <v>269724244</v>
      </c>
      <c r="K520">
        <v>427187232</v>
      </c>
      <c r="L520">
        <v>-1367242804</v>
      </c>
      <c r="M520">
        <v>-101769290</v>
      </c>
      <c r="N520">
        <v>29806431</v>
      </c>
      <c r="O520">
        <v>105279199</v>
      </c>
      <c r="P520">
        <v>468</v>
      </c>
      <c r="Q520" t="s">
        <v>1234</v>
      </c>
    </row>
    <row r="521" spans="1:17" x14ac:dyDescent="0.3">
      <c r="A521" t="s">
        <v>33</v>
      </c>
      <c r="B521" t="str">
        <f>"002109"</f>
        <v>002109</v>
      </c>
      <c r="C521" t="s">
        <v>1235</v>
      </c>
      <c r="D521" t="s">
        <v>1022</v>
      </c>
      <c r="E521">
        <v>273462363</v>
      </c>
      <c r="F521">
        <v>188547886</v>
      </c>
      <c r="G521">
        <v>39058052</v>
      </c>
      <c r="H521">
        <v>135047646</v>
      </c>
      <c r="I521">
        <v>66866447</v>
      </c>
      <c r="J521">
        <v>46119829</v>
      </c>
      <c r="K521">
        <v>19915751</v>
      </c>
      <c r="L521">
        <v>11523680</v>
      </c>
      <c r="M521">
        <v>-26663778</v>
      </c>
      <c r="N521">
        <v>27014412</v>
      </c>
      <c r="O521">
        <v>8917771</v>
      </c>
      <c r="P521">
        <v>138</v>
      </c>
      <c r="Q521" t="s">
        <v>1236</v>
      </c>
    </row>
    <row r="522" spans="1:17" x14ac:dyDescent="0.3">
      <c r="A522" t="s">
        <v>33</v>
      </c>
      <c r="B522" t="str">
        <f>"002320"</f>
        <v>002320</v>
      </c>
      <c r="C522" t="s">
        <v>1237</v>
      </c>
      <c r="D522" t="s">
        <v>55</v>
      </c>
      <c r="E522">
        <v>272412490</v>
      </c>
      <c r="F522">
        <v>149920215</v>
      </c>
      <c r="G522">
        <v>76789683</v>
      </c>
      <c r="H522">
        <v>204815018</v>
      </c>
      <c r="I522">
        <v>182280203</v>
      </c>
      <c r="J522">
        <v>208025112</v>
      </c>
      <c r="K522">
        <v>99793702</v>
      </c>
      <c r="L522">
        <v>79614086</v>
      </c>
      <c r="M522">
        <v>70594113</v>
      </c>
      <c r="N522">
        <v>47903734</v>
      </c>
      <c r="O522">
        <v>29341072</v>
      </c>
      <c r="P522">
        <v>174</v>
      </c>
      <c r="Q522" t="s">
        <v>1238</v>
      </c>
    </row>
    <row r="523" spans="1:17" x14ac:dyDescent="0.3">
      <c r="A523" t="s">
        <v>17</v>
      </c>
      <c r="B523" t="str">
        <f>"603031"</f>
        <v>603031</v>
      </c>
      <c r="C523" t="s">
        <v>1239</v>
      </c>
      <c r="D523" t="s">
        <v>279</v>
      </c>
      <c r="E523">
        <v>272186227</v>
      </c>
      <c r="F523">
        <v>15712646</v>
      </c>
      <c r="G523">
        <v>-2887163</v>
      </c>
      <c r="H523">
        <v>80043270</v>
      </c>
      <c r="I523">
        <v>-5434196</v>
      </c>
      <c r="J523">
        <v>55037625</v>
      </c>
      <c r="K523">
        <v>55722898</v>
      </c>
      <c r="P523">
        <v>70</v>
      </c>
      <c r="Q523" t="s">
        <v>1240</v>
      </c>
    </row>
    <row r="524" spans="1:17" x14ac:dyDescent="0.3">
      <c r="A524" t="s">
        <v>33</v>
      </c>
      <c r="B524" t="str">
        <f>"002015"</f>
        <v>002015</v>
      </c>
      <c r="C524" t="s">
        <v>1241</v>
      </c>
      <c r="D524" t="s">
        <v>1094</v>
      </c>
      <c r="E524">
        <v>272158332</v>
      </c>
      <c r="F524">
        <v>617776416</v>
      </c>
      <c r="G524">
        <v>548789502</v>
      </c>
      <c r="H524">
        <v>-6921221</v>
      </c>
      <c r="I524">
        <v>-16297206</v>
      </c>
      <c r="J524">
        <v>201260</v>
      </c>
      <c r="K524">
        <v>-45402228</v>
      </c>
      <c r="L524">
        <v>5403328</v>
      </c>
      <c r="M524">
        <v>26333868</v>
      </c>
      <c r="N524">
        <v>148419025</v>
      </c>
      <c r="O524">
        <v>118681601</v>
      </c>
      <c r="P524">
        <v>239</v>
      </c>
      <c r="Q524" t="s">
        <v>1242</v>
      </c>
    </row>
    <row r="525" spans="1:17" x14ac:dyDescent="0.3">
      <c r="A525" t="s">
        <v>17</v>
      </c>
      <c r="B525" t="str">
        <f>"600163"</f>
        <v>600163</v>
      </c>
      <c r="C525" t="s">
        <v>1243</v>
      </c>
      <c r="D525" t="s">
        <v>367</v>
      </c>
      <c r="E525">
        <v>271799441</v>
      </c>
      <c r="F525">
        <v>223252339</v>
      </c>
      <c r="G525">
        <v>92960113</v>
      </c>
      <c r="H525">
        <v>61739855</v>
      </c>
      <c r="I525">
        <v>69406389</v>
      </c>
      <c r="J525">
        <v>31185417</v>
      </c>
      <c r="K525">
        <v>14418919</v>
      </c>
      <c r="L525">
        <v>-45691839</v>
      </c>
      <c r="M525">
        <v>-96949270</v>
      </c>
      <c r="N525">
        <v>-96530770</v>
      </c>
      <c r="O525">
        <v>14660541</v>
      </c>
      <c r="P525">
        <v>219</v>
      </c>
      <c r="Q525" t="s">
        <v>1244</v>
      </c>
    </row>
    <row r="526" spans="1:17" x14ac:dyDescent="0.3">
      <c r="A526" t="s">
        <v>33</v>
      </c>
      <c r="B526" t="str">
        <f>"002682"</f>
        <v>002682</v>
      </c>
      <c r="C526" t="s">
        <v>1245</v>
      </c>
      <c r="D526" t="s">
        <v>556</v>
      </c>
      <c r="E526">
        <v>270789456</v>
      </c>
      <c r="F526">
        <v>116077118</v>
      </c>
      <c r="G526">
        <v>-175379220</v>
      </c>
      <c r="H526">
        <v>-262161761</v>
      </c>
      <c r="I526">
        <v>-162933734</v>
      </c>
      <c r="J526">
        <v>16702409</v>
      </c>
      <c r="K526">
        <v>-69585673</v>
      </c>
      <c r="L526">
        <v>9628822</v>
      </c>
      <c r="M526">
        <v>136290853</v>
      </c>
      <c r="N526">
        <v>17510148</v>
      </c>
      <c r="O526">
        <v>44203459</v>
      </c>
      <c r="P526">
        <v>80</v>
      </c>
      <c r="Q526" t="s">
        <v>1246</v>
      </c>
    </row>
    <row r="527" spans="1:17" x14ac:dyDescent="0.3">
      <c r="A527" t="s">
        <v>33</v>
      </c>
      <c r="B527" t="str">
        <f>"000965"</f>
        <v>000965</v>
      </c>
      <c r="C527" t="s">
        <v>1247</v>
      </c>
      <c r="D527" t="s">
        <v>167</v>
      </c>
      <c r="E527">
        <v>269456062</v>
      </c>
      <c r="F527">
        <v>-608007303</v>
      </c>
      <c r="G527">
        <v>-162046294</v>
      </c>
      <c r="H527">
        <v>-105948536</v>
      </c>
      <c r="I527">
        <v>-126184447</v>
      </c>
      <c r="J527">
        <v>-1770273233</v>
      </c>
      <c r="K527">
        <v>-92969291</v>
      </c>
      <c r="L527">
        <v>-33378035</v>
      </c>
      <c r="M527">
        <v>-111783932</v>
      </c>
      <c r="N527">
        <v>-231267953</v>
      </c>
      <c r="O527">
        <v>-74740255</v>
      </c>
      <c r="P527">
        <v>116</v>
      </c>
      <c r="Q527" t="s">
        <v>1248</v>
      </c>
    </row>
    <row r="528" spans="1:17" x14ac:dyDescent="0.3">
      <c r="A528" t="s">
        <v>17</v>
      </c>
      <c r="B528" t="str">
        <f>"603919"</f>
        <v>603919</v>
      </c>
      <c r="C528" t="s">
        <v>1249</v>
      </c>
      <c r="D528" t="s">
        <v>229</v>
      </c>
      <c r="E528">
        <v>268737242</v>
      </c>
      <c r="F528">
        <v>-32272621</v>
      </c>
      <c r="G528">
        <v>-74882153</v>
      </c>
      <c r="H528">
        <v>164809598</v>
      </c>
      <c r="I528">
        <v>81638022</v>
      </c>
      <c r="J528">
        <v>-30824765</v>
      </c>
      <c r="K528">
        <v>88946953</v>
      </c>
      <c r="L528">
        <v>37964462</v>
      </c>
      <c r="P528">
        <v>446</v>
      </c>
      <c r="Q528" t="s">
        <v>1250</v>
      </c>
    </row>
    <row r="529" spans="1:17" x14ac:dyDescent="0.3">
      <c r="A529" t="s">
        <v>33</v>
      </c>
      <c r="B529" t="str">
        <f>"002463"</f>
        <v>002463</v>
      </c>
      <c r="C529" t="s">
        <v>1251</v>
      </c>
      <c r="D529" t="s">
        <v>239</v>
      </c>
      <c r="E529">
        <v>267110313</v>
      </c>
      <c r="F529">
        <v>350056946</v>
      </c>
      <c r="G529">
        <v>466990156</v>
      </c>
      <c r="H529">
        <v>177173324</v>
      </c>
      <c r="I529">
        <v>109716166</v>
      </c>
      <c r="J529">
        <v>-81085019</v>
      </c>
      <c r="K529">
        <v>-64077605</v>
      </c>
      <c r="L529">
        <v>-71799798</v>
      </c>
      <c r="M529">
        <v>-12865451</v>
      </c>
      <c r="N529">
        <v>-418823046</v>
      </c>
      <c r="O529">
        <v>54694600</v>
      </c>
      <c r="P529">
        <v>3004</v>
      </c>
      <c r="Q529" t="s">
        <v>1252</v>
      </c>
    </row>
    <row r="530" spans="1:17" x14ac:dyDescent="0.3">
      <c r="A530" t="s">
        <v>33</v>
      </c>
      <c r="B530" t="str">
        <f>"200019"</f>
        <v>200019</v>
      </c>
      <c r="C530" t="s">
        <v>1253</v>
      </c>
      <c r="E530">
        <v>267058453.366</v>
      </c>
      <c r="F530">
        <v>-263704898.602</v>
      </c>
      <c r="G530">
        <v>325138570.76789999</v>
      </c>
      <c r="H530">
        <v>-257605440.04260001</v>
      </c>
      <c r="I530">
        <v>-3326166.1845</v>
      </c>
      <c r="J530">
        <v>-13307581.562000001</v>
      </c>
      <c r="K530">
        <v>-11684779.6127</v>
      </c>
      <c r="L530">
        <v>30289740</v>
      </c>
      <c r="M530">
        <v>7676998.3480000002</v>
      </c>
      <c r="N530">
        <v>-11505656.3004</v>
      </c>
      <c r="O530">
        <v>7252303.7879999997</v>
      </c>
      <c r="P530">
        <v>23</v>
      </c>
      <c r="Q530" t="s">
        <v>1254</v>
      </c>
    </row>
    <row r="531" spans="1:17" x14ac:dyDescent="0.3">
      <c r="A531" t="s">
        <v>17</v>
      </c>
      <c r="B531" t="str">
        <f>"600785"</f>
        <v>600785</v>
      </c>
      <c r="C531" t="s">
        <v>1255</v>
      </c>
      <c r="D531" t="s">
        <v>526</v>
      </c>
      <c r="E531">
        <v>267005062</v>
      </c>
      <c r="F531">
        <v>423488341</v>
      </c>
      <c r="G531">
        <v>314400988</v>
      </c>
      <c r="H531">
        <v>249084825</v>
      </c>
      <c r="I531">
        <v>285155910</v>
      </c>
      <c r="J531">
        <v>224621836</v>
      </c>
      <c r="K531">
        <v>52104219</v>
      </c>
      <c r="L531">
        <v>100854400</v>
      </c>
      <c r="M531">
        <v>10406258</v>
      </c>
      <c r="N531">
        <v>114971673</v>
      </c>
      <c r="O531">
        <v>-55940647</v>
      </c>
      <c r="P531">
        <v>99</v>
      </c>
      <c r="Q531" t="s">
        <v>1256</v>
      </c>
    </row>
    <row r="532" spans="1:17" x14ac:dyDescent="0.3">
      <c r="A532" t="s">
        <v>33</v>
      </c>
      <c r="B532" t="str">
        <f>"000707"</f>
        <v>000707</v>
      </c>
      <c r="C532" t="s">
        <v>1257</v>
      </c>
      <c r="D532" t="s">
        <v>672</v>
      </c>
      <c r="E532">
        <v>266174397</v>
      </c>
      <c r="F532">
        <v>36726413</v>
      </c>
      <c r="G532">
        <v>-107582222</v>
      </c>
      <c r="H532">
        <v>33208087</v>
      </c>
      <c r="I532">
        <v>-100378223</v>
      </c>
      <c r="J532">
        <v>150269853</v>
      </c>
      <c r="K532">
        <v>76070428</v>
      </c>
      <c r="L532">
        <v>53619315</v>
      </c>
      <c r="M532">
        <v>69770324</v>
      </c>
      <c r="N532">
        <v>-379637424</v>
      </c>
      <c r="O532">
        <v>229598204</v>
      </c>
      <c r="P532">
        <v>83</v>
      </c>
      <c r="Q532" t="s">
        <v>1258</v>
      </c>
    </row>
    <row r="533" spans="1:17" x14ac:dyDescent="0.3">
      <c r="A533" t="s">
        <v>17</v>
      </c>
      <c r="B533" t="str">
        <f>"601900"</f>
        <v>601900</v>
      </c>
      <c r="C533" t="s">
        <v>1259</v>
      </c>
      <c r="D533" t="s">
        <v>1054</v>
      </c>
      <c r="E533">
        <v>263395695</v>
      </c>
      <c r="F533">
        <v>-253683768</v>
      </c>
      <c r="G533">
        <v>-434152292</v>
      </c>
      <c r="H533">
        <v>182090026</v>
      </c>
      <c r="I533">
        <v>-311811234</v>
      </c>
      <c r="J533">
        <v>71513118</v>
      </c>
      <c r="K533">
        <v>-223256191</v>
      </c>
      <c r="L533">
        <v>-380068453</v>
      </c>
      <c r="P533">
        <v>244</v>
      </c>
      <c r="Q533" t="s">
        <v>1260</v>
      </c>
    </row>
    <row r="534" spans="1:17" x14ac:dyDescent="0.3">
      <c r="A534" t="s">
        <v>33</v>
      </c>
      <c r="B534" t="str">
        <f>"000050"</f>
        <v>000050</v>
      </c>
      <c r="C534" t="s">
        <v>1261</v>
      </c>
      <c r="D534" t="s">
        <v>102</v>
      </c>
      <c r="E534">
        <v>263166925</v>
      </c>
      <c r="F534">
        <v>637633514</v>
      </c>
      <c r="G534">
        <v>165392338</v>
      </c>
      <c r="H534">
        <v>627848178</v>
      </c>
      <c r="I534">
        <v>514585123</v>
      </c>
      <c r="J534">
        <v>-931880682</v>
      </c>
      <c r="K534">
        <v>-1012563612</v>
      </c>
      <c r="L534">
        <v>683608733</v>
      </c>
      <c r="M534">
        <v>-131865860</v>
      </c>
      <c r="N534">
        <v>109174194</v>
      </c>
      <c r="O534">
        <v>288395786</v>
      </c>
      <c r="P534">
        <v>621</v>
      </c>
      <c r="Q534" t="s">
        <v>1262</v>
      </c>
    </row>
    <row r="535" spans="1:17" x14ac:dyDescent="0.3">
      <c r="A535" t="s">
        <v>17</v>
      </c>
      <c r="B535" t="str">
        <f>"600483"</f>
        <v>600483</v>
      </c>
      <c r="C535" t="s">
        <v>1263</v>
      </c>
      <c r="D535" t="s">
        <v>245</v>
      </c>
      <c r="E535">
        <v>262895805</v>
      </c>
      <c r="F535">
        <v>915029466</v>
      </c>
      <c r="G535">
        <v>169768454</v>
      </c>
      <c r="H535">
        <v>334953466</v>
      </c>
      <c r="I535">
        <v>354812863</v>
      </c>
      <c r="J535">
        <v>456463854</v>
      </c>
      <c r="K535">
        <v>427424690</v>
      </c>
      <c r="L535">
        <v>448206997</v>
      </c>
      <c r="M535">
        <v>-11192936</v>
      </c>
      <c r="N535">
        <v>-47512053</v>
      </c>
      <c r="O535">
        <v>-89064675</v>
      </c>
      <c r="P535">
        <v>331</v>
      </c>
      <c r="Q535" t="s">
        <v>1264</v>
      </c>
    </row>
    <row r="536" spans="1:17" x14ac:dyDescent="0.3">
      <c r="A536" t="s">
        <v>33</v>
      </c>
      <c r="B536" t="str">
        <f>"000597"</f>
        <v>000597</v>
      </c>
      <c r="C536" t="s">
        <v>1265</v>
      </c>
      <c r="D536" t="s">
        <v>590</v>
      </c>
      <c r="E536">
        <v>262374645</v>
      </c>
      <c r="F536">
        <v>-19140587</v>
      </c>
      <c r="G536">
        <v>-264423012</v>
      </c>
      <c r="H536">
        <v>-146131111</v>
      </c>
      <c r="I536">
        <v>-69870225</v>
      </c>
      <c r="J536">
        <v>107142593</v>
      </c>
      <c r="K536">
        <v>-48810273</v>
      </c>
      <c r="L536">
        <v>-57412257</v>
      </c>
      <c r="M536">
        <v>-29312776</v>
      </c>
      <c r="N536">
        <v>-80519651</v>
      </c>
      <c r="O536">
        <v>-28226288</v>
      </c>
      <c r="P536">
        <v>131</v>
      </c>
      <c r="Q536" t="s">
        <v>1266</v>
      </c>
    </row>
    <row r="537" spans="1:17" x14ac:dyDescent="0.3">
      <c r="A537" t="s">
        <v>33</v>
      </c>
      <c r="B537" t="str">
        <f>"002312"</f>
        <v>002312</v>
      </c>
      <c r="C537" t="s">
        <v>1267</v>
      </c>
      <c r="D537" t="s">
        <v>386</v>
      </c>
      <c r="E537">
        <v>261505404</v>
      </c>
      <c r="F537">
        <v>-89046917</v>
      </c>
      <c r="G537">
        <v>27604671</v>
      </c>
      <c r="H537">
        <v>-125985847</v>
      </c>
      <c r="I537">
        <v>-76950242</v>
      </c>
      <c r="J537">
        <v>-2522965</v>
      </c>
      <c r="K537">
        <v>-203450994</v>
      </c>
      <c r="L537">
        <v>-145239827</v>
      </c>
      <c r="M537">
        <v>-271424038</v>
      </c>
      <c r="N537">
        <v>-101997448</v>
      </c>
      <c r="O537">
        <v>-123997482</v>
      </c>
      <c r="P537">
        <v>249</v>
      </c>
      <c r="Q537" t="s">
        <v>1268</v>
      </c>
    </row>
    <row r="538" spans="1:17" x14ac:dyDescent="0.3">
      <c r="A538" t="s">
        <v>17</v>
      </c>
      <c r="B538" t="str">
        <f>"603883"</f>
        <v>603883</v>
      </c>
      <c r="C538" t="s">
        <v>1269</v>
      </c>
      <c r="D538" t="s">
        <v>710</v>
      </c>
      <c r="E538">
        <v>260866324</v>
      </c>
      <c r="F538">
        <v>446879815</v>
      </c>
      <c r="G538">
        <v>201335909</v>
      </c>
      <c r="H538">
        <v>197650612</v>
      </c>
      <c r="I538">
        <v>227872561</v>
      </c>
      <c r="J538">
        <v>207112783</v>
      </c>
      <c r="K538">
        <v>100537703</v>
      </c>
      <c r="L538">
        <v>100471006</v>
      </c>
      <c r="M538">
        <v>81469132</v>
      </c>
      <c r="P538">
        <v>868</v>
      </c>
      <c r="Q538" t="s">
        <v>1270</v>
      </c>
    </row>
    <row r="539" spans="1:17" x14ac:dyDescent="0.3">
      <c r="A539" t="s">
        <v>17</v>
      </c>
      <c r="B539" t="str">
        <f>"600368"</f>
        <v>600368</v>
      </c>
      <c r="C539" t="s">
        <v>1271</v>
      </c>
      <c r="D539" t="s">
        <v>458</v>
      </c>
      <c r="E539">
        <v>260342022</v>
      </c>
      <c r="F539">
        <v>281831284</v>
      </c>
      <c r="G539">
        <v>69372648</v>
      </c>
      <c r="H539">
        <v>176034156</v>
      </c>
      <c r="I539">
        <v>278430543</v>
      </c>
      <c r="J539">
        <v>402187834</v>
      </c>
      <c r="K539">
        <v>186361320</v>
      </c>
      <c r="L539">
        <v>358281870</v>
      </c>
      <c r="M539">
        <v>281402326</v>
      </c>
      <c r="N539">
        <v>-224451233</v>
      </c>
      <c r="O539">
        <v>-229971288</v>
      </c>
      <c r="P539">
        <v>302</v>
      </c>
      <c r="Q539" t="s">
        <v>1272</v>
      </c>
    </row>
    <row r="540" spans="1:17" x14ac:dyDescent="0.3">
      <c r="A540" t="s">
        <v>17</v>
      </c>
      <c r="B540" t="str">
        <f>"603290"</f>
        <v>603290</v>
      </c>
      <c r="C540" t="s">
        <v>1273</v>
      </c>
      <c r="D540" t="s">
        <v>1274</v>
      </c>
      <c r="E540">
        <v>259242886</v>
      </c>
      <c r="F540">
        <v>77885426</v>
      </c>
      <c r="G540">
        <v>-65346034</v>
      </c>
      <c r="H540">
        <v>-58451844</v>
      </c>
      <c r="P540">
        <v>635</v>
      </c>
      <c r="Q540" t="s">
        <v>1275</v>
      </c>
    </row>
    <row r="541" spans="1:17" x14ac:dyDescent="0.3">
      <c r="A541" t="s">
        <v>17</v>
      </c>
      <c r="B541" t="str">
        <f>"688008"</f>
        <v>688008</v>
      </c>
      <c r="C541" t="s">
        <v>1276</v>
      </c>
      <c r="D541" t="s">
        <v>1277</v>
      </c>
      <c r="E541">
        <v>258745384</v>
      </c>
      <c r="F541">
        <v>128421273</v>
      </c>
      <c r="G541">
        <v>272493586</v>
      </c>
      <c r="H541">
        <v>87466100</v>
      </c>
      <c r="I541">
        <v>141141000</v>
      </c>
      <c r="P541">
        <v>522</v>
      </c>
      <c r="Q541" t="s">
        <v>1278</v>
      </c>
    </row>
    <row r="542" spans="1:17" x14ac:dyDescent="0.3">
      <c r="A542" t="s">
        <v>33</v>
      </c>
      <c r="B542" t="str">
        <f>"002239"</f>
        <v>002239</v>
      </c>
      <c r="C542" t="s">
        <v>1279</v>
      </c>
      <c r="D542" t="s">
        <v>603</v>
      </c>
      <c r="E542">
        <v>258593022</v>
      </c>
      <c r="F542">
        <v>29652473</v>
      </c>
      <c r="G542">
        <v>19059679</v>
      </c>
      <c r="H542">
        <v>227528226</v>
      </c>
      <c r="I542">
        <v>40180568</v>
      </c>
      <c r="J542">
        <v>50592838</v>
      </c>
      <c r="K542">
        <v>24038957</v>
      </c>
      <c r="L542">
        <v>9577230</v>
      </c>
      <c r="M542">
        <v>16592247</v>
      </c>
      <c r="N542">
        <v>-1308588</v>
      </c>
      <c r="O542">
        <v>13297194</v>
      </c>
      <c r="P542">
        <v>242</v>
      </c>
      <c r="Q542" t="s">
        <v>1280</v>
      </c>
    </row>
    <row r="543" spans="1:17" x14ac:dyDescent="0.3">
      <c r="A543" t="s">
        <v>17</v>
      </c>
      <c r="B543" t="str">
        <f>"600869"</f>
        <v>600869</v>
      </c>
      <c r="C543" t="s">
        <v>1281</v>
      </c>
      <c r="D543" t="s">
        <v>1282</v>
      </c>
      <c r="E543">
        <v>256404085</v>
      </c>
      <c r="F543">
        <v>219770480</v>
      </c>
      <c r="G543">
        <v>44890513</v>
      </c>
      <c r="H543">
        <v>735113733</v>
      </c>
      <c r="I543">
        <v>-803973185</v>
      </c>
      <c r="J543">
        <v>-471182340</v>
      </c>
      <c r="K543">
        <v>-26308020</v>
      </c>
      <c r="L543">
        <v>190650016</v>
      </c>
      <c r="M543">
        <v>366573063</v>
      </c>
      <c r="N543">
        <v>45036154</v>
      </c>
      <c r="O543">
        <v>103601462</v>
      </c>
      <c r="P543">
        <v>206</v>
      </c>
      <c r="Q543" t="s">
        <v>1283</v>
      </c>
    </row>
    <row r="544" spans="1:17" x14ac:dyDescent="0.3">
      <c r="A544" t="s">
        <v>33</v>
      </c>
      <c r="B544" t="str">
        <f>"300761"</f>
        <v>300761</v>
      </c>
      <c r="C544" t="s">
        <v>1284</v>
      </c>
      <c r="D544" t="s">
        <v>1285</v>
      </c>
      <c r="E544">
        <v>255105792</v>
      </c>
      <c r="F544">
        <v>193372043</v>
      </c>
      <c r="G544">
        <v>-178225458</v>
      </c>
      <c r="H544">
        <v>120882255</v>
      </c>
      <c r="I544">
        <v>474322269</v>
      </c>
      <c r="P544">
        <v>369</v>
      </c>
      <c r="Q544" t="s">
        <v>1286</v>
      </c>
    </row>
    <row r="545" spans="1:17" x14ac:dyDescent="0.3">
      <c r="A545" t="s">
        <v>17</v>
      </c>
      <c r="B545" t="str">
        <f>"601228"</f>
        <v>601228</v>
      </c>
      <c r="C545" t="s">
        <v>1287</v>
      </c>
      <c r="D545" t="s">
        <v>289</v>
      </c>
      <c r="E545">
        <v>252983181</v>
      </c>
      <c r="F545">
        <v>424487819</v>
      </c>
      <c r="G545">
        <v>350112003</v>
      </c>
      <c r="H545">
        <v>349709041</v>
      </c>
      <c r="I545">
        <v>325029198</v>
      </c>
      <c r="J545">
        <v>140818622</v>
      </c>
      <c r="K545">
        <v>65795302</v>
      </c>
      <c r="P545">
        <v>189</v>
      </c>
      <c r="Q545" t="s">
        <v>1288</v>
      </c>
    </row>
    <row r="546" spans="1:17" x14ac:dyDescent="0.3">
      <c r="A546" t="s">
        <v>17</v>
      </c>
      <c r="B546" t="str">
        <f>"603707"</f>
        <v>603707</v>
      </c>
      <c r="C546" t="s">
        <v>1289</v>
      </c>
      <c r="D546" t="s">
        <v>590</v>
      </c>
      <c r="E546">
        <v>252013311</v>
      </c>
      <c r="F546">
        <v>6147711</v>
      </c>
      <c r="G546">
        <v>-90491766</v>
      </c>
      <c r="H546">
        <v>-187730317</v>
      </c>
      <c r="I546">
        <v>58911763</v>
      </c>
      <c r="J546">
        <v>-33939048</v>
      </c>
      <c r="K546">
        <v>-14153884</v>
      </c>
      <c r="P546">
        <v>771</v>
      </c>
      <c r="Q546" t="s">
        <v>1290</v>
      </c>
    </row>
    <row r="547" spans="1:17" x14ac:dyDescent="0.3">
      <c r="A547" t="s">
        <v>17</v>
      </c>
      <c r="B547" t="str">
        <f>"603055"</f>
        <v>603055</v>
      </c>
      <c r="C547" t="s">
        <v>1291</v>
      </c>
      <c r="D547" t="s">
        <v>1292</v>
      </c>
      <c r="E547">
        <v>248926924</v>
      </c>
      <c r="F547">
        <v>-57123188</v>
      </c>
      <c r="G547">
        <v>-132201583</v>
      </c>
      <c r="H547">
        <v>14192669</v>
      </c>
      <c r="I547">
        <v>-962731</v>
      </c>
      <c r="J547">
        <v>63751421</v>
      </c>
      <c r="P547">
        <v>145</v>
      </c>
      <c r="Q547" t="s">
        <v>1293</v>
      </c>
    </row>
    <row r="548" spans="1:17" x14ac:dyDescent="0.3">
      <c r="A548" t="s">
        <v>17</v>
      </c>
      <c r="B548" t="str">
        <f>"603300"</f>
        <v>603300</v>
      </c>
      <c r="C548" t="s">
        <v>1294</v>
      </c>
      <c r="D548" t="s">
        <v>180</v>
      </c>
      <c r="E548">
        <v>248489287</v>
      </c>
      <c r="F548">
        <v>332417583</v>
      </c>
      <c r="G548">
        <v>110556260</v>
      </c>
      <c r="H548">
        <v>270156842</v>
      </c>
      <c r="I548">
        <v>-141798082</v>
      </c>
      <c r="J548">
        <v>-619371335</v>
      </c>
      <c r="K548">
        <v>-774778593</v>
      </c>
      <c r="L548">
        <v>42324042</v>
      </c>
      <c r="M548">
        <v>45725807</v>
      </c>
      <c r="P548">
        <v>123</v>
      </c>
      <c r="Q548" t="s">
        <v>1295</v>
      </c>
    </row>
    <row r="549" spans="1:17" x14ac:dyDescent="0.3">
      <c r="A549" t="s">
        <v>33</v>
      </c>
      <c r="B549" t="str">
        <f>"002511"</f>
        <v>002511</v>
      </c>
      <c r="C549" t="s">
        <v>1296</v>
      </c>
      <c r="D549" t="s">
        <v>974</v>
      </c>
      <c r="E549">
        <v>247480435</v>
      </c>
      <c r="F549">
        <v>334905166</v>
      </c>
      <c r="G549">
        <v>330547735</v>
      </c>
      <c r="H549">
        <v>507080485</v>
      </c>
      <c r="I549">
        <v>-209594411</v>
      </c>
      <c r="J549">
        <v>-116539613</v>
      </c>
      <c r="K549">
        <v>-26697111</v>
      </c>
      <c r="L549">
        <v>183641670</v>
      </c>
      <c r="M549">
        <v>50253223</v>
      </c>
      <c r="N549">
        <v>-157385962</v>
      </c>
      <c r="O549">
        <v>-5361488</v>
      </c>
      <c r="P549">
        <v>2513</v>
      </c>
      <c r="Q549" t="s">
        <v>1297</v>
      </c>
    </row>
    <row r="550" spans="1:17" x14ac:dyDescent="0.3">
      <c r="A550" t="s">
        <v>17</v>
      </c>
      <c r="B550" t="str">
        <f>"600703"</f>
        <v>600703</v>
      </c>
      <c r="C550" t="s">
        <v>1298</v>
      </c>
      <c r="D550" t="s">
        <v>1299</v>
      </c>
      <c r="E550">
        <v>247372660</v>
      </c>
      <c r="F550">
        <v>640759150</v>
      </c>
      <c r="G550">
        <v>128841866</v>
      </c>
      <c r="H550">
        <v>805259558</v>
      </c>
      <c r="I550">
        <v>944562898</v>
      </c>
      <c r="J550">
        <v>666291857</v>
      </c>
      <c r="K550">
        <v>456481844</v>
      </c>
      <c r="L550">
        <v>534883164</v>
      </c>
      <c r="M550">
        <v>-121247968</v>
      </c>
      <c r="N550">
        <v>222679873</v>
      </c>
      <c r="O550">
        <v>134197657</v>
      </c>
      <c r="P550">
        <v>2761</v>
      </c>
      <c r="Q550" t="s">
        <v>1300</v>
      </c>
    </row>
    <row r="551" spans="1:17" x14ac:dyDescent="0.3">
      <c r="A551" t="s">
        <v>33</v>
      </c>
      <c r="B551" t="str">
        <f>"002491"</f>
        <v>002491</v>
      </c>
      <c r="C551" t="s">
        <v>1301</v>
      </c>
      <c r="D551" t="s">
        <v>1302</v>
      </c>
      <c r="E551">
        <v>247293288</v>
      </c>
      <c r="F551">
        <v>-98875044</v>
      </c>
      <c r="G551">
        <v>-144055943</v>
      </c>
      <c r="H551">
        <v>-116089191</v>
      </c>
      <c r="I551">
        <v>-420988235</v>
      </c>
      <c r="J551">
        <v>-269690641</v>
      </c>
      <c r="K551">
        <v>-3596988</v>
      </c>
      <c r="L551">
        <v>-251667683</v>
      </c>
      <c r="M551">
        <v>-182529571</v>
      </c>
      <c r="N551">
        <v>-252315575</v>
      </c>
      <c r="O551">
        <v>-299889032</v>
      </c>
      <c r="P551">
        <v>214</v>
      </c>
      <c r="Q551" t="s">
        <v>1303</v>
      </c>
    </row>
    <row r="552" spans="1:17" x14ac:dyDescent="0.3">
      <c r="A552" t="s">
        <v>33</v>
      </c>
      <c r="B552" t="str">
        <f>"300401"</f>
        <v>300401</v>
      </c>
      <c r="C552" t="s">
        <v>1304</v>
      </c>
      <c r="D552" t="s">
        <v>941</v>
      </c>
      <c r="E552">
        <v>245658563</v>
      </c>
      <c r="F552">
        <v>77397844</v>
      </c>
      <c r="G552">
        <v>70800374</v>
      </c>
      <c r="H552">
        <v>162458350</v>
      </c>
      <c r="I552">
        <v>97624377</v>
      </c>
      <c r="J552">
        <v>16493563</v>
      </c>
      <c r="K552">
        <v>-9007096</v>
      </c>
      <c r="L552">
        <v>11083962</v>
      </c>
      <c r="M552">
        <v>14770796</v>
      </c>
      <c r="P552">
        <v>476</v>
      </c>
      <c r="Q552" t="s">
        <v>1305</v>
      </c>
    </row>
    <row r="553" spans="1:17" x14ac:dyDescent="0.3">
      <c r="A553" t="s">
        <v>33</v>
      </c>
      <c r="B553" t="str">
        <f>"000893"</f>
        <v>000893</v>
      </c>
      <c r="C553" t="s">
        <v>1306</v>
      </c>
      <c r="D553" t="s">
        <v>188</v>
      </c>
      <c r="E553">
        <v>243436847</v>
      </c>
      <c r="F553">
        <v>81619835</v>
      </c>
      <c r="G553">
        <v>17559725</v>
      </c>
      <c r="H553">
        <v>-33670971</v>
      </c>
      <c r="I553">
        <v>11906071</v>
      </c>
      <c r="J553">
        <v>-49015443</v>
      </c>
      <c r="K553">
        <v>-141913637</v>
      </c>
      <c r="L553">
        <v>-36714417</v>
      </c>
      <c r="M553">
        <v>1138867235</v>
      </c>
      <c r="N553">
        <v>435440828</v>
      </c>
      <c r="O553">
        <v>217069930</v>
      </c>
      <c r="P553">
        <v>159</v>
      </c>
      <c r="Q553" t="s">
        <v>1307</v>
      </c>
    </row>
    <row r="554" spans="1:17" x14ac:dyDescent="0.3">
      <c r="A554" t="s">
        <v>17</v>
      </c>
      <c r="B554" t="str">
        <f>"603678"</f>
        <v>603678</v>
      </c>
      <c r="C554" t="s">
        <v>1308</v>
      </c>
      <c r="D554" t="s">
        <v>617</v>
      </c>
      <c r="E554">
        <v>242596772</v>
      </c>
      <c r="F554">
        <v>30039063</v>
      </c>
      <c r="G554">
        <v>15133670</v>
      </c>
      <c r="H554">
        <v>83577587</v>
      </c>
      <c r="I554">
        <v>-55653509</v>
      </c>
      <c r="J554">
        <v>20554554</v>
      </c>
      <c r="K554">
        <v>24628255</v>
      </c>
      <c r="L554">
        <v>9405246</v>
      </c>
      <c r="M554">
        <v>5836499</v>
      </c>
      <c r="P554">
        <v>639</v>
      </c>
      <c r="Q554" t="s">
        <v>1309</v>
      </c>
    </row>
    <row r="555" spans="1:17" x14ac:dyDescent="0.3">
      <c r="A555" t="s">
        <v>17</v>
      </c>
      <c r="B555" t="str">
        <f>"600583"</f>
        <v>600583</v>
      </c>
      <c r="C555" t="s">
        <v>1310</v>
      </c>
      <c r="D555" t="s">
        <v>1311</v>
      </c>
      <c r="E555">
        <v>242473600</v>
      </c>
      <c r="F555">
        <v>53803500</v>
      </c>
      <c r="G555">
        <v>-531314150</v>
      </c>
      <c r="H555">
        <v>-47723710</v>
      </c>
      <c r="I555">
        <v>-858173598</v>
      </c>
      <c r="J555">
        <v>-454904082</v>
      </c>
      <c r="K555">
        <v>868777735</v>
      </c>
      <c r="L555">
        <v>19521125</v>
      </c>
      <c r="M555">
        <v>1456324059</v>
      </c>
      <c r="N555">
        <v>169054906</v>
      </c>
      <c r="O555">
        <v>512830510</v>
      </c>
      <c r="P555">
        <v>359</v>
      </c>
      <c r="Q555" t="s">
        <v>1312</v>
      </c>
    </row>
    <row r="556" spans="1:17" x14ac:dyDescent="0.3">
      <c r="A556" t="s">
        <v>17</v>
      </c>
      <c r="B556" t="str">
        <f>"600211"</f>
        <v>600211</v>
      </c>
      <c r="C556" t="s">
        <v>1313</v>
      </c>
      <c r="D556" t="s">
        <v>533</v>
      </c>
      <c r="E556">
        <v>242413334</v>
      </c>
      <c r="F556">
        <v>220317633</v>
      </c>
      <c r="G556">
        <v>138364960</v>
      </c>
      <c r="H556">
        <v>137916607</v>
      </c>
      <c r="I556">
        <v>57631036</v>
      </c>
      <c r="J556">
        <v>-8095430</v>
      </c>
      <c r="K556">
        <v>23412809</v>
      </c>
      <c r="L556">
        <v>-32227348</v>
      </c>
      <c r="M556">
        <v>-126592004</v>
      </c>
      <c r="N556">
        <v>-33068754</v>
      </c>
      <c r="O556">
        <v>-6291190</v>
      </c>
      <c r="P556">
        <v>530</v>
      </c>
      <c r="Q556" t="s">
        <v>1314</v>
      </c>
    </row>
    <row r="557" spans="1:17" x14ac:dyDescent="0.3">
      <c r="A557" t="s">
        <v>33</v>
      </c>
      <c r="B557" t="str">
        <f>"300896"</f>
        <v>300896</v>
      </c>
      <c r="C557" t="s">
        <v>1315</v>
      </c>
      <c r="D557" t="s">
        <v>1316</v>
      </c>
      <c r="E557">
        <v>240340450</v>
      </c>
      <c r="F557">
        <v>154835447</v>
      </c>
      <c r="G557">
        <v>-8157700</v>
      </c>
      <c r="H557">
        <v>39041300</v>
      </c>
      <c r="P557">
        <v>1332</v>
      </c>
      <c r="Q557" t="s">
        <v>1317</v>
      </c>
    </row>
    <row r="558" spans="1:17" x14ac:dyDescent="0.3">
      <c r="A558" t="s">
        <v>17</v>
      </c>
      <c r="B558" t="str">
        <f>"603698"</f>
        <v>603698</v>
      </c>
      <c r="C558" t="s">
        <v>1318</v>
      </c>
      <c r="D558" t="s">
        <v>1132</v>
      </c>
      <c r="E558">
        <v>239796954</v>
      </c>
      <c r="F558">
        <v>232124232</v>
      </c>
      <c r="G558">
        <v>221103114</v>
      </c>
      <c r="H558">
        <v>62001063</v>
      </c>
      <c r="I558">
        <v>-82955184</v>
      </c>
      <c r="J558">
        <v>32433790</v>
      </c>
      <c r="K558">
        <v>-135221687</v>
      </c>
      <c r="L558">
        <v>-41606425</v>
      </c>
      <c r="M558">
        <v>-40596941</v>
      </c>
      <c r="P558">
        <v>108</v>
      </c>
      <c r="Q558" t="s">
        <v>1319</v>
      </c>
    </row>
    <row r="559" spans="1:17" x14ac:dyDescent="0.3">
      <c r="A559" t="s">
        <v>17</v>
      </c>
      <c r="B559" t="str">
        <f>"600739"</f>
        <v>600739</v>
      </c>
      <c r="C559" t="s">
        <v>1320</v>
      </c>
      <c r="D559" t="s">
        <v>1321</v>
      </c>
      <c r="E559">
        <v>238371121</v>
      </c>
      <c r="F559">
        <v>-177695150</v>
      </c>
      <c r="G559">
        <v>-77666604</v>
      </c>
      <c r="H559">
        <v>235373623</v>
      </c>
      <c r="I559">
        <v>-174203603</v>
      </c>
      <c r="J559">
        <v>-387349891</v>
      </c>
      <c r="K559">
        <v>-14514608</v>
      </c>
      <c r="L559">
        <v>-210470085</v>
      </c>
      <c r="M559">
        <v>222475907</v>
      </c>
      <c r="N559">
        <v>-47277255</v>
      </c>
      <c r="O559">
        <v>-190443116</v>
      </c>
      <c r="P559">
        <v>338</v>
      </c>
      <c r="Q559" t="s">
        <v>1322</v>
      </c>
    </row>
    <row r="560" spans="1:17" x14ac:dyDescent="0.3">
      <c r="A560" t="s">
        <v>33</v>
      </c>
      <c r="B560" t="str">
        <f>"002267"</f>
        <v>002267</v>
      </c>
      <c r="C560" t="s">
        <v>1323</v>
      </c>
      <c r="D560" t="s">
        <v>649</v>
      </c>
      <c r="E560">
        <v>237761797</v>
      </c>
      <c r="F560">
        <v>437862661</v>
      </c>
      <c r="G560">
        <v>576953871</v>
      </c>
      <c r="H560">
        <v>1179469075</v>
      </c>
      <c r="I560">
        <v>400480237</v>
      </c>
      <c r="J560">
        <v>227966192</v>
      </c>
      <c r="K560">
        <v>506644849</v>
      </c>
      <c r="L560">
        <v>346885286</v>
      </c>
      <c r="M560">
        <v>424472009</v>
      </c>
      <c r="N560">
        <v>259959816</v>
      </c>
      <c r="O560">
        <v>201633061</v>
      </c>
      <c r="P560">
        <v>202</v>
      </c>
      <c r="Q560" t="s">
        <v>1324</v>
      </c>
    </row>
    <row r="561" spans="1:17" x14ac:dyDescent="0.3">
      <c r="A561" t="s">
        <v>33</v>
      </c>
      <c r="B561" t="str">
        <f>"000732"</f>
        <v>000732</v>
      </c>
      <c r="C561" t="s">
        <v>1325</v>
      </c>
      <c r="D561" t="s">
        <v>167</v>
      </c>
      <c r="E561">
        <v>237166305</v>
      </c>
      <c r="F561">
        <v>-627164784</v>
      </c>
      <c r="G561">
        <v>-2930525791</v>
      </c>
      <c r="H561">
        <v>11938764023</v>
      </c>
      <c r="I561">
        <v>-4599485922</v>
      </c>
      <c r="J561">
        <v>-5924749741</v>
      </c>
      <c r="K561">
        <v>-1467570372</v>
      </c>
      <c r="L561">
        <v>1457751084</v>
      </c>
      <c r="M561">
        <v>-9224834303</v>
      </c>
      <c r="N561">
        <v>-1347190184</v>
      </c>
      <c r="O561">
        <v>-96378878</v>
      </c>
      <c r="P561">
        <v>438</v>
      </c>
      <c r="Q561" t="s">
        <v>1326</v>
      </c>
    </row>
    <row r="562" spans="1:17" x14ac:dyDescent="0.3">
      <c r="A562" t="s">
        <v>17</v>
      </c>
      <c r="B562" t="str">
        <f>"603379"</f>
        <v>603379</v>
      </c>
      <c r="C562" t="s">
        <v>1327</v>
      </c>
      <c r="D562" t="s">
        <v>881</v>
      </c>
      <c r="E562">
        <v>237046946</v>
      </c>
      <c r="F562">
        <v>8143402</v>
      </c>
      <c r="G562">
        <v>248400483</v>
      </c>
      <c r="H562">
        <v>188783127</v>
      </c>
      <c r="I562">
        <v>246034391</v>
      </c>
      <c r="P562">
        <v>140</v>
      </c>
      <c r="Q562" t="s">
        <v>1328</v>
      </c>
    </row>
    <row r="563" spans="1:17" x14ac:dyDescent="0.3">
      <c r="A563" t="s">
        <v>33</v>
      </c>
      <c r="B563" t="str">
        <f>"002643"</f>
        <v>002643</v>
      </c>
      <c r="C563" t="s">
        <v>1329</v>
      </c>
      <c r="D563" t="s">
        <v>1330</v>
      </c>
      <c r="E563">
        <v>233760692</v>
      </c>
      <c r="F563">
        <v>382456037</v>
      </c>
      <c r="G563">
        <v>227647906</v>
      </c>
      <c r="H563">
        <v>204837082</v>
      </c>
      <c r="I563">
        <v>95638135</v>
      </c>
      <c r="J563">
        <v>257293821</v>
      </c>
      <c r="K563">
        <v>102339094</v>
      </c>
      <c r="L563">
        <v>133686241</v>
      </c>
      <c r="M563">
        <v>25001014</v>
      </c>
      <c r="N563">
        <v>28403042</v>
      </c>
      <c r="O563">
        <v>59384</v>
      </c>
      <c r="P563">
        <v>387</v>
      </c>
      <c r="Q563" t="s">
        <v>1331</v>
      </c>
    </row>
    <row r="564" spans="1:17" x14ac:dyDescent="0.3">
      <c r="A564" t="s">
        <v>17</v>
      </c>
      <c r="B564" t="str">
        <f>"600962"</f>
        <v>600962</v>
      </c>
      <c r="C564" t="s">
        <v>1332</v>
      </c>
      <c r="D564" t="s">
        <v>768</v>
      </c>
      <c r="E564">
        <v>233449506</v>
      </c>
      <c r="F564">
        <v>213786852</v>
      </c>
      <c r="G564">
        <v>295573489</v>
      </c>
      <c r="H564">
        <v>148544242</v>
      </c>
      <c r="I564">
        <v>229722550</v>
      </c>
      <c r="J564">
        <v>198248413</v>
      </c>
      <c r="K564">
        <v>206422475</v>
      </c>
      <c r="L564">
        <v>184416493</v>
      </c>
      <c r="M564">
        <v>117357737</v>
      </c>
      <c r="N564">
        <v>210759446</v>
      </c>
      <c r="O564">
        <v>158503663</v>
      </c>
      <c r="P564">
        <v>94</v>
      </c>
      <c r="Q564" t="s">
        <v>1333</v>
      </c>
    </row>
    <row r="565" spans="1:17" x14ac:dyDescent="0.3">
      <c r="A565" t="s">
        <v>33</v>
      </c>
      <c r="B565" t="str">
        <f>"300040"</f>
        <v>300040</v>
      </c>
      <c r="C565" t="s">
        <v>1334</v>
      </c>
      <c r="D565" t="s">
        <v>1182</v>
      </c>
      <c r="E565">
        <v>233119392</v>
      </c>
      <c r="F565">
        <v>20718838</v>
      </c>
      <c r="G565">
        <v>-13894917</v>
      </c>
      <c r="H565">
        <v>16448465</v>
      </c>
      <c r="I565">
        <v>-1165956</v>
      </c>
      <c r="J565">
        <v>-27016497</v>
      </c>
      <c r="K565">
        <v>4832125</v>
      </c>
      <c r="L565">
        <v>772115</v>
      </c>
      <c r="M565">
        <v>-4688386</v>
      </c>
      <c r="N565">
        <v>-18576058</v>
      </c>
      <c r="O565">
        <v>9859227</v>
      </c>
      <c r="P565">
        <v>214</v>
      </c>
      <c r="Q565" t="s">
        <v>1335</v>
      </c>
    </row>
    <row r="566" spans="1:17" x14ac:dyDescent="0.3">
      <c r="A566" t="s">
        <v>33</v>
      </c>
      <c r="B566" t="str">
        <f>"000767"</f>
        <v>000767</v>
      </c>
      <c r="C566" t="s">
        <v>1336</v>
      </c>
      <c r="D566" t="s">
        <v>145</v>
      </c>
      <c r="E566">
        <v>233092885</v>
      </c>
      <c r="F566">
        <v>318690795</v>
      </c>
      <c r="G566">
        <v>398186051</v>
      </c>
      <c r="H566">
        <v>864747587</v>
      </c>
      <c r="I566">
        <v>474890390</v>
      </c>
      <c r="J566">
        <v>8554200</v>
      </c>
      <c r="K566">
        <v>-389184620</v>
      </c>
      <c r="L566">
        <v>447883204</v>
      </c>
      <c r="M566">
        <v>568758537</v>
      </c>
      <c r="N566">
        <v>539362732</v>
      </c>
      <c r="O566">
        <v>125567943</v>
      </c>
      <c r="P566">
        <v>173</v>
      </c>
      <c r="Q566" t="s">
        <v>1337</v>
      </c>
    </row>
    <row r="567" spans="1:17" x14ac:dyDescent="0.3">
      <c r="A567" t="s">
        <v>17</v>
      </c>
      <c r="B567" t="str">
        <f>"603087"</f>
        <v>603087</v>
      </c>
      <c r="C567" t="s">
        <v>1338</v>
      </c>
      <c r="D567" t="s">
        <v>756</v>
      </c>
      <c r="E567">
        <v>233080060</v>
      </c>
      <c r="F567">
        <v>209569538</v>
      </c>
      <c r="G567">
        <v>235069613</v>
      </c>
      <c r="H567">
        <v>290013526</v>
      </c>
      <c r="P567">
        <v>677</v>
      </c>
      <c r="Q567" t="s">
        <v>1339</v>
      </c>
    </row>
    <row r="568" spans="1:17" x14ac:dyDescent="0.3">
      <c r="A568" t="s">
        <v>33</v>
      </c>
      <c r="B568" t="str">
        <f>"300225"</f>
        <v>300225</v>
      </c>
      <c r="C568" t="s">
        <v>1340</v>
      </c>
      <c r="D568" t="s">
        <v>1341</v>
      </c>
      <c r="E568">
        <v>232225462</v>
      </c>
      <c r="F568">
        <v>-149085954</v>
      </c>
      <c r="G568">
        <v>49119937</v>
      </c>
      <c r="H568">
        <v>-26087349</v>
      </c>
      <c r="I568">
        <v>-47735014</v>
      </c>
      <c r="J568">
        <v>27625766</v>
      </c>
      <c r="K568">
        <v>10300959</v>
      </c>
      <c r="L568">
        <v>-1527421</v>
      </c>
      <c r="M568">
        <v>42165109</v>
      </c>
      <c r="N568">
        <v>17170921</v>
      </c>
      <c r="O568">
        <v>40532608</v>
      </c>
      <c r="P568">
        <v>94</v>
      </c>
      <c r="Q568" t="s">
        <v>1342</v>
      </c>
    </row>
    <row r="569" spans="1:17" x14ac:dyDescent="0.3">
      <c r="A569" t="s">
        <v>33</v>
      </c>
      <c r="B569" t="str">
        <f>"000089"</f>
        <v>000089</v>
      </c>
      <c r="C569" t="s">
        <v>1343</v>
      </c>
      <c r="D569" t="s">
        <v>1344</v>
      </c>
      <c r="E569">
        <v>232017697</v>
      </c>
      <c r="F569">
        <v>398798171</v>
      </c>
      <c r="G569">
        <v>176281868</v>
      </c>
      <c r="H569">
        <v>31944453</v>
      </c>
      <c r="I569">
        <v>131959991</v>
      </c>
      <c r="J569">
        <v>169806752</v>
      </c>
      <c r="K569">
        <v>260187816</v>
      </c>
      <c r="L569">
        <v>223465648</v>
      </c>
      <c r="M569">
        <v>171055949</v>
      </c>
      <c r="N569">
        <v>146078426</v>
      </c>
      <c r="O569">
        <v>131882902</v>
      </c>
      <c r="P569">
        <v>665</v>
      </c>
      <c r="Q569" t="s">
        <v>1345</v>
      </c>
    </row>
    <row r="570" spans="1:17" x14ac:dyDescent="0.3">
      <c r="A570" t="s">
        <v>33</v>
      </c>
      <c r="B570" t="str">
        <f>"300628"</f>
        <v>300628</v>
      </c>
      <c r="C570" t="s">
        <v>1346</v>
      </c>
      <c r="D570" t="s">
        <v>1347</v>
      </c>
      <c r="E570">
        <v>231125006</v>
      </c>
      <c r="F570">
        <v>187097474</v>
      </c>
      <c r="G570">
        <v>281845742</v>
      </c>
      <c r="H570">
        <v>170097271</v>
      </c>
      <c r="I570">
        <v>141737389</v>
      </c>
      <c r="J570">
        <v>101094332</v>
      </c>
      <c r="K570">
        <v>73540277</v>
      </c>
      <c r="P570">
        <v>2264</v>
      </c>
      <c r="Q570" t="s">
        <v>1348</v>
      </c>
    </row>
    <row r="571" spans="1:17" x14ac:dyDescent="0.3">
      <c r="A571" t="s">
        <v>17</v>
      </c>
      <c r="B571" t="str">
        <f>"600023"</f>
        <v>600023</v>
      </c>
      <c r="C571" t="s">
        <v>1349</v>
      </c>
      <c r="D571" t="s">
        <v>145</v>
      </c>
      <c r="E571">
        <v>230627556</v>
      </c>
      <c r="F571">
        <v>418130253</v>
      </c>
      <c r="G571">
        <v>1520358310</v>
      </c>
      <c r="H571">
        <v>1510294754</v>
      </c>
      <c r="I571">
        <v>1657445114</v>
      </c>
      <c r="J571">
        <v>2252983883</v>
      </c>
      <c r="K571">
        <v>4164023218</v>
      </c>
      <c r="L571">
        <v>4395168166</v>
      </c>
      <c r="M571">
        <v>2422006620</v>
      </c>
      <c r="N571">
        <v>2587895264</v>
      </c>
      <c r="P571">
        <v>918</v>
      </c>
      <c r="Q571" t="s">
        <v>1350</v>
      </c>
    </row>
    <row r="572" spans="1:17" x14ac:dyDescent="0.3">
      <c r="A572" t="s">
        <v>17</v>
      </c>
      <c r="B572" t="str">
        <f>"603128"</f>
        <v>603128</v>
      </c>
      <c r="C572" t="s">
        <v>1351</v>
      </c>
      <c r="D572" t="s">
        <v>272</v>
      </c>
      <c r="E572">
        <v>230261545</v>
      </c>
      <c r="F572">
        <v>-41512445</v>
      </c>
      <c r="G572">
        <v>103198104</v>
      </c>
      <c r="H572">
        <v>115308407</v>
      </c>
      <c r="I572">
        <v>66712714</v>
      </c>
      <c r="J572">
        <v>-15007467</v>
      </c>
      <c r="K572">
        <v>54749425</v>
      </c>
      <c r="L572">
        <v>-25677913</v>
      </c>
      <c r="M572">
        <v>101528724</v>
      </c>
      <c r="N572">
        <v>34492919</v>
      </c>
      <c r="O572">
        <v>-203761990</v>
      </c>
      <c r="P572">
        <v>273</v>
      </c>
      <c r="Q572" t="s">
        <v>1352</v>
      </c>
    </row>
    <row r="573" spans="1:17" x14ac:dyDescent="0.3">
      <c r="A573" t="s">
        <v>33</v>
      </c>
      <c r="B573" t="str">
        <f>"002483"</f>
        <v>002483</v>
      </c>
      <c r="C573" t="s">
        <v>1353</v>
      </c>
      <c r="D573" t="s">
        <v>1132</v>
      </c>
      <c r="E573">
        <v>229192426</v>
      </c>
      <c r="F573">
        <v>-85242644</v>
      </c>
      <c r="G573">
        <v>-15990204</v>
      </c>
      <c r="H573">
        <v>239771312</v>
      </c>
      <c r="I573">
        <v>-76657750</v>
      </c>
      <c r="J573">
        <v>-41373209</v>
      </c>
      <c r="K573">
        <v>-97007549</v>
      </c>
      <c r="L573">
        <v>-46061880</v>
      </c>
      <c r="M573">
        <v>-105641096</v>
      </c>
      <c r="N573">
        <v>-52341402</v>
      </c>
      <c r="O573">
        <v>-77864499</v>
      </c>
      <c r="P573">
        <v>93</v>
      </c>
      <c r="Q573" t="s">
        <v>1354</v>
      </c>
    </row>
    <row r="574" spans="1:17" x14ac:dyDescent="0.3">
      <c r="A574" t="s">
        <v>17</v>
      </c>
      <c r="B574" t="str">
        <f>"603866"</f>
        <v>603866</v>
      </c>
      <c r="C574" t="s">
        <v>1355</v>
      </c>
      <c r="D574" t="s">
        <v>1356</v>
      </c>
      <c r="E574">
        <v>228565160</v>
      </c>
      <c r="F574">
        <v>175563076</v>
      </c>
      <c r="G574">
        <v>196937984</v>
      </c>
      <c r="H574">
        <v>146535611</v>
      </c>
      <c r="I574">
        <v>174521672</v>
      </c>
      <c r="J574">
        <v>111456122</v>
      </c>
      <c r="K574">
        <v>125656449</v>
      </c>
      <c r="L574">
        <v>68352900</v>
      </c>
      <c r="P574">
        <v>7676</v>
      </c>
      <c r="Q574" t="s">
        <v>1357</v>
      </c>
    </row>
    <row r="575" spans="1:17" x14ac:dyDescent="0.3">
      <c r="A575" t="s">
        <v>33</v>
      </c>
      <c r="B575" t="str">
        <f>"002131"</f>
        <v>002131</v>
      </c>
      <c r="C575" t="s">
        <v>1358</v>
      </c>
      <c r="D575" t="s">
        <v>1125</v>
      </c>
      <c r="E575">
        <v>226964855</v>
      </c>
      <c r="F575">
        <v>-374520119</v>
      </c>
      <c r="G575">
        <v>-108608783</v>
      </c>
      <c r="H575">
        <v>555815656</v>
      </c>
      <c r="I575">
        <v>-309884588</v>
      </c>
      <c r="J575">
        <v>-346237821</v>
      </c>
      <c r="K575">
        <v>-143958205</v>
      </c>
      <c r="L575">
        <v>129613116</v>
      </c>
      <c r="M575">
        <v>-8648597</v>
      </c>
      <c r="N575">
        <v>-17248188</v>
      </c>
      <c r="O575">
        <v>-33121124</v>
      </c>
      <c r="P575">
        <v>417</v>
      </c>
      <c r="Q575" t="s">
        <v>1359</v>
      </c>
    </row>
    <row r="576" spans="1:17" x14ac:dyDescent="0.3">
      <c r="A576" t="s">
        <v>33</v>
      </c>
      <c r="B576" t="str">
        <f>"301082"</f>
        <v>301082</v>
      </c>
      <c r="C576" t="s">
        <v>1360</v>
      </c>
      <c r="D576" t="s">
        <v>1282</v>
      </c>
      <c r="E576">
        <v>225346311</v>
      </c>
      <c r="P576">
        <v>17</v>
      </c>
      <c r="Q576" t="s">
        <v>1361</v>
      </c>
    </row>
    <row r="577" spans="1:17" x14ac:dyDescent="0.3">
      <c r="A577" t="s">
        <v>17</v>
      </c>
      <c r="B577" t="str">
        <f>"603298"</f>
        <v>603298</v>
      </c>
      <c r="C577" t="s">
        <v>1362</v>
      </c>
      <c r="D577" t="s">
        <v>320</v>
      </c>
      <c r="E577">
        <v>225053539</v>
      </c>
      <c r="F577">
        <v>426180056</v>
      </c>
      <c r="G577">
        <v>-14937272</v>
      </c>
      <c r="H577">
        <v>224875471</v>
      </c>
      <c r="I577">
        <v>139393196</v>
      </c>
      <c r="J577">
        <v>117795044</v>
      </c>
      <c r="K577">
        <v>224712329</v>
      </c>
      <c r="P577">
        <v>451</v>
      </c>
      <c r="Q577" t="s">
        <v>1363</v>
      </c>
    </row>
    <row r="578" spans="1:17" x14ac:dyDescent="0.3">
      <c r="A578" t="s">
        <v>17</v>
      </c>
      <c r="B578" t="str">
        <f>"600814"</f>
        <v>600814</v>
      </c>
      <c r="C578" t="s">
        <v>1364</v>
      </c>
      <c r="D578" t="s">
        <v>989</v>
      </c>
      <c r="E578">
        <v>224955561</v>
      </c>
      <c r="F578">
        <v>-24899986</v>
      </c>
      <c r="G578">
        <v>-276307539</v>
      </c>
      <c r="H578">
        <v>-23955033</v>
      </c>
      <c r="I578">
        <v>-78778009</v>
      </c>
      <c r="J578">
        <v>-100256457</v>
      </c>
      <c r="K578">
        <v>-7419562</v>
      </c>
      <c r="L578">
        <v>-109186590</v>
      </c>
      <c r="M578">
        <v>-56833393</v>
      </c>
      <c r="N578">
        <v>-80802138</v>
      </c>
      <c r="O578">
        <v>-60826578</v>
      </c>
      <c r="P578">
        <v>150</v>
      </c>
      <c r="Q578" t="s">
        <v>1365</v>
      </c>
    </row>
    <row r="579" spans="1:17" x14ac:dyDescent="0.3">
      <c r="A579" t="s">
        <v>33</v>
      </c>
      <c r="B579" t="str">
        <f>"300782"</f>
        <v>300782</v>
      </c>
      <c r="C579" t="s">
        <v>1366</v>
      </c>
      <c r="D579" t="s">
        <v>1192</v>
      </c>
      <c r="E579">
        <v>223755068</v>
      </c>
      <c r="F579">
        <v>243897072</v>
      </c>
      <c r="G579">
        <v>3308345</v>
      </c>
      <c r="H579">
        <v>49179623</v>
      </c>
      <c r="I579">
        <v>43841162</v>
      </c>
      <c r="P579">
        <v>1609</v>
      </c>
      <c r="Q579" t="s">
        <v>1367</v>
      </c>
    </row>
    <row r="580" spans="1:17" x14ac:dyDescent="0.3">
      <c r="A580" t="s">
        <v>33</v>
      </c>
      <c r="B580" t="str">
        <f>"000488"</f>
        <v>000488</v>
      </c>
      <c r="C580" t="s">
        <v>1368</v>
      </c>
      <c r="D580" t="s">
        <v>514</v>
      </c>
      <c r="E580">
        <v>222704964</v>
      </c>
      <c r="F580">
        <v>3386890222</v>
      </c>
      <c r="G580">
        <v>655581522</v>
      </c>
      <c r="H580">
        <v>1424685047</v>
      </c>
      <c r="I580">
        <v>1267680953</v>
      </c>
      <c r="J580">
        <v>-1799933756</v>
      </c>
      <c r="K580">
        <v>-3936890898</v>
      </c>
      <c r="L580">
        <v>-524893745</v>
      </c>
      <c r="M580">
        <v>631844126</v>
      </c>
      <c r="N580">
        <v>280787686</v>
      </c>
      <c r="O580">
        <v>-281719305</v>
      </c>
      <c r="P580">
        <v>1270</v>
      </c>
      <c r="Q580" t="s">
        <v>1369</v>
      </c>
    </row>
    <row r="581" spans="1:17" x14ac:dyDescent="0.3">
      <c r="A581" t="s">
        <v>17</v>
      </c>
      <c r="B581" t="str">
        <f>"603518"</f>
        <v>603518</v>
      </c>
      <c r="C581" t="s">
        <v>1370</v>
      </c>
      <c r="D581" t="s">
        <v>581</v>
      </c>
      <c r="E581">
        <v>221925038</v>
      </c>
      <c r="F581">
        <v>162200492</v>
      </c>
      <c r="G581">
        <v>264651636</v>
      </c>
      <c r="H581">
        <v>170950978</v>
      </c>
      <c r="I581">
        <v>101961441</v>
      </c>
      <c r="J581">
        <v>-30790888</v>
      </c>
      <c r="K581">
        <v>32224935</v>
      </c>
      <c r="L581">
        <v>56060668</v>
      </c>
      <c r="M581">
        <v>43663588</v>
      </c>
      <c r="P581">
        <v>204</v>
      </c>
      <c r="Q581" t="s">
        <v>1371</v>
      </c>
    </row>
    <row r="582" spans="1:17" x14ac:dyDescent="0.3">
      <c r="A582" t="s">
        <v>17</v>
      </c>
      <c r="B582" t="str">
        <f>"600828"</f>
        <v>600828</v>
      </c>
      <c r="C582" t="s">
        <v>1372</v>
      </c>
      <c r="D582" t="s">
        <v>989</v>
      </c>
      <c r="E582">
        <v>221752705</v>
      </c>
      <c r="F582">
        <v>228326728</v>
      </c>
      <c r="G582">
        <v>-639636444</v>
      </c>
      <c r="H582">
        <v>-17590317</v>
      </c>
      <c r="I582">
        <v>341695229</v>
      </c>
      <c r="J582">
        <v>60500429</v>
      </c>
      <c r="K582">
        <v>-381112168</v>
      </c>
      <c r="L582">
        <v>99226496</v>
      </c>
      <c r="M582">
        <v>112241118</v>
      </c>
      <c r="N582">
        <v>35160818</v>
      </c>
      <c r="O582">
        <v>110342111</v>
      </c>
      <c r="P582">
        <v>628</v>
      </c>
      <c r="Q582" t="s">
        <v>1373</v>
      </c>
    </row>
    <row r="583" spans="1:17" x14ac:dyDescent="0.3">
      <c r="A583" t="s">
        <v>33</v>
      </c>
      <c r="B583" t="str">
        <f>"002602"</f>
        <v>002602</v>
      </c>
      <c r="C583" t="s">
        <v>1374</v>
      </c>
      <c r="D583" t="s">
        <v>751</v>
      </c>
      <c r="E583">
        <v>220947709</v>
      </c>
      <c r="F583">
        <v>144433410</v>
      </c>
      <c r="G583">
        <v>442528864</v>
      </c>
      <c r="H583">
        <v>90647491</v>
      </c>
      <c r="I583">
        <v>-220460871</v>
      </c>
      <c r="J583">
        <v>-11031874</v>
      </c>
      <c r="K583">
        <v>112823879</v>
      </c>
      <c r="L583">
        <v>-6597362</v>
      </c>
      <c r="M583">
        <v>-18100879</v>
      </c>
      <c r="N583">
        <v>31757211</v>
      </c>
      <c r="O583">
        <v>1463783</v>
      </c>
      <c r="P583">
        <v>718</v>
      </c>
      <c r="Q583" t="s">
        <v>1375</v>
      </c>
    </row>
    <row r="584" spans="1:17" x14ac:dyDescent="0.3">
      <c r="A584" t="s">
        <v>33</v>
      </c>
      <c r="B584" t="str">
        <f>"000968"</f>
        <v>000968</v>
      </c>
      <c r="C584" t="s">
        <v>1376</v>
      </c>
      <c r="D584" t="s">
        <v>439</v>
      </c>
      <c r="E584">
        <v>220147986</v>
      </c>
      <c r="F584">
        <v>4076484</v>
      </c>
      <c r="G584">
        <v>18271393</v>
      </c>
      <c r="H584">
        <v>-184602417</v>
      </c>
      <c r="I584">
        <v>10165292</v>
      </c>
      <c r="J584">
        <v>-126125883</v>
      </c>
      <c r="K584">
        <v>440910647</v>
      </c>
      <c r="L584">
        <v>-442168878</v>
      </c>
      <c r="M584">
        <v>-93403012</v>
      </c>
      <c r="N584">
        <v>-298419513</v>
      </c>
      <c r="O584">
        <v>-62697031</v>
      </c>
      <c r="P584">
        <v>244</v>
      </c>
      <c r="Q584" t="s">
        <v>1377</v>
      </c>
    </row>
    <row r="585" spans="1:17" x14ac:dyDescent="0.3">
      <c r="A585" t="s">
        <v>17</v>
      </c>
      <c r="B585" t="str">
        <f>"601116"</f>
        <v>601116</v>
      </c>
      <c r="C585" t="s">
        <v>1378</v>
      </c>
      <c r="D585" t="s">
        <v>279</v>
      </c>
      <c r="E585">
        <v>219752487</v>
      </c>
      <c r="F585">
        <v>154352256</v>
      </c>
      <c r="G585">
        <v>174490533</v>
      </c>
      <c r="H585">
        <v>159476012</v>
      </c>
      <c r="I585">
        <v>152281320</v>
      </c>
      <c r="J585">
        <v>156018132</v>
      </c>
      <c r="K585">
        <v>97178798</v>
      </c>
      <c r="L585">
        <v>153468202</v>
      </c>
      <c r="M585">
        <v>78807437</v>
      </c>
      <c r="N585">
        <v>213812952</v>
      </c>
      <c r="O585">
        <v>126598345</v>
      </c>
      <c r="P585">
        <v>124</v>
      </c>
      <c r="Q585" t="s">
        <v>1379</v>
      </c>
    </row>
    <row r="586" spans="1:17" x14ac:dyDescent="0.3">
      <c r="A586" t="s">
        <v>17</v>
      </c>
      <c r="B586" t="str">
        <f>"600759"</f>
        <v>600759</v>
      </c>
      <c r="C586" t="s">
        <v>1380</v>
      </c>
      <c r="D586" t="s">
        <v>439</v>
      </c>
      <c r="E586">
        <v>218626790</v>
      </c>
      <c r="F586">
        <v>76047810</v>
      </c>
      <c r="G586">
        <v>216379116</v>
      </c>
      <c r="H586">
        <v>168006896</v>
      </c>
      <c r="I586">
        <v>325465953</v>
      </c>
      <c r="J586">
        <v>136110313</v>
      </c>
      <c r="K586">
        <v>59760790</v>
      </c>
      <c r="L586">
        <v>5185608</v>
      </c>
      <c r="M586">
        <v>116114320</v>
      </c>
      <c r="N586">
        <v>7268986</v>
      </c>
      <c r="O586">
        <v>13106560</v>
      </c>
      <c r="P586">
        <v>125</v>
      </c>
      <c r="Q586" t="s">
        <v>1381</v>
      </c>
    </row>
    <row r="587" spans="1:17" x14ac:dyDescent="0.3">
      <c r="A587" t="s">
        <v>17</v>
      </c>
      <c r="B587" t="str">
        <f>"601827"</f>
        <v>601827</v>
      </c>
      <c r="C587" t="s">
        <v>1382</v>
      </c>
      <c r="D587" t="s">
        <v>897</v>
      </c>
      <c r="E587">
        <v>217920691</v>
      </c>
      <c r="F587">
        <v>300537889</v>
      </c>
      <c r="G587">
        <v>46615529</v>
      </c>
      <c r="H587">
        <v>8028122</v>
      </c>
      <c r="P587">
        <v>143</v>
      </c>
      <c r="Q587" t="s">
        <v>1383</v>
      </c>
    </row>
    <row r="588" spans="1:17" x14ac:dyDescent="0.3">
      <c r="A588" t="s">
        <v>33</v>
      </c>
      <c r="B588" t="str">
        <f>"002574"</f>
        <v>002574</v>
      </c>
      <c r="C588" t="s">
        <v>1384</v>
      </c>
      <c r="D588" t="s">
        <v>161</v>
      </c>
      <c r="E588">
        <v>217527527</v>
      </c>
      <c r="F588">
        <v>-94496494</v>
      </c>
      <c r="G588">
        <v>196994287</v>
      </c>
      <c r="H588">
        <v>21759360</v>
      </c>
      <c r="I588">
        <v>-254523994</v>
      </c>
      <c r="J588">
        <v>58532474</v>
      </c>
      <c r="K588">
        <v>220825826</v>
      </c>
      <c r="L588">
        <v>-227753510</v>
      </c>
      <c r="M588">
        <v>255645215</v>
      </c>
      <c r="N588">
        <v>-19730530</v>
      </c>
      <c r="O588">
        <v>368883927</v>
      </c>
      <c r="P588">
        <v>105</v>
      </c>
      <c r="Q588" t="s">
        <v>1385</v>
      </c>
    </row>
    <row r="589" spans="1:17" x14ac:dyDescent="0.3">
      <c r="A589" t="s">
        <v>33</v>
      </c>
      <c r="B589" t="str">
        <f>"300773"</f>
        <v>300773</v>
      </c>
      <c r="C589" t="s">
        <v>1386</v>
      </c>
      <c r="D589" t="s">
        <v>1387</v>
      </c>
      <c r="E589">
        <v>216820376</v>
      </c>
      <c r="F589">
        <v>86260007</v>
      </c>
      <c r="G589">
        <v>192824087</v>
      </c>
      <c r="H589">
        <v>4611050</v>
      </c>
      <c r="I589">
        <v>3859036</v>
      </c>
      <c r="P589">
        <v>472</v>
      </c>
      <c r="Q589" t="s">
        <v>1388</v>
      </c>
    </row>
    <row r="590" spans="1:17" x14ac:dyDescent="0.3">
      <c r="A590" t="s">
        <v>33</v>
      </c>
      <c r="B590" t="str">
        <f>"002959"</f>
        <v>002959</v>
      </c>
      <c r="C590" t="s">
        <v>1389</v>
      </c>
      <c r="D590" t="s">
        <v>849</v>
      </c>
      <c r="E590">
        <v>216812365</v>
      </c>
      <c r="F590">
        <v>-30614168</v>
      </c>
      <c r="G590">
        <v>183211217</v>
      </c>
      <c r="H590">
        <v>-3654583</v>
      </c>
      <c r="I590">
        <v>46759009</v>
      </c>
      <c r="P590">
        <v>1479</v>
      </c>
      <c r="Q590" t="s">
        <v>1390</v>
      </c>
    </row>
    <row r="591" spans="1:17" x14ac:dyDescent="0.3">
      <c r="A591" t="s">
        <v>33</v>
      </c>
      <c r="B591" t="str">
        <f>"000019"</f>
        <v>000019</v>
      </c>
      <c r="C591" t="s">
        <v>1391</v>
      </c>
      <c r="D591" t="s">
        <v>358</v>
      </c>
      <c r="E591">
        <v>216416899</v>
      </c>
      <c r="F591">
        <v>-222629716</v>
      </c>
      <c r="G591">
        <v>297500751</v>
      </c>
      <c r="H591">
        <v>-220345086</v>
      </c>
      <c r="I591">
        <v>-2659869</v>
      </c>
      <c r="J591">
        <v>-11795410</v>
      </c>
      <c r="K591">
        <v>-9726779</v>
      </c>
      <c r="L591">
        <v>24231792</v>
      </c>
      <c r="M591">
        <v>6149470</v>
      </c>
      <c r="N591">
        <v>-9205998</v>
      </c>
      <c r="O591">
        <v>5881836</v>
      </c>
      <c r="P591">
        <v>176</v>
      </c>
      <c r="Q591" t="s">
        <v>1392</v>
      </c>
    </row>
    <row r="592" spans="1:17" x14ac:dyDescent="0.3">
      <c r="A592" t="s">
        <v>17</v>
      </c>
      <c r="B592" t="str">
        <f>"601368"</f>
        <v>601368</v>
      </c>
      <c r="C592" t="s">
        <v>1393</v>
      </c>
      <c r="D592" t="s">
        <v>932</v>
      </c>
      <c r="E592">
        <v>215970881</v>
      </c>
      <c r="F592">
        <v>126865238</v>
      </c>
      <c r="G592">
        <v>124426510</v>
      </c>
      <c r="H592">
        <v>179898578</v>
      </c>
      <c r="I592">
        <v>155010776</v>
      </c>
      <c r="J592">
        <v>174098400</v>
      </c>
      <c r="K592">
        <v>139508832</v>
      </c>
      <c r="L592">
        <v>102121830</v>
      </c>
      <c r="M592">
        <v>102168154</v>
      </c>
      <c r="P592">
        <v>109</v>
      </c>
      <c r="Q592" t="s">
        <v>1394</v>
      </c>
    </row>
    <row r="593" spans="1:17" x14ac:dyDescent="0.3">
      <c r="A593" t="s">
        <v>33</v>
      </c>
      <c r="B593" t="str">
        <f>"002145"</f>
        <v>002145</v>
      </c>
      <c r="C593" t="s">
        <v>1395</v>
      </c>
      <c r="D593" t="s">
        <v>817</v>
      </c>
      <c r="E593">
        <v>215864076</v>
      </c>
      <c r="F593">
        <v>87595367</v>
      </c>
      <c r="G593">
        <v>76590972</v>
      </c>
      <c r="H593">
        <v>137806303</v>
      </c>
      <c r="I593">
        <v>177448132</v>
      </c>
      <c r="J593">
        <v>-5423316</v>
      </c>
      <c r="K593">
        <v>-34549446</v>
      </c>
      <c r="L593">
        <v>-149505480</v>
      </c>
      <c r="M593">
        <v>37341124</v>
      </c>
      <c r="N593">
        <v>-172622671</v>
      </c>
      <c r="O593">
        <v>-1185115</v>
      </c>
      <c r="P593">
        <v>284</v>
      </c>
      <c r="Q593" t="s">
        <v>1396</v>
      </c>
    </row>
    <row r="594" spans="1:17" x14ac:dyDescent="0.3">
      <c r="A594" t="s">
        <v>33</v>
      </c>
      <c r="B594" t="str">
        <f>"002345"</f>
        <v>002345</v>
      </c>
      <c r="C594" t="s">
        <v>1397</v>
      </c>
      <c r="D594" t="s">
        <v>161</v>
      </c>
      <c r="E594">
        <v>214763400</v>
      </c>
      <c r="F594">
        <v>-20315930</v>
      </c>
      <c r="G594">
        <v>93856836</v>
      </c>
      <c r="H594">
        <v>113998901</v>
      </c>
      <c r="I594">
        <v>117926483</v>
      </c>
      <c r="J594">
        <v>166408186</v>
      </c>
      <c r="K594">
        <v>145725322</v>
      </c>
      <c r="L594">
        <v>81592983</v>
      </c>
      <c r="M594">
        <v>90380854</v>
      </c>
      <c r="N594">
        <v>194268644</v>
      </c>
      <c r="O594">
        <v>54106991</v>
      </c>
      <c r="P594">
        <v>137</v>
      </c>
      <c r="Q594" t="s">
        <v>1398</v>
      </c>
    </row>
    <row r="595" spans="1:17" x14ac:dyDescent="0.3">
      <c r="A595" t="s">
        <v>17</v>
      </c>
      <c r="B595" t="str">
        <f>"600694"</f>
        <v>600694</v>
      </c>
      <c r="C595" t="s">
        <v>1399</v>
      </c>
      <c r="D595" t="s">
        <v>526</v>
      </c>
      <c r="E595">
        <v>213860402</v>
      </c>
      <c r="F595">
        <v>577375661</v>
      </c>
      <c r="G595">
        <v>681406192</v>
      </c>
      <c r="H595">
        <v>523640229</v>
      </c>
      <c r="I595">
        <v>653547186</v>
      </c>
      <c r="J595">
        <v>-86718568</v>
      </c>
      <c r="K595">
        <v>338131393</v>
      </c>
      <c r="L595">
        <v>178587555</v>
      </c>
      <c r="M595">
        <v>167048068</v>
      </c>
      <c r="N595">
        <v>825976006</v>
      </c>
      <c r="O595">
        <v>179980339</v>
      </c>
      <c r="P595">
        <v>543</v>
      </c>
      <c r="Q595" t="s">
        <v>1400</v>
      </c>
    </row>
    <row r="596" spans="1:17" x14ac:dyDescent="0.3">
      <c r="A596" t="s">
        <v>17</v>
      </c>
      <c r="B596" t="str">
        <f>"603486"</f>
        <v>603486</v>
      </c>
      <c r="C596" t="s">
        <v>1401</v>
      </c>
      <c r="D596" t="s">
        <v>1402</v>
      </c>
      <c r="E596">
        <v>213706827</v>
      </c>
      <c r="F596">
        <v>146763731</v>
      </c>
      <c r="G596">
        <v>-45689315</v>
      </c>
      <c r="H596">
        <v>3527275</v>
      </c>
      <c r="I596">
        <v>-104223700</v>
      </c>
      <c r="J596">
        <v>1055500</v>
      </c>
      <c r="P596">
        <v>833</v>
      </c>
      <c r="Q596" t="s">
        <v>1403</v>
      </c>
    </row>
    <row r="597" spans="1:17" x14ac:dyDescent="0.3">
      <c r="A597" t="s">
        <v>17</v>
      </c>
      <c r="B597" t="str">
        <f>"600821"</f>
        <v>600821</v>
      </c>
      <c r="C597" t="s">
        <v>1404</v>
      </c>
      <c r="D597" t="s">
        <v>989</v>
      </c>
      <c r="E597">
        <v>213514181</v>
      </c>
      <c r="F597">
        <v>38974645</v>
      </c>
      <c r="G597">
        <v>-13718711</v>
      </c>
      <c r="H597">
        <v>-20851869</v>
      </c>
      <c r="I597">
        <v>4297445</v>
      </c>
      <c r="J597">
        <v>-44553433</v>
      </c>
      <c r="K597">
        <v>14507955</v>
      </c>
      <c r="L597">
        <v>-28937750</v>
      </c>
      <c r="M597">
        <v>29751774</v>
      </c>
      <c r="N597">
        <v>51699635</v>
      </c>
      <c r="O597">
        <v>-87988930</v>
      </c>
      <c r="P597">
        <v>125</v>
      </c>
      <c r="Q597" t="s">
        <v>1405</v>
      </c>
    </row>
    <row r="598" spans="1:17" x14ac:dyDescent="0.3">
      <c r="A598" t="s">
        <v>17</v>
      </c>
      <c r="B598" t="str">
        <f>"600874"</f>
        <v>600874</v>
      </c>
      <c r="C598" t="s">
        <v>1406</v>
      </c>
      <c r="D598" t="s">
        <v>932</v>
      </c>
      <c r="E598">
        <v>212355000</v>
      </c>
      <c r="F598">
        <v>41446000</v>
      </c>
      <c r="G598">
        <v>-5252000</v>
      </c>
      <c r="H598">
        <v>206931000</v>
      </c>
      <c r="I598">
        <v>-77680000</v>
      </c>
      <c r="J598">
        <v>88044000</v>
      </c>
      <c r="K598">
        <v>-56819000</v>
      </c>
      <c r="L598">
        <v>498565000</v>
      </c>
      <c r="M598">
        <v>27687000</v>
      </c>
      <c r="N598">
        <v>-20494000</v>
      </c>
      <c r="O598">
        <v>-3312000</v>
      </c>
      <c r="P598">
        <v>201</v>
      </c>
      <c r="Q598" t="s">
        <v>1407</v>
      </c>
    </row>
    <row r="599" spans="1:17" x14ac:dyDescent="0.3">
      <c r="A599" t="s">
        <v>33</v>
      </c>
      <c r="B599" t="str">
        <f>"002237"</f>
        <v>002237</v>
      </c>
      <c r="C599" t="s">
        <v>1408</v>
      </c>
      <c r="D599" t="s">
        <v>777</v>
      </c>
      <c r="E599">
        <v>211957029</v>
      </c>
      <c r="F599">
        <v>526776499</v>
      </c>
      <c r="G599">
        <v>259556904</v>
      </c>
      <c r="H599">
        <v>338373788</v>
      </c>
      <c r="I599">
        <v>477806368</v>
      </c>
      <c r="J599">
        <v>249487740</v>
      </c>
      <c r="K599">
        <v>312525984</v>
      </c>
      <c r="L599">
        <v>300799482</v>
      </c>
      <c r="M599">
        <v>-163867586</v>
      </c>
      <c r="N599">
        <v>103528687</v>
      </c>
      <c r="O599">
        <v>-71628093</v>
      </c>
      <c r="P599">
        <v>193</v>
      </c>
      <c r="Q599" t="s">
        <v>1409</v>
      </c>
    </row>
    <row r="600" spans="1:17" x14ac:dyDescent="0.3">
      <c r="A600" t="s">
        <v>33</v>
      </c>
      <c r="B600" t="str">
        <f>"002597"</f>
        <v>002597</v>
      </c>
      <c r="C600" t="s">
        <v>1410</v>
      </c>
      <c r="D600" t="s">
        <v>1028</v>
      </c>
      <c r="E600">
        <v>211462033</v>
      </c>
      <c r="F600">
        <v>48163328</v>
      </c>
      <c r="G600">
        <v>22343802</v>
      </c>
      <c r="H600">
        <v>-17304739</v>
      </c>
      <c r="I600">
        <v>109520374</v>
      </c>
      <c r="J600">
        <v>129059392</v>
      </c>
      <c r="K600">
        <v>158014596</v>
      </c>
      <c r="L600">
        <v>81910599</v>
      </c>
      <c r="M600">
        <v>1154922</v>
      </c>
      <c r="N600">
        <v>58096342</v>
      </c>
      <c r="O600">
        <v>26470758</v>
      </c>
      <c r="P600">
        <v>1878</v>
      </c>
      <c r="Q600" t="s">
        <v>1411</v>
      </c>
    </row>
    <row r="601" spans="1:17" x14ac:dyDescent="0.3">
      <c r="A601" t="s">
        <v>17</v>
      </c>
      <c r="B601" t="str">
        <f>"600352"</f>
        <v>600352</v>
      </c>
      <c r="C601" t="s">
        <v>1412</v>
      </c>
      <c r="D601" t="s">
        <v>735</v>
      </c>
      <c r="E601">
        <v>210044047</v>
      </c>
      <c r="F601">
        <v>337532601</v>
      </c>
      <c r="G601">
        <v>1038805716</v>
      </c>
      <c r="H601">
        <v>1020449289</v>
      </c>
      <c r="I601">
        <v>-536972167</v>
      </c>
      <c r="J601">
        <v>-1223358453</v>
      </c>
      <c r="K601">
        <v>-1910914545</v>
      </c>
      <c r="L601">
        <v>103365541</v>
      </c>
      <c r="M601">
        <v>246857284</v>
      </c>
      <c r="N601">
        <v>222519387</v>
      </c>
      <c r="O601">
        <v>108830888</v>
      </c>
      <c r="P601">
        <v>1666</v>
      </c>
      <c r="Q601" t="s">
        <v>1413</v>
      </c>
    </row>
    <row r="602" spans="1:17" x14ac:dyDescent="0.3">
      <c r="A602" t="s">
        <v>17</v>
      </c>
      <c r="B602" t="str">
        <f>"600580"</f>
        <v>600580</v>
      </c>
      <c r="C602" t="s">
        <v>1414</v>
      </c>
      <c r="D602" t="s">
        <v>1091</v>
      </c>
      <c r="E602">
        <v>209828926</v>
      </c>
      <c r="F602">
        <v>244387420</v>
      </c>
      <c r="G602">
        <v>63916588</v>
      </c>
      <c r="H602">
        <v>-96410091</v>
      </c>
      <c r="I602">
        <v>-26900013</v>
      </c>
      <c r="J602">
        <v>-36648278</v>
      </c>
      <c r="K602">
        <v>-258372208</v>
      </c>
      <c r="L602">
        <v>-26426696</v>
      </c>
      <c r="M602">
        <v>-58639016</v>
      </c>
      <c r="N602">
        <v>-46925107</v>
      </c>
      <c r="O602">
        <v>58655141</v>
      </c>
      <c r="P602">
        <v>400</v>
      </c>
      <c r="Q602" t="s">
        <v>1415</v>
      </c>
    </row>
    <row r="603" spans="1:17" x14ac:dyDescent="0.3">
      <c r="A603" t="s">
        <v>33</v>
      </c>
      <c r="B603" t="str">
        <f>"002889"</f>
        <v>002889</v>
      </c>
      <c r="C603" t="s">
        <v>1416</v>
      </c>
      <c r="D603" t="s">
        <v>1010</v>
      </c>
      <c r="E603">
        <v>209793516</v>
      </c>
      <c r="F603">
        <v>-236507612</v>
      </c>
      <c r="G603">
        <v>-216195857</v>
      </c>
      <c r="H603">
        <v>63422934</v>
      </c>
      <c r="I603">
        <v>372152667</v>
      </c>
      <c r="J603">
        <v>4661800</v>
      </c>
      <c r="K603">
        <v>-43076600</v>
      </c>
      <c r="P603">
        <v>123</v>
      </c>
      <c r="Q603" t="s">
        <v>1417</v>
      </c>
    </row>
    <row r="604" spans="1:17" x14ac:dyDescent="0.3">
      <c r="A604" t="s">
        <v>33</v>
      </c>
      <c r="B604" t="str">
        <f>"000887"</f>
        <v>000887</v>
      </c>
      <c r="C604" t="s">
        <v>1418</v>
      </c>
      <c r="D604" t="s">
        <v>1419</v>
      </c>
      <c r="E604">
        <v>209723852</v>
      </c>
      <c r="F604">
        <v>275714342</v>
      </c>
      <c r="G604">
        <v>199018729</v>
      </c>
      <c r="H604">
        <v>220222387</v>
      </c>
      <c r="I604">
        <v>202987803</v>
      </c>
      <c r="J604">
        <v>218200351</v>
      </c>
      <c r="K604">
        <v>117930745</v>
      </c>
      <c r="L604">
        <v>98741485</v>
      </c>
      <c r="M604">
        <v>97224670</v>
      </c>
      <c r="N604">
        <v>-107467418</v>
      </c>
      <c r="O604">
        <v>9054566</v>
      </c>
      <c r="P604">
        <v>7118</v>
      </c>
      <c r="Q604" t="s">
        <v>1420</v>
      </c>
    </row>
    <row r="605" spans="1:17" x14ac:dyDescent="0.3">
      <c r="A605" t="s">
        <v>33</v>
      </c>
      <c r="B605" t="str">
        <f>"002818"</f>
        <v>002818</v>
      </c>
      <c r="C605" t="s">
        <v>1421</v>
      </c>
      <c r="D605" t="s">
        <v>394</v>
      </c>
      <c r="E605">
        <v>209578884</v>
      </c>
      <c r="F605">
        <v>201661857</v>
      </c>
      <c r="G605">
        <v>110395262</v>
      </c>
      <c r="H605">
        <v>210811264</v>
      </c>
      <c r="I605">
        <v>147117965</v>
      </c>
      <c r="J605">
        <v>200835791</v>
      </c>
      <c r="K605">
        <v>174977046</v>
      </c>
      <c r="P605">
        <v>868</v>
      </c>
      <c r="Q605" t="s">
        <v>1422</v>
      </c>
    </row>
    <row r="606" spans="1:17" x14ac:dyDescent="0.3">
      <c r="A606" t="s">
        <v>33</v>
      </c>
      <c r="B606" t="str">
        <f>"002434"</f>
        <v>002434</v>
      </c>
      <c r="C606" t="s">
        <v>1423</v>
      </c>
      <c r="D606" t="s">
        <v>858</v>
      </c>
      <c r="E606">
        <v>208850621</v>
      </c>
      <c r="F606">
        <v>255202182</v>
      </c>
      <c r="G606">
        <v>410607355</v>
      </c>
      <c r="H606">
        <v>408988011</v>
      </c>
      <c r="I606">
        <v>14724614</v>
      </c>
      <c r="J606">
        <v>304464439</v>
      </c>
      <c r="K606">
        <v>-50262569</v>
      </c>
      <c r="L606">
        <v>-6128178</v>
      </c>
      <c r="M606">
        <v>-36577666</v>
      </c>
      <c r="N606">
        <v>68453799</v>
      </c>
      <c r="O606">
        <v>-1339500</v>
      </c>
      <c r="P606">
        <v>238</v>
      </c>
      <c r="Q606" t="s">
        <v>1424</v>
      </c>
    </row>
    <row r="607" spans="1:17" x14ac:dyDescent="0.3">
      <c r="A607" t="s">
        <v>33</v>
      </c>
      <c r="B607" t="str">
        <f>"002218"</f>
        <v>002218</v>
      </c>
      <c r="C607" t="s">
        <v>1425</v>
      </c>
      <c r="D607" t="s">
        <v>800</v>
      </c>
      <c r="E607">
        <v>208622871</v>
      </c>
      <c r="F607">
        <v>41962479</v>
      </c>
      <c r="G607">
        <v>23906680</v>
      </c>
      <c r="H607">
        <v>233876273</v>
      </c>
      <c r="I607">
        <v>5341858</v>
      </c>
      <c r="J607">
        <v>5134321</v>
      </c>
      <c r="K607">
        <v>-60201388</v>
      </c>
      <c r="L607">
        <v>-73520535</v>
      </c>
      <c r="M607">
        <v>-94234954</v>
      </c>
      <c r="N607">
        <v>-20300449</v>
      </c>
      <c r="O607">
        <v>12775286</v>
      </c>
      <c r="P607">
        <v>218</v>
      </c>
      <c r="Q607" t="s">
        <v>1426</v>
      </c>
    </row>
    <row r="608" spans="1:17" x14ac:dyDescent="0.3">
      <c r="A608" t="s">
        <v>33</v>
      </c>
      <c r="B608" t="str">
        <f>"002064"</f>
        <v>002064</v>
      </c>
      <c r="C608" t="s">
        <v>1427</v>
      </c>
      <c r="D608" t="s">
        <v>1428</v>
      </c>
      <c r="E608">
        <v>208376548</v>
      </c>
      <c r="F608">
        <v>314619656</v>
      </c>
      <c r="G608">
        <v>-536845004</v>
      </c>
      <c r="H608">
        <v>216268903</v>
      </c>
      <c r="I608">
        <v>58247978</v>
      </c>
      <c r="J608">
        <v>-111809337</v>
      </c>
      <c r="K608">
        <v>-43894438</v>
      </c>
      <c r="L608">
        <v>-144796110</v>
      </c>
      <c r="M608">
        <v>83111229</v>
      </c>
      <c r="N608">
        <v>88956705</v>
      </c>
      <c r="O608">
        <v>48763539</v>
      </c>
      <c r="P608">
        <v>686</v>
      </c>
      <c r="Q608" t="s">
        <v>1429</v>
      </c>
    </row>
    <row r="609" spans="1:17" x14ac:dyDescent="0.3">
      <c r="A609" t="s">
        <v>33</v>
      </c>
      <c r="B609" t="str">
        <f>"000900"</f>
        <v>000900</v>
      </c>
      <c r="C609" t="s">
        <v>1430</v>
      </c>
      <c r="D609" t="s">
        <v>458</v>
      </c>
      <c r="E609">
        <v>208327556</v>
      </c>
      <c r="F609">
        <v>477468710</v>
      </c>
      <c r="G609">
        <v>-252727472</v>
      </c>
      <c r="H609">
        <v>-364101139</v>
      </c>
      <c r="I609">
        <v>432299822</v>
      </c>
      <c r="J609">
        <v>507781472</v>
      </c>
      <c r="K609">
        <v>97329486</v>
      </c>
      <c r="L609">
        <v>-78981752</v>
      </c>
      <c r="M609">
        <v>348201908</v>
      </c>
      <c r="N609">
        <v>257426475</v>
      </c>
      <c r="O609">
        <v>32288547</v>
      </c>
      <c r="P609">
        <v>570</v>
      </c>
      <c r="Q609" t="s">
        <v>1431</v>
      </c>
    </row>
    <row r="610" spans="1:17" x14ac:dyDescent="0.3">
      <c r="A610" t="s">
        <v>33</v>
      </c>
      <c r="B610" t="str">
        <f>"002471"</f>
        <v>002471</v>
      </c>
      <c r="C610" t="s">
        <v>1432</v>
      </c>
      <c r="D610" t="s">
        <v>1282</v>
      </c>
      <c r="E610">
        <v>207741313</v>
      </c>
      <c r="F610">
        <v>-144923158</v>
      </c>
      <c r="G610">
        <v>-147083851</v>
      </c>
      <c r="H610">
        <v>176057147</v>
      </c>
      <c r="I610">
        <v>124612028</v>
      </c>
      <c r="J610">
        <v>-98029222</v>
      </c>
      <c r="K610">
        <v>110444317</v>
      </c>
      <c r="L610">
        <v>41433188</v>
      </c>
      <c r="M610">
        <v>17838611</v>
      </c>
      <c r="N610">
        <v>48015191</v>
      </c>
      <c r="O610">
        <v>-255662603</v>
      </c>
      <c r="P610">
        <v>92</v>
      </c>
      <c r="Q610" t="s">
        <v>1433</v>
      </c>
    </row>
    <row r="611" spans="1:17" x14ac:dyDescent="0.3">
      <c r="A611" t="s">
        <v>17</v>
      </c>
      <c r="B611" t="str">
        <f>"600161"</f>
        <v>600161</v>
      </c>
      <c r="C611" t="s">
        <v>1434</v>
      </c>
      <c r="D611" t="s">
        <v>954</v>
      </c>
      <c r="E611">
        <v>207272944</v>
      </c>
      <c r="F611">
        <v>269689261</v>
      </c>
      <c r="G611">
        <v>401090870</v>
      </c>
      <c r="H611">
        <v>302921383</v>
      </c>
      <c r="I611">
        <v>-47616649</v>
      </c>
      <c r="J611">
        <v>19399045</v>
      </c>
      <c r="K611">
        <v>-5894416</v>
      </c>
      <c r="L611">
        <v>-3572080</v>
      </c>
      <c r="M611">
        <v>-85582183</v>
      </c>
      <c r="N611">
        <v>-8762536</v>
      </c>
      <c r="O611">
        <v>-59616571</v>
      </c>
      <c r="P611">
        <v>1406</v>
      </c>
      <c r="Q611" t="s">
        <v>1435</v>
      </c>
    </row>
    <row r="612" spans="1:17" x14ac:dyDescent="0.3">
      <c r="A612" t="s">
        <v>17</v>
      </c>
      <c r="B612" t="str">
        <f>"603063"</f>
        <v>603063</v>
      </c>
      <c r="C612" t="s">
        <v>1436</v>
      </c>
      <c r="D612" t="s">
        <v>1437</v>
      </c>
      <c r="E612">
        <v>204932337</v>
      </c>
      <c r="F612">
        <v>-43042843</v>
      </c>
      <c r="G612">
        <v>73000308</v>
      </c>
      <c r="H612">
        <v>-27530043</v>
      </c>
      <c r="I612">
        <v>-29977234</v>
      </c>
      <c r="J612">
        <v>17854368</v>
      </c>
      <c r="P612">
        <v>212</v>
      </c>
      <c r="Q612" t="s">
        <v>1438</v>
      </c>
    </row>
    <row r="613" spans="1:17" x14ac:dyDescent="0.3">
      <c r="A613" t="s">
        <v>33</v>
      </c>
      <c r="B613" t="str">
        <f>"002258"</f>
        <v>002258</v>
      </c>
      <c r="C613" t="s">
        <v>1439</v>
      </c>
      <c r="D613" t="s">
        <v>636</v>
      </c>
      <c r="E613">
        <v>204771004</v>
      </c>
      <c r="F613">
        <v>75788109</v>
      </c>
      <c r="G613">
        <v>26643401</v>
      </c>
      <c r="H613">
        <v>162662002</v>
      </c>
      <c r="I613">
        <v>21517271</v>
      </c>
      <c r="J613">
        <v>13665492</v>
      </c>
      <c r="K613">
        <v>-41471409</v>
      </c>
      <c r="L613">
        <v>43045469</v>
      </c>
      <c r="M613">
        <v>14922387</v>
      </c>
      <c r="N613">
        <v>46161419</v>
      </c>
      <c r="O613">
        <v>-12656536</v>
      </c>
      <c r="P613">
        <v>646</v>
      </c>
      <c r="Q613" t="s">
        <v>1440</v>
      </c>
    </row>
    <row r="614" spans="1:17" x14ac:dyDescent="0.3">
      <c r="A614" t="s">
        <v>33</v>
      </c>
      <c r="B614" t="str">
        <f>"002821"</f>
        <v>002821</v>
      </c>
      <c r="C614" t="s">
        <v>1441</v>
      </c>
      <c r="D614" t="s">
        <v>846</v>
      </c>
      <c r="E614">
        <v>204607062</v>
      </c>
      <c r="F614">
        <v>100659081</v>
      </c>
      <c r="G614">
        <v>49207246</v>
      </c>
      <c r="H614">
        <v>75617344</v>
      </c>
      <c r="I614">
        <v>139266424</v>
      </c>
      <c r="J614">
        <v>154282829</v>
      </c>
      <c r="K614">
        <v>60672958</v>
      </c>
      <c r="P614">
        <v>2412</v>
      </c>
      <c r="Q614" t="s">
        <v>1442</v>
      </c>
    </row>
    <row r="615" spans="1:17" x14ac:dyDescent="0.3">
      <c r="A615" t="s">
        <v>17</v>
      </c>
      <c r="B615" t="str">
        <f>"600643"</f>
        <v>600643</v>
      </c>
      <c r="C615" t="s">
        <v>1443</v>
      </c>
      <c r="D615" t="s">
        <v>114</v>
      </c>
      <c r="E615">
        <v>204301577</v>
      </c>
      <c r="F615">
        <v>-19180304</v>
      </c>
      <c r="G615">
        <v>347355594</v>
      </c>
      <c r="H615">
        <v>501444246</v>
      </c>
      <c r="I615">
        <v>-2168319186</v>
      </c>
      <c r="J615">
        <v>-375440579</v>
      </c>
      <c r="K615">
        <v>808988803</v>
      </c>
      <c r="L615">
        <v>-65895338</v>
      </c>
      <c r="M615">
        <v>84701669</v>
      </c>
      <c r="N615">
        <v>106384846</v>
      </c>
      <c r="O615">
        <v>-19178943</v>
      </c>
      <c r="P615">
        <v>344</v>
      </c>
      <c r="Q615" t="s">
        <v>1444</v>
      </c>
    </row>
    <row r="616" spans="1:17" x14ac:dyDescent="0.3">
      <c r="A616" t="s">
        <v>33</v>
      </c>
      <c r="B616" t="str">
        <f>"000507"</f>
        <v>000507</v>
      </c>
      <c r="C616" t="s">
        <v>1445</v>
      </c>
      <c r="D616" t="s">
        <v>289</v>
      </c>
      <c r="E616">
        <v>204089890</v>
      </c>
      <c r="F616">
        <v>18622356</v>
      </c>
      <c r="G616">
        <v>-139078873</v>
      </c>
      <c r="H616">
        <v>-118144379</v>
      </c>
      <c r="I616">
        <v>23888005</v>
      </c>
      <c r="J616">
        <v>56067100</v>
      </c>
      <c r="K616">
        <v>67413819</v>
      </c>
      <c r="L616">
        <v>16136964</v>
      </c>
      <c r="M616">
        <v>30040802</v>
      </c>
      <c r="N616">
        <v>24635634</v>
      </c>
      <c r="O616">
        <v>-20846466</v>
      </c>
      <c r="P616">
        <v>185</v>
      </c>
      <c r="Q616" t="s">
        <v>1446</v>
      </c>
    </row>
    <row r="617" spans="1:17" x14ac:dyDescent="0.3">
      <c r="A617" t="s">
        <v>17</v>
      </c>
      <c r="B617" t="str">
        <f>"601992"</f>
        <v>601992</v>
      </c>
      <c r="C617" t="s">
        <v>1447</v>
      </c>
      <c r="D617" t="s">
        <v>260</v>
      </c>
      <c r="E617">
        <v>203160765</v>
      </c>
      <c r="F617">
        <v>1132135346</v>
      </c>
      <c r="G617">
        <v>-3789733435</v>
      </c>
      <c r="H617">
        <v>-4210253266</v>
      </c>
      <c r="I617">
        <v>-3767899778</v>
      </c>
      <c r="J617">
        <v>-7945676579</v>
      </c>
      <c r="K617">
        <v>-618480143</v>
      </c>
      <c r="L617">
        <v>-1700798263</v>
      </c>
      <c r="M617">
        <v>-3953463102</v>
      </c>
      <c r="N617">
        <v>-449361815</v>
      </c>
      <c r="O617">
        <v>-434403183</v>
      </c>
      <c r="P617">
        <v>368</v>
      </c>
      <c r="Q617" t="s">
        <v>1448</v>
      </c>
    </row>
    <row r="618" spans="1:17" x14ac:dyDescent="0.3">
      <c r="A618" t="s">
        <v>17</v>
      </c>
      <c r="B618" t="str">
        <f>"603218"</f>
        <v>603218</v>
      </c>
      <c r="C618" t="s">
        <v>1449</v>
      </c>
      <c r="D618" t="s">
        <v>1437</v>
      </c>
      <c r="E618">
        <v>202995639</v>
      </c>
      <c r="F618">
        <v>-129828581</v>
      </c>
      <c r="G618">
        <v>281856042</v>
      </c>
      <c r="H618">
        <v>83982154</v>
      </c>
      <c r="I618">
        <v>28558818</v>
      </c>
      <c r="J618">
        <v>65376934</v>
      </c>
      <c r="K618">
        <v>58260532</v>
      </c>
      <c r="P618">
        <v>566</v>
      </c>
      <c r="Q618" t="s">
        <v>1450</v>
      </c>
    </row>
    <row r="619" spans="1:17" x14ac:dyDescent="0.3">
      <c r="A619" t="s">
        <v>33</v>
      </c>
      <c r="B619" t="str">
        <f>"300058"</f>
        <v>300058</v>
      </c>
      <c r="C619" t="s">
        <v>1451</v>
      </c>
      <c r="D619" t="s">
        <v>1125</v>
      </c>
      <c r="E619">
        <v>202156473</v>
      </c>
      <c r="F619">
        <v>173322091</v>
      </c>
      <c r="G619">
        <v>118754606</v>
      </c>
      <c r="H619">
        <v>107117741</v>
      </c>
      <c r="I619">
        <v>-85380140</v>
      </c>
      <c r="J619">
        <v>38387287</v>
      </c>
      <c r="K619">
        <v>-124620433</v>
      </c>
      <c r="L619">
        <v>80589403</v>
      </c>
      <c r="M619">
        <v>269603290</v>
      </c>
      <c r="N619">
        <v>68342426</v>
      </c>
      <c r="O619">
        <v>16922688</v>
      </c>
      <c r="P619">
        <v>457</v>
      </c>
      <c r="Q619" t="s">
        <v>1452</v>
      </c>
    </row>
    <row r="620" spans="1:17" x14ac:dyDescent="0.3">
      <c r="A620" t="s">
        <v>17</v>
      </c>
      <c r="B620" t="str">
        <f>"605598"</f>
        <v>605598</v>
      </c>
      <c r="C620" t="s">
        <v>1453</v>
      </c>
      <c r="D620" t="s">
        <v>1454</v>
      </c>
      <c r="E620">
        <v>201645262</v>
      </c>
      <c r="P620">
        <v>18</v>
      </c>
      <c r="Q620" t="s">
        <v>1455</v>
      </c>
    </row>
    <row r="621" spans="1:17" x14ac:dyDescent="0.3">
      <c r="A621" t="s">
        <v>17</v>
      </c>
      <c r="B621" t="str">
        <f>"601677"</f>
        <v>601677</v>
      </c>
      <c r="C621" t="s">
        <v>1456</v>
      </c>
      <c r="D621" t="s">
        <v>140</v>
      </c>
      <c r="E621">
        <v>201644575</v>
      </c>
      <c r="F621">
        <v>284200540</v>
      </c>
      <c r="G621">
        <v>299082165</v>
      </c>
      <c r="H621">
        <v>-555725950</v>
      </c>
      <c r="I621">
        <v>-488156623</v>
      </c>
      <c r="J621">
        <v>-134152226</v>
      </c>
      <c r="K621">
        <v>-26407720</v>
      </c>
      <c r="L621">
        <v>-138070625</v>
      </c>
      <c r="M621">
        <v>340977025</v>
      </c>
      <c r="N621">
        <v>-32744477</v>
      </c>
      <c r="O621">
        <v>-80793174</v>
      </c>
      <c r="P621">
        <v>370</v>
      </c>
      <c r="Q621" t="s">
        <v>1457</v>
      </c>
    </row>
    <row r="622" spans="1:17" x14ac:dyDescent="0.3">
      <c r="A622" t="s">
        <v>33</v>
      </c>
      <c r="B622" t="str">
        <f>"000831"</f>
        <v>000831</v>
      </c>
      <c r="C622" t="s">
        <v>1458</v>
      </c>
      <c r="D622" t="s">
        <v>333</v>
      </c>
      <c r="E622">
        <v>201526128</v>
      </c>
      <c r="F622">
        <v>-223900590</v>
      </c>
      <c r="G622">
        <v>48923506</v>
      </c>
      <c r="H622">
        <v>92076208</v>
      </c>
      <c r="I622">
        <v>128349767</v>
      </c>
      <c r="J622">
        <v>153323041</v>
      </c>
      <c r="K622">
        <v>170003137</v>
      </c>
      <c r="L622">
        <v>52096542</v>
      </c>
      <c r="M622">
        <v>744092499</v>
      </c>
      <c r="N622">
        <v>-13736052</v>
      </c>
      <c r="O622">
        <v>6874290</v>
      </c>
      <c r="P622">
        <v>458</v>
      </c>
      <c r="Q622" t="s">
        <v>1459</v>
      </c>
    </row>
    <row r="623" spans="1:17" x14ac:dyDescent="0.3">
      <c r="A623" t="s">
        <v>33</v>
      </c>
      <c r="B623" t="str">
        <f>"002140"</f>
        <v>002140</v>
      </c>
      <c r="C623" t="s">
        <v>1460</v>
      </c>
      <c r="D623" t="s">
        <v>1461</v>
      </c>
      <c r="E623">
        <v>200749982</v>
      </c>
      <c r="F623">
        <v>61643919</v>
      </c>
      <c r="G623">
        <v>-373807162</v>
      </c>
      <c r="H623">
        <v>-210848495</v>
      </c>
      <c r="I623">
        <v>-429605785</v>
      </c>
      <c r="J623">
        <v>-59524453</v>
      </c>
      <c r="K623">
        <v>-149579316</v>
      </c>
      <c r="L623">
        <v>-370799529</v>
      </c>
      <c r="M623">
        <v>332962004</v>
      </c>
      <c r="N623">
        <v>-3576095</v>
      </c>
      <c r="O623">
        <v>-22791337</v>
      </c>
      <c r="P623">
        <v>129</v>
      </c>
      <c r="Q623" t="s">
        <v>1462</v>
      </c>
    </row>
    <row r="624" spans="1:17" x14ac:dyDescent="0.3">
      <c r="A624" t="s">
        <v>17</v>
      </c>
      <c r="B624" t="str">
        <f>"600761"</f>
        <v>600761</v>
      </c>
      <c r="C624" t="s">
        <v>1463</v>
      </c>
      <c r="D624" t="s">
        <v>320</v>
      </c>
      <c r="E624">
        <v>198791925</v>
      </c>
      <c r="F624">
        <v>-148055387</v>
      </c>
      <c r="G624">
        <v>-131488900</v>
      </c>
      <c r="H624">
        <v>33049099</v>
      </c>
      <c r="I624">
        <v>47882147</v>
      </c>
      <c r="J624">
        <v>98455565</v>
      </c>
      <c r="K624">
        <v>129205425</v>
      </c>
      <c r="L624">
        <v>-38232659</v>
      </c>
      <c r="M624">
        <v>114878281</v>
      </c>
      <c r="N624">
        <v>81005647</v>
      </c>
      <c r="O624">
        <v>42986905</v>
      </c>
      <c r="P624">
        <v>442</v>
      </c>
      <c r="Q624" t="s">
        <v>1464</v>
      </c>
    </row>
    <row r="625" spans="1:17" x14ac:dyDescent="0.3">
      <c r="A625" t="s">
        <v>17</v>
      </c>
      <c r="B625" t="str">
        <f>"605555"</f>
        <v>605555</v>
      </c>
      <c r="C625" t="s">
        <v>1465</v>
      </c>
      <c r="D625" t="s">
        <v>1402</v>
      </c>
      <c r="E625">
        <v>198179881</v>
      </c>
      <c r="P625">
        <v>34</v>
      </c>
      <c r="Q625" t="s">
        <v>1466</v>
      </c>
    </row>
    <row r="626" spans="1:17" x14ac:dyDescent="0.3">
      <c r="A626" t="s">
        <v>17</v>
      </c>
      <c r="B626" t="str">
        <f>"600360"</f>
        <v>600360</v>
      </c>
      <c r="C626" t="s">
        <v>1467</v>
      </c>
      <c r="D626" t="s">
        <v>1274</v>
      </c>
      <c r="E626">
        <v>197342847</v>
      </c>
      <c r="F626">
        <v>45599141</v>
      </c>
      <c r="G626">
        <v>64853639</v>
      </c>
      <c r="H626">
        <v>65824765</v>
      </c>
      <c r="I626">
        <v>67595638</v>
      </c>
      <c r="J626">
        <v>92385698</v>
      </c>
      <c r="K626">
        <v>13799844</v>
      </c>
      <c r="L626">
        <v>52741886</v>
      </c>
      <c r="M626">
        <v>66815958</v>
      </c>
      <c r="N626">
        <v>30326149</v>
      </c>
      <c r="O626">
        <v>17432836</v>
      </c>
      <c r="P626">
        <v>318</v>
      </c>
      <c r="Q626" t="s">
        <v>1468</v>
      </c>
    </row>
    <row r="627" spans="1:17" x14ac:dyDescent="0.3">
      <c r="A627" t="s">
        <v>17</v>
      </c>
      <c r="B627" t="str">
        <f>"600969"</f>
        <v>600969</v>
      </c>
      <c r="C627" t="s">
        <v>1469</v>
      </c>
      <c r="D627" t="s">
        <v>245</v>
      </c>
      <c r="E627">
        <v>196224261</v>
      </c>
      <c r="F627">
        <v>154674773</v>
      </c>
      <c r="G627">
        <v>120371654</v>
      </c>
      <c r="H627">
        <v>157401660</v>
      </c>
      <c r="I627">
        <v>155314985</v>
      </c>
      <c r="J627">
        <v>132869617</v>
      </c>
      <c r="K627">
        <v>54888679</v>
      </c>
      <c r="L627">
        <v>121911467</v>
      </c>
      <c r="M627">
        <v>73566960</v>
      </c>
      <c r="N627">
        <v>77837389</v>
      </c>
      <c r="O627">
        <v>78348385</v>
      </c>
      <c r="P627">
        <v>77</v>
      </c>
      <c r="Q627" t="s">
        <v>1470</v>
      </c>
    </row>
    <row r="628" spans="1:17" x14ac:dyDescent="0.3">
      <c r="A628" t="s">
        <v>33</v>
      </c>
      <c r="B628" t="str">
        <f>"003022"</f>
        <v>003022</v>
      </c>
      <c r="C628" t="s">
        <v>1471</v>
      </c>
      <c r="D628" t="s">
        <v>800</v>
      </c>
      <c r="E628">
        <v>195785651</v>
      </c>
      <c r="F628">
        <v>261324897</v>
      </c>
      <c r="G628">
        <v>64271504</v>
      </c>
      <c r="P628">
        <v>205</v>
      </c>
      <c r="Q628" t="s">
        <v>1472</v>
      </c>
    </row>
    <row r="629" spans="1:17" x14ac:dyDescent="0.3">
      <c r="A629" t="s">
        <v>33</v>
      </c>
      <c r="B629" t="str">
        <f>"002497"</f>
        <v>002497</v>
      </c>
      <c r="C629" t="s">
        <v>1473</v>
      </c>
      <c r="D629" t="s">
        <v>1474</v>
      </c>
      <c r="E629">
        <v>194474726</v>
      </c>
      <c r="F629">
        <v>-52503009</v>
      </c>
      <c r="G629">
        <v>37307359</v>
      </c>
      <c r="H629">
        <v>5734238</v>
      </c>
      <c r="I629">
        <v>23799002</v>
      </c>
      <c r="J629">
        <v>-8166576</v>
      </c>
      <c r="K629">
        <v>-111107481</v>
      </c>
      <c r="L629">
        <v>-33505277</v>
      </c>
      <c r="M629">
        <v>11825610</v>
      </c>
      <c r="N629">
        <v>15777741</v>
      </c>
      <c r="O629">
        <v>6512519</v>
      </c>
      <c r="P629">
        <v>481</v>
      </c>
      <c r="Q629" t="s">
        <v>1475</v>
      </c>
    </row>
    <row r="630" spans="1:17" x14ac:dyDescent="0.3">
      <c r="A630" t="s">
        <v>33</v>
      </c>
      <c r="B630" t="str">
        <f>"000591"</f>
        <v>000591</v>
      </c>
      <c r="C630" t="s">
        <v>1476</v>
      </c>
      <c r="D630" t="s">
        <v>1007</v>
      </c>
      <c r="E630">
        <v>193413389</v>
      </c>
      <c r="F630">
        <v>154787950</v>
      </c>
      <c r="G630">
        <v>-90791188</v>
      </c>
      <c r="H630">
        <v>40642077</v>
      </c>
      <c r="I630">
        <v>37393776</v>
      </c>
      <c r="J630">
        <v>-10676712</v>
      </c>
      <c r="K630">
        <v>201392706</v>
      </c>
      <c r="L630">
        <v>29606732</v>
      </c>
      <c r="M630">
        <v>43878143</v>
      </c>
      <c r="N630">
        <v>68579131</v>
      </c>
      <c r="O630">
        <v>-45842137</v>
      </c>
      <c r="P630">
        <v>664</v>
      </c>
      <c r="Q630" t="s">
        <v>1477</v>
      </c>
    </row>
    <row r="631" spans="1:17" x14ac:dyDescent="0.3">
      <c r="A631" t="s">
        <v>33</v>
      </c>
      <c r="B631" t="str">
        <f>"000959"</f>
        <v>000959</v>
      </c>
      <c r="C631" t="s">
        <v>1478</v>
      </c>
      <c r="D631" t="s">
        <v>131</v>
      </c>
      <c r="E631">
        <v>193292850</v>
      </c>
      <c r="F631">
        <v>1489334635</v>
      </c>
      <c r="G631">
        <v>-112767719</v>
      </c>
      <c r="H631">
        <v>1130256252</v>
      </c>
      <c r="I631">
        <v>1521957902</v>
      </c>
      <c r="J631">
        <v>702388560</v>
      </c>
      <c r="K631">
        <v>295552261</v>
      </c>
      <c r="L631">
        <v>537628199</v>
      </c>
      <c r="M631">
        <v>1451349352</v>
      </c>
      <c r="N631">
        <v>197629698</v>
      </c>
      <c r="O631">
        <v>-190326472</v>
      </c>
      <c r="P631">
        <v>254</v>
      </c>
      <c r="Q631" t="s">
        <v>1479</v>
      </c>
    </row>
    <row r="632" spans="1:17" x14ac:dyDescent="0.3">
      <c r="A632" t="s">
        <v>17</v>
      </c>
      <c r="B632" t="str">
        <f>"600452"</f>
        <v>600452</v>
      </c>
      <c r="C632" t="s">
        <v>1480</v>
      </c>
      <c r="D632" t="s">
        <v>245</v>
      </c>
      <c r="E632">
        <v>193292381</v>
      </c>
      <c r="F632">
        <v>160762277</v>
      </c>
      <c r="G632">
        <v>-11193956</v>
      </c>
      <c r="H632">
        <v>1901962</v>
      </c>
      <c r="I632">
        <v>-20294532</v>
      </c>
      <c r="J632">
        <v>20645505</v>
      </c>
      <c r="K632">
        <v>18407732</v>
      </c>
      <c r="L632">
        <v>56802575</v>
      </c>
      <c r="M632">
        <v>29869113</v>
      </c>
      <c r="N632">
        <v>34168714</v>
      </c>
      <c r="O632">
        <v>-44339431</v>
      </c>
      <c r="P632">
        <v>4515</v>
      </c>
      <c r="Q632" t="s">
        <v>1481</v>
      </c>
    </row>
    <row r="633" spans="1:17" x14ac:dyDescent="0.3">
      <c r="A633" t="s">
        <v>17</v>
      </c>
      <c r="B633" t="str">
        <f>"603010"</f>
        <v>603010</v>
      </c>
      <c r="C633" t="s">
        <v>1482</v>
      </c>
      <c r="D633" t="s">
        <v>1483</v>
      </c>
      <c r="E633">
        <v>193103608</v>
      </c>
      <c r="F633">
        <v>86802140</v>
      </c>
      <c r="G633">
        <v>38968605</v>
      </c>
      <c r="H633">
        <v>12186799</v>
      </c>
      <c r="I633">
        <v>-50697224</v>
      </c>
      <c r="J633">
        <v>-13746480</v>
      </c>
      <c r="K633">
        <v>13912548</v>
      </c>
      <c r="L633">
        <v>-1913058</v>
      </c>
      <c r="M633">
        <v>-19205465</v>
      </c>
      <c r="P633">
        <v>279</v>
      </c>
      <c r="Q633" t="s">
        <v>1484</v>
      </c>
    </row>
    <row r="634" spans="1:17" x14ac:dyDescent="0.3">
      <c r="A634" t="s">
        <v>33</v>
      </c>
      <c r="B634" t="str">
        <f>"300323"</f>
        <v>300323</v>
      </c>
      <c r="C634" t="s">
        <v>1485</v>
      </c>
      <c r="D634" t="s">
        <v>1299</v>
      </c>
      <c r="E634">
        <v>192494772</v>
      </c>
      <c r="F634">
        <v>31632892</v>
      </c>
      <c r="G634">
        <v>-114295162</v>
      </c>
      <c r="H634">
        <v>4110329</v>
      </c>
      <c r="I634">
        <v>147415281</v>
      </c>
      <c r="J634">
        <v>32315030</v>
      </c>
      <c r="K634">
        <v>47839843</v>
      </c>
      <c r="L634">
        <v>75002786</v>
      </c>
      <c r="M634">
        <v>-34988755</v>
      </c>
      <c r="N634">
        <v>19377177</v>
      </c>
      <c r="O634">
        <v>51189574</v>
      </c>
      <c r="P634">
        <v>293</v>
      </c>
      <c r="Q634" t="s">
        <v>1486</v>
      </c>
    </row>
    <row r="635" spans="1:17" x14ac:dyDescent="0.3">
      <c r="A635" t="s">
        <v>17</v>
      </c>
      <c r="B635" t="str">
        <f>"601678"</f>
        <v>601678</v>
      </c>
      <c r="C635" t="s">
        <v>1487</v>
      </c>
      <c r="D635" t="s">
        <v>496</v>
      </c>
      <c r="E635">
        <v>191669698</v>
      </c>
      <c r="F635">
        <v>971165239</v>
      </c>
      <c r="G635">
        <v>139412870</v>
      </c>
      <c r="H635">
        <v>269674069</v>
      </c>
      <c r="I635">
        <v>263223164</v>
      </c>
      <c r="J635">
        <v>240345507</v>
      </c>
      <c r="K635">
        <v>280503313</v>
      </c>
      <c r="L635">
        <v>-65128685</v>
      </c>
      <c r="M635">
        <v>113208910</v>
      </c>
      <c r="N635">
        <v>-35890013</v>
      </c>
      <c r="O635">
        <v>235217290</v>
      </c>
      <c r="P635">
        <v>353</v>
      </c>
      <c r="Q635" t="s">
        <v>1488</v>
      </c>
    </row>
    <row r="636" spans="1:17" x14ac:dyDescent="0.3">
      <c r="A636" t="s">
        <v>33</v>
      </c>
      <c r="B636" t="str">
        <f>"300094"</f>
        <v>300094</v>
      </c>
      <c r="C636" t="s">
        <v>1489</v>
      </c>
      <c r="D636" t="s">
        <v>1490</v>
      </c>
      <c r="E636">
        <v>191395856</v>
      </c>
      <c r="F636">
        <v>168872787</v>
      </c>
      <c r="G636">
        <v>-444143038</v>
      </c>
      <c r="H636">
        <v>-153089747</v>
      </c>
      <c r="I636">
        <v>-23561396</v>
      </c>
      <c r="J636">
        <v>43514689</v>
      </c>
      <c r="K636">
        <v>110292474</v>
      </c>
      <c r="L636">
        <v>18632924</v>
      </c>
      <c r="M636">
        <v>76103201</v>
      </c>
      <c r="N636">
        <v>26191250</v>
      </c>
      <c r="O636">
        <v>68566498</v>
      </c>
      <c r="P636">
        <v>123</v>
      </c>
      <c r="Q636" t="s">
        <v>1491</v>
      </c>
    </row>
    <row r="637" spans="1:17" x14ac:dyDescent="0.3">
      <c r="A637" t="s">
        <v>17</v>
      </c>
      <c r="B637" t="str">
        <f>"600185"</f>
        <v>600185</v>
      </c>
      <c r="C637" t="s">
        <v>1492</v>
      </c>
      <c r="D637" t="s">
        <v>167</v>
      </c>
      <c r="E637">
        <v>188889336</v>
      </c>
      <c r="F637">
        <v>1223265919</v>
      </c>
      <c r="G637">
        <v>-445064628</v>
      </c>
      <c r="H637">
        <v>1926200</v>
      </c>
      <c r="I637">
        <v>-401264091</v>
      </c>
      <c r="J637">
        <v>-157725222</v>
      </c>
      <c r="K637">
        <v>467519506</v>
      </c>
      <c r="L637">
        <v>-2799488461</v>
      </c>
      <c r="M637">
        <v>-314526682</v>
      </c>
      <c r="N637">
        <v>17824212</v>
      </c>
      <c r="O637">
        <v>-191738138</v>
      </c>
      <c r="P637">
        <v>321</v>
      </c>
      <c r="Q637" t="s">
        <v>1493</v>
      </c>
    </row>
    <row r="638" spans="1:17" x14ac:dyDescent="0.3">
      <c r="A638" t="s">
        <v>17</v>
      </c>
      <c r="B638" t="str">
        <f>"688183"</f>
        <v>688183</v>
      </c>
      <c r="C638" t="s">
        <v>1494</v>
      </c>
      <c r="D638" t="s">
        <v>239</v>
      </c>
      <c r="E638">
        <v>188666373</v>
      </c>
      <c r="F638">
        <v>144543734</v>
      </c>
      <c r="G638">
        <v>320559297</v>
      </c>
      <c r="H638">
        <v>39113600</v>
      </c>
      <c r="P638">
        <v>41</v>
      </c>
      <c r="Q638" t="s">
        <v>1495</v>
      </c>
    </row>
    <row r="639" spans="1:17" x14ac:dyDescent="0.3">
      <c r="A639" t="s">
        <v>33</v>
      </c>
      <c r="B639" t="str">
        <f>"000700"</f>
        <v>000700</v>
      </c>
      <c r="C639" t="s">
        <v>1496</v>
      </c>
      <c r="D639" t="s">
        <v>200</v>
      </c>
      <c r="E639">
        <v>187283469</v>
      </c>
      <c r="F639">
        <v>174704631</v>
      </c>
      <c r="G639">
        <v>-64266786</v>
      </c>
      <c r="H639">
        <v>-78623762</v>
      </c>
      <c r="I639">
        <v>99637595</v>
      </c>
      <c r="J639">
        <v>16515878</v>
      </c>
      <c r="K639">
        <v>108176514</v>
      </c>
      <c r="L639">
        <v>75056553</v>
      </c>
      <c r="M639">
        <v>30496872</v>
      </c>
      <c r="N639">
        <v>57754238</v>
      </c>
      <c r="O639">
        <v>157206613</v>
      </c>
      <c r="P639">
        <v>259</v>
      </c>
      <c r="Q639" t="s">
        <v>1497</v>
      </c>
    </row>
    <row r="640" spans="1:17" x14ac:dyDescent="0.3">
      <c r="A640" t="s">
        <v>17</v>
      </c>
      <c r="B640" t="str">
        <f>"600116"</f>
        <v>600116</v>
      </c>
      <c r="C640" t="s">
        <v>1498</v>
      </c>
      <c r="D640" t="s">
        <v>245</v>
      </c>
      <c r="E640">
        <v>187055068</v>
      </c>
      <c r="F640">
        <v>-35197218</v>
      </c>
      <c r="G640">
        <v>-19121768</v>
      </c>
      <c r="H640">
        <v>-22282796</v>
      </c>
      <c r="I640">
        <v>-13726980</v>
      </c>
      <c r="J640">
        <v>85128302</v>
      </c>
      <c r="K640">
        <v>131858777</v>
      </c>
      <c r="L640">
        <v>54942342</v>
      </c>
      <c r="M640">
        <v>69584506</v>
      </c>
      <c r="N640">
        <v>4247244</v>
      </c>
      <c r="O640">
        <v>-1923768</v>
      </c>
      <c r="P640">
        <v>236</v>
      </c>
      <c r="Q640" t="s">
        <v>1499</v>
      </c>
    </row>
    <row r="641" spans="1:17" x14ac:dyDescent="0.3">
      <c r="A641" t="s">
        <v>17</v>
      </c>
      <c r="B641" t="str">
        <f>"601801"</f>
        <v>601801</v>
      </c>
      <c r="C641" t="s">
        <v>1500</v>
      </c>
      <c r="D641" t="s">
        <v>1501</v>
      </c>
      <c r="E641">
        <v>186596862</v>
      </c>
      <c r="F641">
        <v>42319204</v>
      </c>
      <c r="G641">
        <v>-304767048</v>
      </c>
      <c r="H641">
        <v>-15051477</v>
      </c>
      <c r="I641">
        <v>-3519023</v>
      </c>
      <c r="J641">
        <v>-107659732</v>
      </c>
      <c r="K641">
        <v>11727166</v>
      </c>
      <c r="L641">
        <v>-12399341</v>
      </c>
      <c r="M641">
        <v>127604318</v>
      </c>
      <c r="N641">
        <v>-12735007</v>
      </c>
      <c r="O641">
        <v>215119497</v>
      </c>
      <c r="P641">
        <v>267</v>
      </c>
      <c r="Q641" t="s">
        <v>1502</v>
      </c>
    </row>
    <row r="642" spans="1:17" x14ac:dyDescent="0.3">
      <c r="A642" t="s">
        <v>17</v>
      </c>
      <c r="B642" t="str">
        <f>"605399"</f>
        <v>605399</v>
      </c>
      <c r="C642" t="s">
        <v>1503</v>
      </c>
      <c r="D642" t="s">
        <v>729</v>
      </c>
      <c r="E642">
        <v>185304559</v>
      </c>
      <c r="F642">
        <v>29338895</v>
      </c>
      <c r="G642">
        <v>-2210680</v>
      </c>
      <c r="H642">
        <v>12096019</v>
      </c>
      <c r="P642">
        <v>126</v>
      </c>
      <c r="Q642" t="s">
        <v>1504</v>
      </c>
    </row>
    <row r="643" spans="1:17" x14ac:dyDescent="0.3">
      <c r="A643" t="s">
        <v>33</v>
      </c>
      <c r="B643" t="str">
        <f>"300073"</f>
        <v>300073</v>
      </c>
      <c r="C643" t="s">
        <v>1505</v>
      </c>
      <c r="D643" t="s">
        <v>795</v>
      </c>
      <c r="E643">
        <v>185049791</v>
      </c>
      <c r="F643">
        <v>-311250804</v>
      </c>
      <c r="G643">
        <v>-22661007</v>
      </c>
      <c r="H643">
        <v>65587612</v>
      </c>
      <c r="I643">
        <v>60924069</v>
      </c>
      <c r="J643">
        <v>-15780273</v>
      </c>
      <c r="K643">
        <v>-33108632</v>
      </c>
      <c r="L643">
        <v>457362</v>
      </c>
      <c r="M643">
        <v>-36974700</v>
      </c>
      <c r="N643">
        <v>-21431877</v>
      </c>
      <c r="O643">
        <v>6600751</v>
      </c>
      <c r="P643">
        <v>826</v>
      </c>
      <c r="Q643" t="s">
        <v>1506</v>
      </c>
    </row>
    <row r="644" spans="1:17" x14ac:dyDescent="0.3">
      <c r="A644" t="s">
        <v>17</v>
      </c>
      <c r="B644" t="str">
        <f>"605577"</f>
        <v>605577</v>
      </c>
      <c r="C644" t="s">
        <v>1507</v>
      </c>
      <c r="D644" t="s">
        <v>1054</v>
      </c>
      <c r="E644">
        <v>184474838</v>
      </c>
      <c r="F644">
        <v>-101385274</v>
      </c>
      <c r="G644">
        <v>-136443913</v>
      </c>
      <c r="P644">
        <v>19</v>
      </c>
      <c r="Q644" t="s">
        <v>1508</v>
      </c>
    </row>
    <row r="645" spans="1:17" x14ac:dyDescent="0.3">
      <c r="A645" t="s">
        <v>33</v>
      </c>
      <c r="B645" t="str">
        <f>"002281"</f>
        <v>002281</v>
      </c>
      <c r="C645" t="s">
        <v>1509</v>
      </c>
      <c r="D645" t="s">
        <v>461</v>
      </c>
      <c r="E645">
        <v>184128486</v>
      </c>
      <c r="F645">
        <v>311783959</v>
      </c>
      <c r="G645">
        <v>250158465</v>
      </c>
      <c r="H645">
        <v>51633153</v>
      </c>
      <c r="I645">
        <v>-165088692</v>
      </c>
      <c r="J645">
        <v>-113577903</v>
      </c>
      <c r="K645">
        <v>-68699828</v>
      </c>
      <c r="L645">
        <v>-13077521</v>
      </c>
      <c r="M645">
        <v>-195585710</v>
      </c>
      <c r="N645">
        <v>-22984341</v>
      </c>
      <c r="O645">
        <v>36458520</v>
      </c>
      <c r="P645">
        <v>894</v>
      </c>
      <c r="Q645" t="s">
        <v>1510</v>
      </c>
    </row>
    <row r="646" spans="1:17" x14ac:dyDescent="0.3">
      <c r="A646" t="s">
        <v>33</v>
      </c>
      <c r="B646" t="str">
        <f>"000571"</f>
        <v>000571</v>
      </c>
      <c r="C646" t="s">
        <v>1511</v>
      </c>
      <c r="D646" t="s">
        <v>77</v>
      </c>
      <c r="E646">
        <v>184065476</v>
      </c>
      <c r="F646">
        <v>15939917</v>
      </c>
      <c r="G646">
        <v>49426084</v>
      </c>
      <c r="H646">
        <v>-9132013</v>
      </c>
      <c r="I646">
        <v>8523848</v>
      </c>
      <c r="J646">
        <v>97889395</v>
      </c>
      <c r="K646">
        <v>245240814</v>
      </c>
      <c r="L646">
        <v>-50872889</v>
      </c>
      <c r="M646">
        <v>-49442013</v>
      </c>
      <c r="N646">
        <v>-48773998</v>
      </c>
      <c r="O646">
        <v>-42822302</v>
      </c>
      <c r="P646">
        <v>72</v>
      </c>
      <c r="Q646" t="s">
        <v>1512</v>
      </c>
    </row>
    <row r="647" spans="1:17" x14ac:dyDescent="0.3">
      <c r="A647" t="s">
        <v>33</v>
      </c>
      <c r="B647" t="str">
        <f>"002045"</f>
        <v>002045</v>
      </c>
      <c r="C647" t="s">
        <v>1513</v>
      </c>
      <c r="D647" t="s">
        <v>1514</v>
      </c>
      <c r="E647">
        <v>183690913</v>
      </c>
      <c r="F647">
        <v>167838804</v>
      </c>
      <c r="G647">
        <v>183373073</v>
      </c>
      <c r="H647">
        <v>114696415</v>
      </c>
      <c r="I647">
        <v>-271466944</v>
      </c>
      <c r="J647">
        <v>123240120</v>
      </c>
      <c r="K647">
        <v>143000146</v>
      </c>
      <c r="L647">
        <v>101291259</v>
      </c>
      <c r="M647">
        <v>18002097</v>
      </c>
      <c r="N647">
        <v>57938431</v>
      </c>
      <c r="O647">
        <v>-1774611</v>
      </c>
      <c r="P647">
        <v>216</v>
      </c>
      <c r="Q647" t="s">
        <v>1515</v>
      </c>
    </row>
    <row r="648" spans="1:17" x14ac:dyDescent="0.3">
      <c r="A648" t="s">
        <v>33</v>
      </c>
      <c r="B648" t="str">
        <f>"300228"</f>
        <v>300228</v>
      </c>
      <c r="C648" t="s">
        <v>1516</v>
      </c>
      <c r="D648" t="s">
        <v>164</v>
      </c>
      <c r="E648">
        <v>183625608</v>
      </c>
      <c r="F648">
        <v>56578471</v>
      </c>
      <c r="G648">
        <v>-69135661</v>
      </c>
      <c r="H648">
        <v>35126004</v>
      </c>
      <c r="I648">
        <v>36846604</v>
      </c>
      <c r="J648">
        <v>47291535</v>
      </c>
      <c r="K648">
        <v>-187841767</v>
      </c>
      <c r="L648">
        <v>38013676</v>
      </c>
      <c r="M648">
        <v>-86961710</v>
      </c>
      <c r="N648">
        <v>-91877724</v>
      </c>
      <c r="O648">
        <v>-64356856</v>
      </c>
      <c r="P648">
        <v>128</v>
      </c>
      <c r="Q648" t="s">
        <v>1517</v>
      </c>
    </row>
    <row r="649" spans="1:17" x14ac:dyDescent="0.3">
      <c r="A649" t="s">
        <v>33</v>
      </c>
      <c r="B649" t="str">
        <f>"300459"</f>
        <v>300459</v>
      </c>
      <c r="C649" t="s">
        <v>1518</v>
      </c>
      <c r="D649" t="s">
        <v>751</v>
      </c>
      <c r="E649">
        <v>182001648</v>
      </c>
      <c r="F649">
        <v>280885811</v>
      </c>
      <c r="G649">
        <v>458442526</v>
      </c>
      <c r="H649">
        <v>271529742</v>
      </c>
      <c r="I649">
        <v>-18128559</v>
      </c>
      <c r="J649">
        <v>98712703</v>
      </c>
      <c r="K649">
        <v>16934827</v>
      </c>
      <c r="L649">
        <v>20577500</v>
      </c>
      <c r="M649">
        <v>13585100</v>
      </c>
      <c r="P649">
        <v>287</v>
      </c>
      <c r="Q649" t="s">
        <v>1519</v>
      </c>
    </row>
    <row r="650" spans="1:17" x14ac:dyDescent="0.3">
      <c r="A650" t="s">
        <v>17</v>
      </c>
      <c r="B650" t="str">
        <f>"603658"</f>
        <v>603658</v>
      </c>
      <c r="C650" t="s">
        <v>1520</v>
      </c>
      <c r="D650" t="s">
        <v>221</v>
      </c>
      <c r="E650">
        <v>181963680</v>
      </c>
      <c r="F650">
        <v>259377418</v>
      </c>
      <c r="G650">
        <v>63382160</v>
      </c>
      <c r="H650">
        <v>109402594</v>
      </c>
      <c r="I650">
        <v>113533646</v>
      </c>
      <c r="J650">
        <v>88529825</v>
      </c>
      <c r="K650">
        <v>60717823</v>
      </c>
      <c r="P650">
        <v>2606</v>
      </c>
      <c r="Q650" t="s">
        <v>1521</v>
      </c>
    </row>
    <row r="651" spans="1:17" x14ac:dyDescent="0.3">
      <c r="A651" t="s">
        <v>17</v>
      </c>
      <c r="B651" t="str">
        <f>"603179"</f>
        <v>603179</v>
      </c>
      <c r="C651" t="s">
        <v>1522</v>
      </c>
      <c r="D651" t="s">
        <v>603</v>
      </c>
      <c r="E651">
        <v>181838561</v>
      </c>
      <c r="F651">
        <v>-69082672</v>
      </c>
      <c r="G651">
        <v>-15558584</v>
      </c>
      <c r="H651">
        <v>49060667</v>
      </c>
      <c r="I651">
        <v>163212361</v>
      </c>
      <c r="J651">
        <v>-7476549</v>
      </c>
      <c r="K651">
        <v>-3042290</v>
      </c>
      <c r="P651">
        <v>302</v>
      </c>
      <c r="Q651" t="s">
        <v>1523</v>
      </c>
    </row>
    <row r="652" spans="1:17" x14ac:dyDescent="0.3">
      <c r="A652" t="s">
        <v>33</v>
      </c>
      <c r="B652" t="str">
        <f>"000655"</f>
        <v>000655</v>
      </c>
      <c r="C652" t="s">
        <v>1524</v>
      </c>
      <c r="D652" t="s">
        <v>866</v>
      </c>
      <c r="E652">
        <v>181816856</v>
      </c>
      <c r="F652">
        <v>225168752</v>
      </c>
      <c r="G652">
        <v>77716370</v>
      </c>
      <c r="H652">
        <v>65786977</v>
      </c>
      <c r="I652">
        <v>267722998</v>
      </c>
      <c r="J652">
        <v>39828943</v>
      </c>
      <c r="K652">
        <v>-54265020</v>
      </c>
      <c r="L652">
        <v>26448066</v>
      </c>
      <c r="M652">
        <v>105433000</v>
      </c>
      <c r="N652">
        <v>178537873</v>
      </c>
      <c r="O652">
        <v>281979135</v>
      </c>
      <c r="P652">
        <v>145</v>
      </c>
      <c r="Q652" t="s">
        <v>1525</v>
      </c>
    </row>
    <row r="653" spans="1:17" x14ac:dyDescent="0.3">
      <c r="A653" t="s">
        <v>33</v>
      </c>
      <c r="B653" t="str">
        <f>"002062"</f>
        <v>002062</v>
      </c>
      <c r="C653" t="s">
        <v>1526</v>
      </c>
      <c r="D653" t="s">
        <v>1527</v>
      </c>
      <c r="E653">
        <v>181260803</v>
      </c>
      <c r="F653">
        <v>-65270226</v>
      </c>
      <c r="G653">
        <v>-307125474</v>
      </c>
      <c r="H653">
        <v>-325010182</v>
      </c>
      <c r="I653">
        <v>64877485</v>
      </c>
      <c r="J653">
        <v>109001414</v>
      </c>
      <c r="K653">
        <v>28352267</v>
      </c>
      <c r="L653">
        <v>386752721</v>
      </c>
      <c r="M653">
        <v>-433378580</v>
      </c>
      <c r="N653">
        <v>147548968</v>
      </c>
      <c r="O653">
        <v>-512216613</v>
      </c>
      <c r="P653">
        <v>145</v>
      </c>
      <c r="Q653" t="s">
        <v>1528</v>
      </c>
    </row>
    <row r="654" spans="1:17" x14ac:dyDescent="0.3">
      <c r="A654" t="s">
        <v>33</v>
      </c>
      <c r="B654" t="str">
        <f>"002435"</f>
        <v>002435</v>
      </c>
      <c r="C654" t="s">
        <v>1529</v>
      </c>
      <c r="D654" t="s">
        <v>590</v>
      </c>
      <c r="E654">
        <v>181228927</v>
      </c>
      <c r="F654">
        <v>-293334578</v>
      </c>
      <c r="G654">
        <v>-99667709</v>
      </c>
      <c r="H654">
        <v>-105220874</v>
      </c>
      <c r="I654">
        <v>150253089</v>
      </c>
      <c r="J654">
        <v>59969309</v>
      </c>
      <c r="K654">
        <v>57129944</v>
      </c>
      <c r="L654">
        <v>-71645836</v>
      </c>
      <c r="M654">
        <v>-63156820</v>
      </c>
      <c r="N654">
        <v>-19782116</v>
      </c>
      <c r="O654">
        <v>-131363101</v>
      </c>
      <c r="P654">
        <v>139</v>
      </c>
      <c r="Q654" t="s">
        <v>1530</v>
      </c>
    </row>
    <row r="655" spans="1:17" x14ac:dyDescent="0.3">
      <c r="A655" t="s">
        <v>17</v>
      </c>
      <c r="B655" t="str">
        <f>"600995"</f>
        <v>600995</v>
      </c>
      <c r="C655" t="s">
        <v>1531</v>
      </c>
      <c r="D655" t="s">
        <v>245</v>
      </c>
      <c r="E655">
        <v>180649323</v>
      </c>
      <c r="F655">
        <v>147425219</v>
      </c>
      <c r="G655">
        <v>119586128</v>
      </c>
      <c r="H655">
        <v>224785007</v>
      </c>
      <c r="I655">
        <v>225999339</v>
      </c>
      <c r="J655">
        <v>157818984</v>
      </c>
      <c r="K655">
        <v>164121036</v>
      </c>
      <c r="L655">
        <v>151893944</v>
      </c>
      <c r="M655">
        <v>58989217</v>
      </c>
      <c r="N655">
        <v>-6114246</v>
      </c>
      <c r="O655">
        <v>9544865</v>
      </c>
      <c r="P655">
        <v>267</v>
      </c>
      <c r="Q655" t="s">
        <v>1532</v>
      </c>
    </row>
    <row r="656" spans="1:17" x14ac:dyDescent="0.3">
      <c r="A656" t="s">
        <v>33</v>
      </c>
      <c r="B656" t="str">
        <f>"300832"</f>
        <v>300832</v>
      </c>
      <c r="C656" t="s">
        <v>1533</v>
      </c>
      <c r="D656" t="s">
        <v>221</v>
      </c>
      <c r="E656">
        <v>180613026</v>
      </c>
      <c r="F656">
        <v>118803773</v>
      </c>
      <c r="G656">
        <v>20455884</v>
      </c>
      <c r="H656">
        <v>104797868</v>
      </c>
      <c r="P656">
        <v>513</v>
      </c>
      <c r="Q656" t="s">
        <v>1534</v>
      </c>
    </row>
    <row r="657" spans="1:17" x14ac:dyDescent="0.3">
      <c r="A657" t="s">
        <v>33</v>
      </c>
      <c r="B657" t="str">
        <f>"300068"</f>
        <v>300068</v>
      </c>
      <c r="C657" t="s">
        <v>1535</v>
      </c>
      <c r="D657" t="s">
        <v>1536</v>
      </c>
      <c r="E657">
        <v>180180342</v>
      </c>
      <c r="F657">
        <v>-296394858</v>
      </c>
      <c r="G657">
        <v>-334667328</v>
      </c>
      <c r="H657">
        <v>-658565966</v>
      </c>
      <c r="I657">
        <v>-1100414250</v>
      </c>
      <c r="J657">
        <v>-373954152</v>
      </c>
      <c r="K657">
        <v>-339170238</v>
      </c>
      <c r="L657">
        <v>-244226694</v>
      </c>
      <c r="M657">
        <v>-14783521</v>
      </c>
      <c r="N657">
        <v>-168103343</v>
      </c>
      <c r="O657">
        <v>-15485579</v>
      </c>
      <c r="P657">
        <v>305</v>
      </c>
      <c r="Q657" t="s">
        <v>1537</v>
      </c>
    </row>
    <row r="658" spans="1:17" x14ac:dyDescent="0.3">
      <c r="A658" t="s">
        <v>17</v>
      </c>
      <c r="B658" t="str">
        <f>"600125"</f>
        <v>600125</v>
      </c>
      <c r="C658" t="s">
        <v>1538</v>
      </c>
      <c r="D658" t="s">
        <v>403</v>
      </c>
      <c r="E658">
        <v>180176275</v>
      </c>
      <c r="F658">
        <v>130497305</v>
      </c>
      <c r="G658">
        <v>59189710</v>
      </c>
      <c r="H658">
        <v>-19301717</v>
      </c>
      <c r="I658">
        <v>-165266581</v>
      </c>
      <c r="J658">
        <v>-199460537</v>
      </c>
      <c r="K658">
        <v>-513096</v>
      </c>
      <c r="L658">
        <v>146580271</v>
      </c>
      <c r="M658">
        <v>-55991304</v>
      </c>
      <c r="N658">
        <v>53991912</v>
      </c>
      <c r="O658">
        <v>63094257</v>
      </c>
      <c r="P658">
        <v>203</v>
      </c>
      <c r="Q658" t="s">
        <v>1539</v>
      </c>
    </row>
    <row r="659" spans="1:17" x14ac:dyDescent="0.3">
      <c r="A659" t="s">
        <v>33</v>
      </c>
      <c r="B659" t="str">
        <f>"002812"</f>
        <v>002812</v>
      </c>
      <c r="C659" t="s">
        <v>1540</v>
      </c>
      <c r="D659" t="s">
        <v>795</v>
      </c>
      <c r="E659">
        <v>180070569</v>
      </c>
      <c r="F659">
        <v>196836826</v>
      </c>
      <c r="G659">
        <v>34367095</v>
      </c>
      <c r="H659">
        <v>-75828322</v>
      </c>
      <c r="I659">
        <v>-159787693</v>
      </c>
      <c r="J659">
        <v>-36209328</v>
      </c>
      <c r="K659">
        <v>-37788404</v>
      </c>
      <c r="P659">
        <v>1583</v>
      </c>
      <c r="Q659" t="s">
        <v>1541</v>
      </c>
    </row>
    <row r="660" spans="1:17" x14ac:dyDescent="0.3">
      <c r="A660" t="s">
        <v>33</v>
      </c>
      <c r="B660" t="str">
        <f>"000426"</f>
        <v>000426</v>
      </c>
      <c r="C660" t="s">
        <v>1542</v>
      </c>
      <c r="D660" t="s">
        <v>702</v>
      </c>
      <c r="E660">
        <v>179795104</v>
      </c>
      <c r="F660">
        <v>75613774</v>
      </c>
      <c r="G660">
        <v>-98422389</v>
      </c>
      <c r="H660">
        <v>119700314</v>
      </c>
      <c r="I660">
        <v>31951290</v>
      </c>
      <c r="J660">
        <v>199614047</v>
      </c>
      <c r="K660">
        <v>10679100</v>
      </c>
      <c r="L660">
        <v>-4556677</v>
      </c>
      <c r="M660">
        <v>-78074792</v>
      </c>
      <c r="N660">
        <v>32670010</v>
      </c>
      <c r="O660">
        <v>-3257064</v>
      </c>
      <c r="P660">
        <v>202</v>
      </c>
      <c r="Q660" t="s">
        <v>1543</v>
      </c>
    </row>
    <row r="661" spans="1:17" x14ac:dyDescent="0.3">
      <c r="A661" t="s">
        <v>17</v>
      </c>
      <c r="B661" t="str">
        <f>"600062"</f>
        <v>600062</v>
      </c>
      <c r="C661" t="s">
        <v>1544</v>
      </c>
      <c r="D661" t="s">
        <v>590</v>
      </c>
      <c r="E661">
        <v>179637208</v>
      </c>
      <c r="F661">
        <v>322732752</v>
      </c>
      <c r="G661">
        <v>365208078</v>
      </c>
      <c r="H661">
        <v>458141710</v>
      </c>
      <c r="I661">
        <v>385908481</v>
      </c>
      <c r="J661">
        <v>302443562</v>
      </c>
      <c r="K661">
        <v>162761838</v>
      </c>
      <c r="L661">
        <v>25217366</v>
      </c>
      <c r="M661">
        <v>104047878</v>
      </c>
      <c r="N661">
        <v>13391199</v>
      </c>
      <c r="O661">
        <v>74419075</v>
      </c>
      <c r="P661">
        <v>635</v>
      </c>
      <c r="Q661" t="s">
        <v>1545</v>
      </c>
    </row>
    <row r="662" spans="1:17" x14ac:dyDescent="0.3">
      <c r="A662" t="s">
        <v>17</v>
      </c>
      <c r="B662" t="str">
        <f>"600575"</f>
        <v>600575</v>
      </c>
      <c r="C662" t="s">
        <v>1546</v>
      </c>
      <c r="D662" t="s">
        <v>403</v>
      </c>
      <c r="E662">
        <v>179452599</v>
      </c>
      <c r="F662">
        <v>172191153</v>
      </c>
      <c r="G662">
        <v>83911763</v>
      </c>
      <c r="H662">
        <v>354989867</v>
      </c>
      <c r="I662">
        <v>205465707</v>
      </c>
      <c r="J662">
        <v>-36093887</v>
      </c>
      <c r="K662">
        <v>154063439</v>
      </c>
      <c r="L662">
        <v>346716476</v>
      </c>
      <c r="M662">
        <v>258422669</v>
      </c>
      <c r="N662">
        <v>-1101320247</v>
      </c>
      <c r="O662">
        <v>-503327535</v>
      </c>
      <c r="P662">
        <v>118</v>
      </c>
      <c r="Q662" t="s">
        <v>1547</v>
      </c>
    </row>
    <row r="663" spans="1:17" x14ac:dyDescent="0.3">
      <c r="A663" t="s">
        <v>17</v>
      </c>
      <c r="B663" t="str">
        <f>"688006"</f>
        <v>688006</v>
      </c>
      <c r="C663" t="s">
        <v>1548</v>
      </c>
      <c r="D663" t="s">
        <v>1549</v>
      </c>
      <c r="E663">
        <v>178579666</v>
      </c>
      <c r="F663">
        <v>29211648</v>
      </c>
      <c r="G663">
        <v>125176098</v>
      </c>
      <c r="H663">
        <v>27836800</v>
      </c>
      <c r="I663">
        <v>41104500</v>
      </c>
      <c r="P663">
        <v>255</v>
      </c>
      <c r="Q663" t="s">
        <v>1550</v>
      </c>
    </row>
    <row r="664" spans="1:17" x14ac:dyDescent="0.3">
      <c r="A664" t="s">
        <v>17</v>
      </c>
      <c r="B664" t="str">
        <f>"688385"</f>
        <v>688385</v>
      </c>
      <c r="C664" t="s">
        <v>1551</v>
      </c>
      <c r="D664" t="s">
        <v>1277</v>
      </c>
      <c r="E664">
        <v>178013727</v>
      </c>
      <c r="F664">
        <v>41944266</v>
      </c>
      <c r="G664">
        <v>-24028986</v>
      </c>
      <c r="P664">
        <v>47</v>
      </c>
      <c r="Q664" t="s">
        <v>1552</v>
      </c>
    </row>
    <row r="665" spans="1:17" x14ac:dyDescent="0.3">
      <c r="A665" t="s">
        <v>17</v>
      </c>
      <c r="B665" t="str">
        <f>"600004"</f>
        <v>600004</v>
      </c>
      <c r="C665" t="s">
        <v>1553</v>
      </c>
      <c r="D665" t="s">
        <v>1344</v>
      </c>
      <c r="E665">
        <v>177793365</v>
      </c>
      <c r="F665">
        <v>171780524</v>
      </c>
      <c r="G665">
        <v>627766711</v>
      </c>
      <c r="H665">
        <v>393182223</v>
      </c>
      <c r="I665">
        <v>636535663</v>
      </c>
      <c r="J665">
        <v>443738333</v>
      </c>
      <c r="K665">
        <v>90069987</v>
      </c>
      <c r="L665">
        <v>224087496</v>
      </c>
      <c r="M665">
        <v>110414872</v>
      </c>
      <c r="N665">
        <v>216988976</v>
      </c>
      <c r="O665">
        <v>265016285</v>
      </c>
      <c r="P665">
        <v>1892</v>
      </c>
      <c r="Q665" t="s">
        <v>1554</v>
      </c>
    </row>
    <row r="666" spans="1:17" x14ac:dyDescent="0.3">
      <c r="A666" t="s">
        <v>33</v>
      </c>
      <c r="B666" t="str">
        <f>"300586"</f>
        <v>300586</v>
      </c>
      <c r="C666" t="s">
        <v>1555</v>
      </c>
      <c r="D666" t="s">
        <v>1556</v>
      </c>
      <c r="E666">
        <v>177565842</v>
      </c>
      <c r="F666">
        <v>33454104</v>
      </c>
      <c r="G666">
        <v>40911356</v>
      </c>
      <c r="H666">
        <v>22765526</v>
      </c>
      <c r="I666">
        <v>16312238</v>
      </c>
      <c r="J666">
        <v>-42897927</v>
      </c>
      <c r="K666">
        <v>2209799</v>
      </c>
      <c r="P666">
        <v>132</v>
      </c>
      <c r="Q666" t="s">
        <v>1557</v>
      </c>
    </row>
    <row r="667" spans="1:17" x14ac:dyDescent="0.3">
      <c r="A667" t="s">
        <v>33</v>
      </c>
      <c r="B667" t="str">
        <f>"002056"</f>
        <v>002056</v>
      </c>
      <c r="C667" t="s">
        <v>1558</v>
      </c>
      <c r="D667" t="s">
        <v>1559</v>
      </c>
      <c r="E667">
        <v>176800727</v>
      </c>
      <c r="F667">
        <v>324272862</v>
      </c>
      <c r="G667">
        <v>165727500</v>
      </c>
      <c r="H667">
        <v>184745956</v>
      </c>
      <c r="I667">
        <v>80119059</v>
      </c>
      <c r="J667">
        <v>-47150148</v>
      </c>
      <c r="K667">
        <v>185765182</v>
      </c>
      <c r="L667">
        <v>159106121</v>
      </c>
      <c r="M667">
        <v>160269119</v>
      </c>
      <c r="N667">
        <v>167470157</v>
      </c>
      <c r="O667">
        <v>49163792</v>
      </c>
      <c r="P667">
        <v>783</v>
      </c>
      <c r="Q667" t="s">
        <v>1560</v>
      </c>
    </row>
    <row r="668" spans="1:17" x14ac:dyDescent="0.3">
      <c r="A668" t="s">
        <v>17</v>
      </c>
      <c r="B668" t="str">
        <f>"603053"</f>
        <v>603053</v>
      </c>
      <c r="C668" t="s">
        <v>1561</v>
      </c>
      <c r="D668" t="s">
        <v>649</v>
      </c>
      <c r="E668">
        <v>176251771</v>
      </c>
      <c r="F668">
        <v>90813460</v>
      </c>
      <c r="G668">
        <v>-149422833</v>
      </c>
      <c r="H668">
        <v>-3480609</v>
      </c>
      <c r="P668">
        <v>118</v>
      </c>
      <c r="Q668" t="s">
        <v>1562</v>
      </c>
    </row>
    <row r="669" spans="1:17" x14ac:dyDescent="0.3">
      <c r="A669" t="s">
        <v>33</v>
      </c>
      <c r="B669" t="str">
        <f>"300026"</f>
        <v>300026</v>
      </c>
      <c r="C669" t="s">
        <v>1563</v>
      </c>
      <c r="D669" t="s">
        <v>533</v>
      </c>
      <c r="E669">
        <v>176142535</v>
      </c>
      <c r="F669">
        <v>149389823</v>
      </c>
      <c r="G669">
        <v>-17449108</v>
      </c>
      <c r="H669">
        <v>49828710</v>
      </c>
      <c r="I669">
        <v>212994822</v>
      </c>
      <c r="J669">
        <v>90383821</v>
      </c>
      <c r="K669">
        <v>66344402</v>
      </c>
      <c r="L669">
        <v>79459188</v>
      </c>
      <c r="M669">
        <v>8922292</v>
      </c>
      <c r="N669">
        <v>59257640</v>
      </c>
      <c r="O669">
        <v>76457182</v>
      </c>
      <c r="P669">
        <v>417</v>
      </c>
      <c r="Q669" t="s">
        <v>1564</v>
      </c>
    </row>
    <row r="670" spans="1:17" x14ac:dyDescent="0.3">
      <c r="A670" t="s">
        <v>33</v>
      </c>
      <c r="B670" t="str">
        <f>"002123"</f>
        <v>002123</v>
      </c>
      <c r="C670" t="s">
        <v>1565</v>
      </c>
      <c r="D670" t="s">
        <v>1566</v>
      </c>
      <c r="E670">
        <v>175718462</v>
      </c>
      <c r="F670">
        <v>-181357857</v>
      </c>
      <c r="G670">
        <v>-106539406</v>
      </c>
      <c r="H670">
        <v>157989322</v>
      </c>
      <c r="I670">
        <v>4334292</v>
      </c>
      <c r="J670">
        <v>-46072826</v>
      </c>
      <c r="K670">
        <v>-1257466</v>
      </c>
      <c r="L670">
        <v>-75291799</v>
      </c>
      <c r="M670">
        <v>-180422523</v>
      </c>
      <c r="N670">
        <v>-230489643</v>
      </c>
      <c r="O670">
        <v>-157083686</v>
      </c>
      <c r="P670">
        <v>364</v>
      </c>
      <c r="Q670" t="s">
        <v>1567</v>
      </c>
    </row>
    <row r="671" spans="1:17" x14ac:dyDescent="0.3">
      <c r="A671" t="s">
        <v>17</v>
      </c>
      <c r="B671" t="str">
        <f>"603997"</f>
        <v>603997</v>
      </c>
      <c r="C671" t="s">
        <v>1568</v>
      </c>
      <c r="D671" t="s">
        <v>200</v>
      </c>
      <c r="E671">
        <v>175310752</v>
      </c>
      <c r="F671">
        <v>-25837430</v>
      </c>
      <c r="G671">
        <v>-139866051</v>
      </c>
      <c r="H671">
        <v>84053123</v>
      </c>
      <c r="I671">
        <v>93081815</v>
      </c>
      <c r="J671">
        <v>107618249</v>
      </c>
      <c r="K671">
        <v>53287351</v>
      </c>
      <c r="L671">
        <v>29734785</v>
      </c>
      <c r="M671">
        <v>32869009</v>
      </c>
      <c r="P671">
        <v>248</v>
      </c>
      <c r="Q671" t="s">
        <v>1569</v>
      </c>
    </row>
    <row r="672" spans="1:17" x14ac:dyDescent="0.3">
      <c r="A672" t="s">
        <v>33</v>
      </c>
      <c r="B672" t="str">
        <f>"000997"</f>
        <v>000997</v>
      </c>
      <c r="C672" t="s">
        <v>1570</v>
      </c>
      <c r="D672" t="s">
        <v>1571</v>
      </c>
      <c r="E672">
        <v>175134570</v>
      </c>
      <c r="F672">
        <v>118818524</v>
      </c>
      <c r="G672">
        <v>175380572</v>
      </c>
      <c r="H672">
        <v>47621789</v>
      </c>
      <c r="I672">
        <v>-24455110</v>
      </c>
      <c r="J672">
        <v>-399706989</v>
      </c>
      <c r="K672">
        <v>40155249</v>
      </c>
      <c r="L672">
        <v>-25701906</v>
      </c>
      <c r="M672">
        <v>-98407480</v>
      </c>
      <c r="N672">
        <v>48339473</v>
      </c>
      <c r="O672">
        <v>-157501184</v>
      </c>
      <c r="P672">
        <v>581</v>
      </c>
      <c r="Q672" t="s">
        <v>1572</v>
      </c>
    </row>
    <row r="673" spans="1:17" x14ac:dyDescent="0.3">
      <c r="A673" t="s">
        <v>17</v>
      </c>
      <c r="B673" t="str">
        <f>"600567"</f>
        <v>600567</v>
      </c>
      <c r="C673" t="s">
        <v>1573</v>
      </c>
      <c r="D673" t="s">
        <v>514</v>
      </c>
      <c r="E673">
        <v>175049362</v>
      </c>
      <c r="F673">
        <v>-327125060</v>
      </c>
      <c r="G673">
        <v>-60800386</v>
      </c>
      <c r="H673">
        <v>-399462248</v>
      </c>
      <c r="I673">
        <v>-65082457</v>
      </c>
      <c r="J673">
        <v>-507069252</v>
      </c>
      <c r="K673">
        <v>314214149</v>
      </c>
      <c r="L673">
        <v>29903726</v>
      </c>
      <c r="M673">
        <v>-178612429</v>
      </c>
      <c r="N673">
        <v>14254053</v>
      </c>
      <c r="O673">
        <v>144502024</v>
      </c>
      <c r="P673">
        <v>593</v>
      </c>
      <c r="Q673" t="s">
        <v>1574</v>
      </c>
    </row>
    <row r="674" spans="1:17" x14ac:dyDescent="0.3">
      <c r="A674" t="s">
        <v>17</v>
      </c>
      <c r="B674" t="str">
        <f>"603881"</f>
        <v>603881</v>
      </c>
      <c r="C674" t="s">
        <v>1575</v>
      </c>
      <c r="D674" t="s">
        <v>508</v>
      </c>
      <c r="E674">
        <v>174645187</v>
      </c>
      <c r="F674">
        <v>36983010</v>
      </c>
      <c r="G674">
        <v>20588789</v>
      </c>
      <c r="H674">
        <v>45248947</v>
      </c>
      <c r="I674">
        <v>41018633</v>
      </c>
      <c r="J674">
        <v>11191647</v>
      </c>
      <c r="K674">
        <v>50130921</v>
      </c>
      <c r="P674">
        <v>486</v>
      </c>
      <c r="Q674" t="s">
        <v>1576</v>
      </c>
    </row>
    <row r="675" spans="1:17" x14ac:dyDescent="0.3">
      <c r="A675" t="s">
        <v>33</v>
      </c>
      <c r="B675" t="str">
        <f>"002538"</f>
        <v>002538</v>
      </c>
      <c r="C675" t="s">
        <v>1577</v>
      </c>
      <c r="D675" t="s">
        <v>610</v>
      </c>
      <c r="E675">
        <v>172435341</v>
      </c>
      <c r="F675">
        <v>-253025068</v>
      </c>
      <c r="G675">
        <v>554097912</v>
      </c>
      <c r="H675">
        <v>-73004074</v>
      </c>
      <c r="I675">
        <v>-108058689</v>
      </c>
      <c r="J675">
        <v>-250610019</v>
      </c>
      <c r="K675">
        <v>-281136800</v>
      </c>
      <c r="L675">
        <v>78619880</v>
      </c>
      <c r="M675">
        <v>-221642111</v>
      </c>
      <c r="N675">
        <v>-1824854</v>
      </c>
      <c r="O675">
        <v>-69056604</v>
      </c>
      <c r="P675">
        <v>174</v>
      </c>
      <c r="Q675" t="s">
        <v>1578</v>
      </c>
    </row>
    <row r="676" spans="1:17" x14ac:dyDescent="0.3">
      <c r="A676" t="s">
        <v>33</v>
      </c>
      <c r="B676" t="str">
        <f>"002106"</f>
        <v>002106</v>
      </c>
      <c r="C676" t="s">
        <v>1579</v>
      </c>
      <c r="D676" t="s">
        <v>102</v>
      </c>
      <c r="E676">
        <v>172413991</v>
      </c>
      <c r="F676">
        <v>76518141</v>
      </c>
      <c r="G676">
        <v>281910912</v>
      </c>
      <c r="H676">
        <v>379885614</v>
      </c>
      <c r="I676">
        <v>316698354</v>
      </c>
      <c r="J676">
        <v>453399260</v>
      </c>
      <c r="K676">
        <v>113042800</v>
      </c>
      <c r="L676">
        <v>140532661</v>
      </c>
      <c r="M676">
        <v>-122526702</v>
      </c>
      <c r="N676">
        <v>125366618</v>
      </c>
      <c r="O676">
        <v>4275895</v>
      </c>
      <c r="P676">
        <v>296</v>
      </c>
      <c r="Q676" t="s">
        <v>1580</v>
      </c>
    </row>
    <row r="677" spans="1:17" x14ac:dyDescent="0.3">
      <c r="A677" t="s">
        <v>33</v>
      </c>
      <c r="B677" t="str">
        <f>"300221"</f>
        <v>300221</v>
      </c>
      <c r="C677" t="s">
        <v>1581</v>
      </c>
      <c r="D677" t="s">
        <v>1556</v>
      </c>
      <c r="E677">
        <v>172200588</v>
      </c>
      <c r="F677">
        <v>-39148610</v>
      </c>
      <c r="G677">
        <v>-10569839</v>
      </c>
      <c r="H677">
        <v>36478043</v>
      </c>
      <c r="I677">
        <v>-96818634</v>
      </c>
      <c r="J677">
        <v>-43454934</v>
      </c>
      <c r="K677">
        <v>-10305820</v>
      </c>
      <c r="L677">
        <v>21980179</v>
      </c>
      <c r="M677">
        <v>-3288734</v>
      </c>
      <c r="N677">
        <v>-28549279</v>
      </c>
      <c r="O677">
        <v>-4945889</v>
      </c>
      <c r="P677">
        <v>173</v>
      </c>
      <c r="Q677" t="s">
        <v>1582</v>
      </c>
    </row>
    <row r="678" spans="1:17" x14ac:dyDescent="0.3">
      <c r="A678" t="s">
        <v>33</v>
      </c>
      <c r="B678" t="str">
        <f>"000751"</f>
        <v>000751</v>
      </c>
      <c r="C678" t="s">
        <v>1583</v>
      </c>
      <c r="D678" t="s">
        <v>702</v>
      </c>
      <c r="E678">
        <v>171807382</v>
      </c>
      <c r="F678">
        <v>39688992</v>
      </c>
      <c r="G678">
        <v>-307343474</v>
      </c>
      <c r="H678">
        <v>56619699</v>
      </c>
      <c r="I678">
        <v>-394284598</v>
      </c>
      <c r="J678">
        <v>-304158281</v>
      </c>
      <c r="K678">
        <v>177686374</v>
      </c>
      <c r="L678">
        <v>-66578019</v>
      </c>
      <c r="M678">
        <v>-188914669</v>
      </c>
      <c r="N678">
        <v>-2884965</v>
      </c>
      <c r="O678">
        <v>470744920</v>
      </c>
      <c r="P678">
        <v>128</v>
      </c>
      <c r="Q678" t="s">
        <v>1584</v>
      </c>
    </row>
    <row r="679" spans="1:17" x14ac:dyDescent="0.3">
      <c r="A679" t="s">
        <v>33</v>
      </c>
      <c r="B679" t="str">
        <f>"000739"</f>
        <v>000739</v>
      </c>
      <c r="C679" t="s">
        <v>1585</v>
      </c>
      <c r="D679" t="s">
        <v>941</v>
      </c>
      <c r="E679">
        <v>171696288</v>
      </c>
      <c r="F679">
        <v>148153167</v>
      </c>
      <c r="G679">
        <v>159918457</v>
      </c>
      <c r="H679">
        <v>180356282</v>
      </c>
      <c r="I679">
        <v>202134293</v>
      </c>
      <c r="J679">
        <v>2328144</v>
      </c>
      <c r="K679">
        <v>-121265336</v>
      </c>
      <c r="L679">
        <v>64641299</v>
      </c>
      <c r="M679">
        <v>101318614</v>
      </c>
      <c r="N679">
        <v>94114083</v>
      </c>
      <c r="O679">
        <v>-15805538</v>
      </c>
      <c r="P679">
        <v>758</v>
      </c>
      <c r="Q679" t="s">
        <v>1586</v>
      </c>
    </row>
    <row r="680" spans="1:17" x14ac:dyDescent="0.3">
      <c r="A680" t="s">
        <v>17</v>
      </c>
      <c r="B680" t="str">
        <f>"603035"</f>
        <v>603035</v>
      </c>
      <c r="C680" t="s">
        <v>1587</v>
      </c>
      <c r="D680" t="s">
        <v>200</v>
      </c>
      <c r="E680">
        <v>171442748</v>
      </c>
      <c r="F680">
        <v>79731135</v>
      </c>
      <c r="G680">
        <v>16952455</v>
      </c>
      <c r="H680">
        <v>85735354</v>
      </c>
      <c r="I680">
        <v>-16673310</v>
      </c>
      <c r="J680">
        <v>32053409</v>
      </c>
      <c r="K680">
        <v>64214425</v>
      </c>
      <c r="P680">
        <v>244</v>
      </c>
      <c r="Q680" t="s">
        <v>1588</v>
      </c>
    </row>
    <row r="681" spans="1:17" x14ac:dyDescent="0.3">
      <c r="A681" t="s">
        <v>17</v>
      </c>
      <c r="B681" t="str">
        <f>"603876"</f>
        <v>603876</v>
      </c>
      <c r="C681" t="s">
        <v>1589</v>
      </c>
      <c r="D681" t="s">
        <v>140</v>
      </c>
      <c r="E681">
        <v>170732847</v>
      </c>
      <c r="F681">
        <v>-127293315</v>
      </c>
      <c r="G681">
        <v>1261943</v>
      </c>
      <c r="H681">
        <v>-116985214</v>
      </c>
      <c r="I681">
        <v>-90511255</v>
      </c>
      <c r="J681">
        <v>-122538570</v>
      </c>
      <c r="P681">
        <v>143</v>
      </c>
      <c r="Q681" t="s">
        <v>1590</v>
      </c>
    </row>
    <row r="682" spans="1:17" x14ac:dyDescent="0.3">
      <c r="A682" t="s">
        <v>33</v>
      </c>
      <c r="B682" t="str">
        <f>"000151"</f>
        <v>000151</v>
      </c>
      <c r="C682" t="s">
        <v>1591</v>
      </c>
      <c r="D682" t="s">
        <v>1592</v>
      </c>
      <c r="E682">
        <v>170697687</v>
      </c>
      <c r="F682">
        <v>-36150202</v>
      </c>
      <c r="G682">
        <v>-43114458</v>
      </c>
      <c r="H682">
        <v>-53038859</v>
      </c>
      <c r="I682">
        <v>110546194</v>
      </c>
      <c r="J682">
        <v>365106854</v>
      </c>
      <c r="K682">
        <v>-132975714</v>
      </c>
      <c r="L682">
        <v>-61109662</v>
      </c>
      <c r="M682">
        <v>239522189</v>
      </c>
      <c r="N682">
        <v>-50608344</v>
      </c>
      <c r="O682">
        <v>-113673562</v>
      </c>
      <c r="P682">
        <v>95</v>
      </c>
      <c r="Q682" t="s">
        <v>1593</v>
      </c>
    </row>
    <row r="683" spans="1:17" x14ac:dyDescent="0.3">
      <c r="A683" t="s">
        <v>33</v>
      </c>
      <c r="B683" t="str">
        <f>"000099"</f>
        <v>000099</v>
      </c>
      <c r="C683" t="s">
        <v>1594</v>
      </c>
      <c r="D683" t="s">
        <v>1166</v>
      </c>
      <c r="E683">
        <v>170601396</v>
      </c>
      <c r="F683">
        <v>324461040</v>
      </c>
      <c r="G683">
        <v>317431807</v>
      </c>
      <c r="H683">
        <v>100952900</v>
      </c>
      <c r="I683">
        <v>-75562080</v>
      </c>
      <c r="J683">
        <v>77999168</v>
      </c>
      <c r="K683">
        <v>44799974</v>
      </c>
      <c r="L683">
        <v>39366816</v>
      </c>
      <c r="M683">
        <v>-34384793</v>
      </c>
      <c r="N683">
        <v>-30493236</v>
      </c>
      <c r="O683">
        <v>33322897</v>
      </c>
      <c r="P683">
        <v>166</v>
      </c>
      <c r="Q683" t="s">
        <v>1595</v>
      </c>
    </row>
    <row r="684" spans="1:17" x14ac:dyDescent="0.3">
      <c r="A684" t="s">
        <v>33</v>
      </c>
      <c r="B684" t="str">
        <f>"002020"</f>
        <v>002020</v>
      </c>
      <c r="C684" t="s">
        <v>1596</v>
      </c>
      <c r="D684" t="s">
        <v>590</v>
      </c>
      <c r="E684">
        <v>169274494</v>
      </c>
      <c r="F684">
        <v>81555730</v>
      </c>
      <c r="G684">
        <v>121862147</v>
      </c>
      <c r="H684">
        <v>69232594</v>
      </c>
      <c r="I684">
        <v>50109446</v>
      </c>
      <c r="J684">
        <v>89451853</v>
      </c>
      <c r="K684">
        <v>109067252</v>
      </c>
      <c r="L684">
        <v>95580596</v>
      </c>
      <c r="M684">
        <v>75668083</v>
      </c>
      <c r="N684">
        <v>11493370</v>
      </c>
      <c r="O684">
        <v>10245524</v>
      </c>
      <c r="P684">
        <v>619</v>
      </c>
      <c r="Q684" t="s">
        <v>1597</v>
      </c>
    </row>
    <row r="685" spans="1:17" x14ac:dyDescent="0.3">
      <c r="A685" t="s">
        <v>17</v>
      </c>
      <c r="B685" t="str">
        <f>"603328"</f>
        <v>603328</v>
      </c>
      <c r="C685" t="s">
        <v>1598</v>
      </c>
      <c r="D685" t="s">
        <v>239</v>
      </c>
      <c r="E685">
        <v>168814004</v>
      </c>
      <c r="F685">
        <v>111987393</v>
      </c>
      <c r="G685">
        <v>200316578</v>
      </c>
      <c r="H685">
        <v>184783844</v>
      </c>
      <c r="I685">
        <v>201650989</v>
      </c>
      <c r="J685">
        <v>187311267</v>
      </c>
      <c r="K685">
        <v>94116793</v>
      </c>
      <c r="L685">
        <v>113363586</v>
      </c>
      <c r="M685">
        <v>72535100</v>
      </c>
      <c r="N685">
        <v>91838000</v>
      </c>
      <c r="P685">
        <v>590</v>
      </c>
      <c r="Q685" t="s">
        <v>1599</v>
      </c>
    </row>
    <row r="686" spans="1:17" x14ac:dyDescent="0.3">
      <c r="A686" t="s">
        <v>17</v>
      </c>
      <c r="B686" t="str">
        <f>"603699"</f>
        <v>603699</v>
      </c>
      <c r="C686" t="s">
        <v>1600</v>
      </c>
      <c r="D686" t="s">
        <v>164</v>
      </c>
      <c r="E686">
        <v>168026157</v>
      </c>
      <c r="F686">
        <v>-20289352</v>
      </c>
      <c r="G686">
        <v>-44725510</v>
      </c>
      <c r="H686">
        <v>-53137391</v>
      </c>
      <c r="I686">
        <v>78070975</v>
      </c>
      <c r="J686">
        <v>45826009</v>
      </c>
      <c r="K686">
        <v>14734483</v>
      </c>
      <c r="L686">
        <v>167222618</v>
      </c>
      <c r="M686">
        <v>163385535</v>
      </c>
      <c r="N686">
        <v>71158271</v>
      </c>
      <c r="P686">
        <v>271</v>
      </c>
      <c r="Q686" t="s">
        <v>1601</v>
      </c>
    </row>
    <row r="687" spans="1:17" x14ac:dyDescent="0.3">
      <c r="A687" t="s">
        <v>33</v>
      </c>
      <c r="B687" t="str">
        <f>"000078"</f>
        <v>000078</v>
      </c>
      <c r="C687" t="s">
        <v>1602</v>
      </c>
      <c r="D687" t="s">
        <v>415</v>
      </c>
      <c r="E687">
        <v>167896816</v>
      </c>
      <c r="F687">
        <v>389753412</v>
      </c>
      <c r="G687">
        <v>26977175</v>
      </c>
      <c r="H687">
        <v>69452343</v>
      </c>
      <c r="I687">
        <v>-1058151313</v>
      </c>
      <c r="J687">
        <v>-909632994</v>
      </c>
      <c r="K687">
        <v>-224750894</v>
      </c>
      <c r="L687">
        <v>-400158846</v>
      </c>
      <c r="M687">
        <v>-294193327</v>
      </c>
      <c r="N687">
        <v>-132851640</v>
      </c>
      <c r="O687">
        <v>-104580003</v>
      </c>
      <c r="P687">
        <v>291</v>
      </c>
      <c r="Q687" t="s">
        <v>1603</v>
      </c>
    </row>
    <row r="688" spans="1:17" x14ac:dyDescent="0.3">
      <c r="A688" t="s">
        <v>33</v>
      </c>
      <c r="B688" t="str">
        <f>"002275"</f>
        <v>002275</v>
      </c>
      <c r="C688" t="s">
        <v>1604</v>
      </c>
      <c r="D688" t="s">
        <v>533</v>
      </c>
      <c r="E688">
        <v>167767981</v>
      </c>
      <c r="F688">
        <v>173928072</v>
      </c>
      <c r="G688">
        <v>165577116</v>
      </c>
      <c r="H688">
        <v>181890022</v>
      </c>
      <c r="I688">
        <v>91275277</v>
      </c>
      <c r="J688">
        <v>9205502</v>
      </c>
      <c r="K688">
        <v>48658195</v>
      </c>
      <c r="L688">
        <v>39110120</v>
      </c>
      <c r="M688">
        <v>143853443</v>
      </c>
      <c r="N688">
        <v>38462538</v>
      </c>
      <c r="O688">
        <v>48328271</v>
      </c>
      <c r="P688">
        <v>11978</v>
      </c>
      <c r="Q688" t="s">
        <v>1605</v>
      </c>
    </row>
    <row r="689" spans="1:17" x14ac:dyDescent="0.3">
      <c r="A689" t="s">
        <v>17</v>
      </c>
      <c r="B689" t="str">
        <f>"600618"</f>
        <v>600618</v>
      </c>
      <c r="C689" t="s">
        <v>1606</v>
      </c>
      <c r="D689" t="s">
        <v>496</v>
      </c>
      <c r="E689">
        <v>167129311</v>
      </c>
      <c r="F689">
        <v>142089641</v>
      </c>
      <c r="G689">
        <v>-81227293</v>
      </c>
      <c r="H689">
        <v>-87192207</v>
      </c>
      <c r="I689">
        <v>-10757848</v>
      </c>
      <c r="J689">
        <v>99695748</v>
      </c>
      <c r="K689">
        <v>108726920</v>
      </c>
      <c r="L689">
        <v>-52610580</v>
      </c>
      <c r="M689">
        <v>-20096351</v>
      </c>
      <c r="N689">
        <v>120923837</v>
      </c>
      <c r="O689">
        <v>220024725</v>
      </c>
      <c r="P689">
        <v>253</v>
      </c>
      <c r="Q689" t="s">
        <v>1607</v>
      </c>
    </row>
    <row r="690" spans="1:17" x14ac:dyDescent="0.3">
      <c r="A690" t="s">
        <v>33</v>
      </c>
      <c r="B690" t="str">
        <f>"002014"</f>
        <v>002014</v>
      </c>
      <c r="C690" t="s">
        <v>1608</v>
      </c>
      <c r="D690" t="s">
        <v>1609</v>
      </c>
      <c r="E690">
        <v>167077672</v>
      </c>
      <c r="F690">
        <v>-58642445</v>
      </c>
      <c r="G690">
        <v>21364191</v>
      </c>
      <c r="H690">
        <v>35588887</v>
      </c>
      <c r="I690">
        <v>-22934083</v>
      </c>
      <c r="J690">
        <v>1700559</v>
      </c>
      <c r="K690">
        <v>47160466</v>
      </c>
      <c r="L690">
        <v>29341517</v>
      </c>
      <c r="M690">
        <v>-2229439</v>
      </c>
      <c r="N690">
        <v>-21933785</v>
      </c>
      <c r="O690">
        <v>-47566320</v>
      </c>
      <c r="P690">
        <v>467</v>
      </c>
      <c r="Q690" t="s">
        <v>1610</v>
      </c>
    </row>
    <row r="691" spans="1:17" x14ac:dyDescent="0.3">
      <c r="A691" t="s">
        <v>17</v>
      </c>
      <c r="B691" t="str">
        <f>"688169"</f>
        <v>688169</v>
      </c>
      <c r="C691" t="s">
        <v>1611</v>
      </c>
      <c r="D691" t="s">
        <v>1402</v>
      </c>
      <c r="E691">
        <v>166966739</v>
      </c>
      <c r="F691">
        <v>434616007</v>
      </c>
      <c r="G691">
        <v>237597747</v>
      </c>
      <c r="H691">
        <v>164565534</v>
      </c>
      <c r="P691">
        <v>758</v>
      </c>
      <c r="Q691" t="s">
        <v>1612</v>
      </c>
    </row>
    <row r="692" spans="1:17" x14ac:dyDescent="0.3">
      <c r="A692" t="s">
        <v>33</v>
      </c>
      <c r="B692" t="str">
        <f>"300319"</f>
        <v>300319</v>
      </c>
      <c r="C692" t="s">
        <v>1613</v>
      </c>
      <c r="D692" t="s">
        <v>869</v>
      </c>
      <c r="E692">
        <v>166369536</v>
      </c>
      <c r="F692">
        <v>116937643</v>
      </c>
      <c r="G692">
        <v>187444042</v>
      </c>
      <c r="H692">
        <v>93116087</v>
      </c>
      <c r="I692">
        <v>47520392</v>
      </c>
      <c r="J692">
        <v>14050117</v>
      </c>
      <c r="K692">
        <v>29271074</v>
      </c>
      <c r="L692">
        <v>7325035</v>
      </c>
      <c r="M692">
        <v>1424351</v>
      </c>
      <c r="N692">
        <v>2967145</v>
      </c>
      <c r="O692">
        <v>-10942589</v>
      </c>
      <c r="P692">
        <v>3161</v>
      </c>
      <c r="Q692" t="s">
        <v>1614</v>
      </c>
    </row>
    <row r="693" spans="1:17" x14ac:dyDescent="0.3">
      <c r="A693" t="s">
        <v>33</v>
      </c>
      <c r="B693" t="str">
        <f>"300679"</f>
        <v>300679</v>
      </c>
      <c r="C693" t="s">
        <v>1615</v>
      </c>
      <c r="D693" t="s">
        <v>226</v>
      </c>
      <c r="E693">
        <v>165978469</v>
      </c>
      <c r="F693">
        <v>121259932</v>
      </c>
      <c r="G693">
        <v>113774088</v>
      </c>
      <c r="H693">
        <v>-8730548</v>
      </c>
      <c r="I693">
        <v>74866710</v>
      </c>
      <c r="J693">
        <v>255648127</v>
      </c>
      <c r="P693">
        <v>334</v>
      </c>
      <c r="Q693" t="s">
        <v>1616</v>
      </c>
    </row>
    <row r="694" spans="1:17" x14ac:dyDescent="0.3">
      <c r="A694" t="s">
        <v>17</v>
      </c>
      <c r="B694" t="str">
        <f>"601966"</f>
        <v>601966</v>
      </c>
      <c r="C694" t="s">
        <v>1617</v>
      </c>
      <c r="D694" t="s">
        <v>1618</v>
      </c>
      <c r="E694">
        <v>165388236</v>
      </c>
      <c r="F694">
        <v>-88450743</v>
      </c>
      <c r="G694">
        <v>877446245</v>
      </c>
      <c r="H694">
        <v>1029503239</v>
      </c>
      <c r="I694">
        <v>199156705</v>
      </c>
      <c r="J694">
        <v>-285420471</v>
      </c>
      <c r="K694">
        <v>566749900</v>
      </c>
      <c r="L694">
        <v>350224700</v>
      </c>
      <c r="P694">
        <v>927</v>
      </c>
      <c r="Q694" t="s">
        <v>1619</v>
      </c>
    </row>
    <row r="695" spans="1:17" x14ac:dyDescent="0.3">
      <c r="A695" t="s">
        <v>33</v>
      </c>
      <c r="B695" t="str">
        <f>"002294"</f>
        <v>002294</v>
      </c>
      <c r="C695" t="s">
        <v>1620</v>
      </c>
      <c r="D695" t="s">
        <v>590</v>
      </c>
      <c r="E695">
        <v>165268065</v>
      </c>
      <c r="F695">
        <v>119503581</v>
      </c>
      <c r="G695">
        <v>615731923</v>
      </c>
      <c r="H695">
        <v>442541721</v>
      </c>
      <c r="I695">
        <v>308274154</v>
      </c>
      <c r="J695">
        <v>429537449</v>
      </c>
      <c r="K695">
        <v>307016922</v>
      </c>
      <c r="L695">
        <v>193298140</v>
      </c>
      <c r="M695">
        <v>197570853</v>
      </c>
      <c r="N695">
        <v>104642080</v>
      </c>
      <c r="O695">
        <v>114733288</v>
      </c>
      <c r="P695">
        <v>25590</v>
      </c>
      <c r="Q695" t="s">
        <v>1621</v>
      </c>
    </row>
    <row r="696" spans="1:17" x14ac:dyDescent="0.3">
      <c r="A696" t="s">
        <v>33</v>
      </c>
      <c r="B696" t="str">
        <f>"300383"</f>
        <v>300383</v>
      </c>
      <c r="C696" t="s">
        <v>1622</v>
      </c>
      <c r="D696" t="s">
        <v>508</v>
      </c>
      <c r="E696">
        <v>164802446</v>
      </c>
      <c r="F696">
        <v>333552192</v>
      </c>
      <c r="G696">
        <v>233768746</v>
      </c>
      <c r="H696">
        <v>-195513671</v>
      </c>
      <c r="I696">
        <v>-57712522</v>
      </c>
      <c r="J696">
        <v>-51619317</v>
      </c>
      <c r="K696">
        <v>63074846</v>
      </c>
      <c r="L696">
        <v>-42874316</v>
      </c>
      <c r="M696">
        <v>15993005</v>
      </c>
      <c r="N696">
        <v>6484307</v>
      </c>
      <c r="P696">
        <v>2115</v>
      </c>
      <c r="Q696" t="s">
        <v>1623</v>
      </c>
    </row>
    <row r="697" spans="1:17" x14ac:dyDescent="0.3">
      <c r="A697" t="s">
        <v>17</v>
      </c>
      <c r="B697" t="str">
        <f>"600563"</f>
        <v>600563</v>
      </c>
      <c r="C697" t="s">
        <v>1624</v>
      </c>
      <c r="D697" t="s">
        <v>869</v>
      </c>
      <c r="E697">
        <v>164763809</v>
      </c>
      <c r="F697">
        <v>26750357</v>
      </c>
      <c r="G697">
        <v>65322627</v>
      </c>
      <c r="H697">
        <v>130369944</v>
      </c>
      <c r="I697">
        <v>80982880</v>
      </c>
      <c r="J697">
        <v>57391750</v>
      </c>
      <c r="K697">
        <v>80070384</v>
      </c>
      <c r="L697">
        <v>39293983</v>
      </c>
      <c r="M697">
        <v>18915770</v>
      </c>
      <c r="N697">
        <v>61707441</v>
      </c>
      <c r="O697">
        <v>49605258</v>
      </c>
      <c r="P697">
        <v>21656</v>
      </c>
      <c r="Q697" t="s">
        <v>1625</v>
      </c>
    </row>
    <row r="698" spans="1:17" x14ac:dyDescent="0.3">
      <c r="A698" t="s">
        <v>33</v>
      </c>
      <c r="B698" t="str">
        <f>"300009"</f>
        <v>300009</v>
      </c>
      <c r="C698" t="s">
        <v>1626</v>
      </c>
      <c r="D698" t="s">
        <v>756</v>
      </c>
      <c r="E698">
        <v>164433196</v>
      </c>
      <c r="F698">
        <v>83549693</v>
      </c>
      <c r="G698">
        <v>56796396</v>
      </c>
      <c r="H698">
        <v>9352713</v>
      </c>
      <c r="I698">
        <v>39318163</v>
      </c>
      <c r="J698">
        <v>15265427</v>
      </c>
      <c r="K698">
        <v>30735451</v>
      </c>
      <c r="L698">
        <v>5423084</v>
      </c>
      <c r="M698">
        <v>-1451395</v>
      </c>
      <c r="N698">
        <v>3967228</v>
      </c>
      <c r="O698">
        <v>6870534</v>
      </c>
      <c r="P698">
        <v>840</v>
      </c>
      <c r="Q698" t="s">
        <v>1627</v>
      </c>
    </row>
    <row r="699" spans="1:17" x14ac:dyDescent="0.3">
      <c r="A699" t="s">
        <v>17</v>
      </c>
      <c r="B699" t="str">
        <f>"600621"</f>
        <v>600621</v>
      </c>
      <c r="C699" t="s">
        <v>1628</v>
      </c>
      <c r="D699" t="s">
        <v>52</v>
      </c>
      <c r="E699">
        <v>164296424</v>
      </c>
      <c r="F699">
        <v>-378175170</v>
      </c>
      <c r="G699">
        <v>2267502801</v>
      </c>
      <c r="H699">
        <v>3337062599</v>
      </c>
      <c r="I699">
        <v>-661489439</v>
      </c>
      <c r="J699">
        <v>233256542</v>
      </c>
      <c r="K699">
        <v>-137949972</v>
      </c>
      <c r="L699">
        <v>-9457890</v>
      </c>
      <c r="M699">
        <v>76952264</v>
      </c>
      <c r="N699">
        <v>-124123675</v>
      </c>
      <c r="O699">
        <v>-243879581</v>
      </c>
      <c r="P699">
        <v>594</v>
      </c>
      <c r="Q699" t="s">
        <v>1629</v>
      </c>
    </row>
    <row r="700" spans="1:17" x14ac:dyDescent="0.3">
      <c r="A700" t="s">
        <v>33</v>
      </c>
      <c r="B700" t="str">
        <f>"002738"</f>
        <v>002738</v>
      </c>
      <c r="C700" t="s">
        <v>1630</v>
      </c>
      <c r="D700" t="s">
        <v>720</v>
      </c>
      <c r="E700">
        <v>163598162</v>
      </c>
      <c r="F700">
        <v>49406937</v>
      </c>
      <c r="G700">
        <v>11360093</v>
      </c>
      <c r="H700">
        <v>-38600568</v>
      </c>
      <c r="I700">
        <v>-13620405</v>
      </c>
      <c r="J700">
        <v>-17757155</v>
      </c>
      <c r="K700">
        <v>-9472958</v>
      </c>
      <c r="L700">
        <v>-23617979</v>
      </c>
      <c r="M700">
        <v>-11261257</v>
      </c>
      <c r="P700">
        <v>192</v>
      </c>
      <c r="Q700" t="s">
        <v>1631</v>
      </c>
    </row>
    <row r="701" spans="1:17" x14ac:dyDescent="0.3">
      <c r="A701" t="s">
        <v>17</v>
      </c>
      <c r="B701" t="str">
        <f>"600603"</f>
        <v>600603</v>
      </c>
      <c r="C701" t="s">
        <v>1632</v>
      </c>
      <c r="D701" t="s">
        <v>167</v>
      </c>
      <c r="E701">
        <v>163510768</v>
      </c>
      <c r="F701">
        <v>-365022387</v>
      </c>
      <c r="G701">
        <v>-281007927</v>
      </c>
      <c r="H701">
        <v>630325852</v>
      </c>
      <c r="I701">
        <v>19256691</v>
      </c>
      <c r="J701">
        <v>-18472073</v>
      </c>
      <c r="K701">
        <v>-23081102</v>
      </c>
      <c r="L701">
        <v>-5783814</v>
      </c>
      <c r="M701">
        <v>9524268</v>
      </c>
      <c r="N701">
        <v>-786316</v>
      </c>
      <c r="O701">
        <v>-2003380</v>
      </c>
      <c r="P701">
        <v>510</v>
      </c>
      <c r="Q701" t="s">
        <v>1633</v>
      </c>
    </row>
    <row r="702" spans="1:17" x14ac:dyDescent="0.3">
      <c r="A702" t="s">
        <v>17</v>
      </c>
      <c r="B702" t="str">
        <f>"688126"</f>
        <v>688126</v>
      </c>
      <c r="C702" t="s">
        <v>1634</v>
      </c>
      <c r="D702" t="s">
        <v>1177</v>
      </c>
      <c r="E702">
        <v>163348162</v>
      </c>
      <c r="F702">
        <v>49553195</v>
      </c>
      <c r="G702">
        <v>-16237888</v>
      </c>
      <c r="H702">
        <v>-52687819</v>
      </c>
      <c r="P702">
        <v>329</v>
      </c>
      <c r="Q702" t="s">
        <v>1635</v>
      </c>
    </row>
    <row r="703" spans="1:17" x14ac:dyDescent="0.3">
      <c r="A703" t="s">
        <v>33</v>
      </c>
      <c r="B703" t="str">
        <f>"000735"</f>
        <v>000735</v>
      </c>
      <c r="C703" t="s">
        <v>1636</v>
      </c>
      <c r="D703" t="s">
        <v>1637</v>
      </c>
      <c r="E703">
        <v>162193176</v>
      </c>
      <c r="F703">
        <v>-98294666</v>
      </c>
      <c r="G703">
        <v>-89312696</v>
      </c>
      <c r="H703">
        <v>-24160772</v>
      </c>
      <c r="I703">
        <v>13969930</v>
      </c>
      <c r="J703">
        <v>83571455</v>
      </c>
      <c r="K703">
        <v>-5980325</v>
      </c>
      <c r="L703">
        <v>-87007550</v>
      </c>
      <c r="M703">
        <v>-35213891</v>
      </c>
      <c r="N703">
        <v>-25476342</v>
      </c>
      <c r="O703">
        <v>-45707547</v>
      </c>
      <c r="P703">
        <v>290</v>
      </c>
      <c r="Q703" t="s">
        <v>1638</v>
      </c>
    </row>
    <row r="704" spans="1:17" x14ac:dyDescent="0.3">
      <c r="A704" t="s">
        <v>17</v>
      </c>
      <c r="B704" t="str">
        <f>"600961"</f>
        <v>600961</v>
      </c>
      <c r="C704" t="s">
        <v>1639</v>
      </c>
      <c r="D704" t="s">
        <v>702</v>
      </c>
      <c r="E704">
        <v>161684326</v>
      </c>
      <c r="F704">
        <v>63895839</v>
      </c>
      <c r="G704">
        <v>125293467</v>
      </c>
      <c r="H704">
        <v>-60255345</v>
      </c>
      <c r="I704">
        <v>-30009401</v>
      </c>
      <c r="J704">
        <v>-38071996</v>
      </c>
      <c r="K704">
        <v>-118773884</v>
      </c>
      <c r="L704">
        <v>-132504715</v>
      </c>
      <c r="M704">
        <v>-111391512</v>
      </c>
      <c r="N704">
        <v>-139901092</v>
      </c>
      <c r="O704">
        <v>135872098</v>
      </c>
      <c r="P704">
        <v>127</v>
      </c>
      <c r="Q704" t="s">
        <v>1640</v>
      </c>
    </row>
    <row r="705" spans="1:17" x14ac:dyDescent="0.3">
      <c r="A705" t="s">
        <v>17</v>
      </c>
      <c r="B705" t="str">
        <f>"600988"</f>
        <v>600988</v>
      </c>
      <c r="C705" t="s">
        <v>1641</v>
      </c>
      <c r="D705" t="s">
        <v>777</v>
      </c>
      <c r="E705">
        <v>161667253</v>
      </c>
      <c r="F705">
        <v>23732183</v>
      </c>
      <c r="G705">
        <v>412328163</v>
      </c>
      <c r="H705">
        <v>533974495</v>
      </c>
      <c r="I705">
        <v>508894475</v>
      </c>
      <c r="J705">
        <v>-275085178</v>
      </c>
      <c r="K705">
        <v>-189106918</v>
      </c>
      <c r="L705">
        <v>-172823017</v>
      </c>
      <c r="M705">
        <v>-94987053</v>
      </c>
      <c r="N705">
        <v>23054942</v>
      </c>
      <c r="O705">
        <v>1600078</v>
      </c>
      <c r="P705">
        <v>487</v>
      </c>
      <c r="Q705" t="s">
        <v>1642</v>
      </c>
    </row>
    <row r="706" spans="1:17" x14ac:dyDescent="0.3">
      <c r="A706" t="s">
        <v>17</v>
      </c>
      <c r="B706" t="str">
        <f>"688598"</f>
        <v>688598</v>
      </c>
      <c r="C706" t="s">
        <v>1643</v>
      </c>
      <c r="D706" t="s">
        <v>800</v>
      </c>
      <c r="E706">
        <v>161637905</v>
      </c>
      <c r="F706">
        <v>-30476105</v>
      </c>
      <c r="G706">
        <v>26874758</v>
      </c>
      <c r="H706">
        <v>-14008902</v>
      </c>
      <c r="P706">
        <v>262</v>
      </c>
      <c r="Q706" t="s">
        <v>1644</v>
      </c>
    </row>
    <row r="707" spans="1:17" x14ac:dyDescent="0.3">
      <c r="A707" t="s">
        <v>33</v>
      </c>
      <c r="B707" t="str">
        <f>"002815"</f>
        <v>002815</v>
      </c>
      <c r="C707" t="s">
        <v>1645</v>
      </c>
      <c r="D707" t="s">
        <v>239</v>
      </c>
      <c r="E707">
        <v>161561413</v>
      </c>
      <c r="F707">
        <v>199134882</v>
      </c>
      <c r="G707">
        <v>213840225</v>
      </c>
      <c r="H707">
        <v>272070862</v>
      </c>
      <c r="I707">
        <v>138816728</v>
      </c>
      <c r="J707">
        <v>143977383</v>
      </c>
      <c r="K707">
        <v>120515451</v>
      </c>
      <c r="P707">
        <v>919</v>
      </c>
      <c r="Q707" t="s">
        <v>1646</v>
      </c>
    </row>
    <row r="708" spans="1:17" x14ac:dyDescent="0.3">
      <c r="A708" t="s">
        <v>33</v>
      </c>
      <c r="B708" t="str">
        <f>"002228"</f>
        <v>002228</v>
      </c>
      <c r="C708" t="s">
        <v>1647</v>
      </c>
      <c r="D708" t="s">
        <v>1015</v>
      </c>
      <c r="E708">
        <v>161064711</v>
      </c>
      <c r="F708">
        <v>122400496</v>
      </c>
      <c r="G708">
        <v>213466303</v>
      </c>
      <c r="H708">
        <v>133864047</v>
      </c>
      <c r="I708">
        <v>-193153541</v>
      </c>
      <c r="J708">
        <v>-218776897</v>
      </c>
      <c r="K708">
        <v>44032072</v>
      </c>
      <c r="L708">
        <v>22122507</v>
      </c>
      <c r="M708">
        <v>51202589</v>
      </c>
      <c r="N708">
        <v>534449</v>
      </c>
      <c r="O708">
        <v>18734239</v>
      </c>
      <c r="P708">
        <v>290</v>
      </c>
      <c r="Q708" t="s">
        <v>1648</v>
      </c>
    </row>
    <row r="709" spans="1:17" x14ac:dyDescent="0.3">
      <c r="A709" t="s">
        <v>33</v>
      </c>
      <c r="B709" t="str">
        <f>"002004"</f>
        <v>002004</v>
      </c>
      <c r="C709" t="s">
        <v>1649</v>
      </c>
      <c r="D709" t="s">
        <v>590</v>
      </c>
      <c r="E709">
        <v>160139340</v>
      </c>
      <c r="F709">
        <v>-37804091</v>
      </c>
      <c r="G709">
        <v>179982273</v>
      </c>
      <c r="H709">
        <v>126435745</v>
      </c>
      <c r="I709">
        <v>-45294249</v>
      </c>
      <c r="J709">
        <v>405659960</v>
      </c>
      <c r="K709">
        <v>158022363</v>
      </c>
      <c r="L709">
        <v>-19326850</v>
      </c>
      <c r="M709">
        <v>200136338</v>
      </c>
      <c r="N709">
        <v>-110163314</v>
      </c>
      <c r="O709">
        <v>174942145</v>
      </c>
      <c r="P709">
        <v>328</v>
      </c>
      <c r="Q709" t="s">
        <v>1650</v>
      </c>
    </row>
    <row r="710" spans="1:17" x14ac:dyDescent="0.3">
      <c r="A710" t="s">
        <v>33</v>
      </c>
      <c r="B710" t="str">
        <f>"001696"</f>
        <v>001696</v>
      </c>
      <c r="C710" t="s">
        <v>1651</v>
      </c>
      <c r="D710" t="s">
        <v>1033</v>
      </c>
      <c r="E710">
        <v>160075787</v>
      </c>
      <c r="F710">
        <v>103094446</v>
      </c>
      <c r="G710">
        <v>-63123873</v>
      </c>
      <c r="H710">
        <v>184763495</v>
      </c>
      <c r="I710">
        <v>-182493730</v>
      </c>
      <c r="J710">
        <v>62737801</v>
      </c>
      <c r="K710">
        <v>149303934</v>
      </c>
      <c r="L710">
        <v>-114032013</v>
      </c>
      <c r="M710">
        <v>125432155</v>
      </c>
      <c r="N710">
        <v>-20249986</v>
      </c>
      <c r="O710">
        <v>197439595</v>
      </c>
      <c r="P710">
        <v>274</v>
      </c>
      <c r="Q710" t="s">
        <v>1652</v>
      </c>
    </row>
    <row r="711" spans="1:17" x14ac:dyDescent="0.3">
      <c r="A711" t="s">
        <v>33</v>
      </c>
      <c r="B711" t="str">
        <f>"000559"</f>
        <v>000559</v>
      </c>
      <c r="C711" t="s">
        <v>1653</v>
      </c>
      <c r="D711" t="s">
        <v>858</v>
      </c>
      <c r="E711">
        <v>160014213</v>
      </c>
      <c r="F711">
        <v>-161255500</v>
      </c>
      <c r="G711">
        <v>141365712</v>
      </c>
      <c r="H711">
        <v>150479107</v>
      </c>
      <c r="I711">
        <v>-45706725</v>
      </c>
      <c r="J711">
        <v>306481212</v>
      </c>
      <c r="K711">
        <v>300810149</v>
      </c>
      <c r="L711">
        <v>267993531</v>
      </c>
      <c r="M711">
        <v>81377191</v>
      </c>
      <c r="N711">
        <v>23161915</v>
      </c>
      <c r="O711">
        <v>8609323</v>
      </c>
      <c r="P711">
        <v>414</v>
      </c>
      <c r="Q711" t="s">
        <v>1654</v>
      </c>
    </row>
    <row r="712" spans="1:17" x14ac:dyDescent="0.3">
      <c r="A712" t="s">
        <v>17</v>
      </c>
      <c r="B712" t="str">
        <f>"600547"</f>
        <v>600547</v>
      </c>
      <c r="C712" t="s">
        <v>1655</v>
      </c>
      <c r="D712" t="s">
        <v>777</v>
      </c>
      <c r="E712">
        <v>159870275</v>
      </c>
      <c r="F712">
        <v>507388010</v>
      </c>
      <c r="G712">
        <v>636818670</v>
      </c>
      <c r="H712">
        <v>688379381</v>
      </c>
      <c r="I712">
        <v>176513744</v>
      </c>
      <c r="J712">
        <v>426693768</v>
      </c>
      <c r="K712">
        <v>182281409</v>
      </c>
      <c r="L712">
        <v>-210893881</v>
      </c>
      <c r="M712">
        <v>410546512</v>
      </c>
      <c r="N712">
        <v>861762110</v>
      </c>
      <c r="O712">
        <v>311959230</v>
      </c>
      <c r="P712">
        <v>942</v>
      </c>
      <c r="Q712" t="s">
        <v>1656</v>
      </c>
    </row>
    <row r="713" spans="1:17" x14ac:dyDescent="0.3">
      <c r="A713" t="s">
        <v>17</v>
      </c>
      <c r="B713" t="str">
        <f>"600508"</f>
        <v>600508</v>
      </c>
      <c r="C713" t="s">
        <v>1657</v>
      </c>
      <c r="D713" t="s">
        <v>265</v>
      </c>
      <c r="E713">
        <v>159753321</v>
      </c>
      <c r="F713">
        <v>151623301</v>
      </c>
      <c r="G713">
        <v>44534502</v>
      </c>
      <c r="H713">
        <v>904734240</v>
      </c>
      <c r="I713">
        <v>691532812</v>
      </c>
      <c r="J713">
        <v>139612971</v>
      </c>
      <c r="K713">
        <v>102920094</v>
      </c>
      <c r="L713">
        <v>42485717</v>
      </c>
      <c r="M713">
        <v>218746628</v>
      </c>
      <c r="N713">
        <v>128383521</v>
      </c>
      <c r="O713">
        <v>774347407</v>
      </c>
      <c r="P713">
        <v>267</v>
      </c>
      <c r="Q713" t="s">
        <v>1658</v>
      </c>
    </row>
    <row r="714" spans="1:17" x14ac:dyDescent="0.3">
      <c r="A714" t="s">
        <v>33</v>
      </c>
      <c r="B714" t="str">
        <f>"300709"</f>
        <v>300709</v>
      </c>
      <c r="C714" t="s">
        <v>1659</v>
      </c>
      <c r="D714" t="s">
        <v>226</v>
      </c>
      <c r="E714">
        <v>159680607</v>
      </c>
      <c r="F714">
        <v>-31262952</v>
      </c>
      <c r="G714">
        <v>11232990</v>
      </c>
      <c r="H714">
        <v>76535129</v>
      </c>
      <c r="I714">
        <v>42596070</v>
      </c>
      <c r="J714">
        <v>51293648</v>
      </c>
      <c r="P714">
        <v>220</v>
      </c>
      <c r="Q714" t="s">
        <v>1660</v>
      </c>
    </row>
    <row r="715" spans="1:17" x14ac:dyDescent="0.3">
      <c r="A715" t="s">
        <v>17</v>
      </c>
      <c r="B715" t="str">
        <f>"603682"</f>
        <v>603682</v>
      </c>
      <c r="C715" t="s">
        <v>1661</v>
      </c>
      <c r="D715" t="s">
        <v>394</v>
      </c>
      <c r="E715">
        <v>159303248</v>
      </c>
      <c r="F715">
        <v>92816049</v>
      </c>
      <c r="G715">
        <v>23562143</v>
      </c>
      <c r="H715">
        <v>31172396</v>
      </c>
      <c r="P715">
        <v>156</v>
      </c>
      <c r="Q715" t="s">
        <v>1662</v>
      </c>
    </row>
    <row r="716" spans="1:17" x14ac:dyDescent="0.3">
      <c r="A716" t="s">
        <v>17</v>
      </c>
      <c r="B716" t="str">
        <f>"603713"</f>
        <v>603713</v>
      </c>
      <c r="C716" t="s">
        <v>1663</v>
      </c>
      <c r="D716" t="s">
        <v>1664</v>
      </c>
      <c r="E716">
        <v>159160100</v>
      </c>
      <c r="F716">
        <v>149630084</v>
      </c>
      <c r="G716">
        <v>679761</v>
      </c>
      <c r="H716">
        <v>14441618</v>
      </c>
      <c r="I716">
        <v>-18001239</v>
      </c>
      <c r="J716">
        <v>-9176794</v>
      </c>
      <c r="P716">
        <v>457</v>
      </c>
      <c r="Q716" t="s">
        <v>1665</v>
      </c>
    </row>
    <row r="717" spans="1:17" x14ac:dyDescent="0.3">
      <c r="A717" t="s">
        <v>17</v>
      </c>
      <c r="B717" t="str">
        <f>"600158"</f>
        <v>600158</v>
      </c>
      <c r="C717" t="s">
        <v>1666</v>
      </c>
      <c r="D717" t="s">
        <v>1667</v>
      </c>
      <c r="E717">
        <v>158853005</v>
      </c>
      <c r="F717">
        <v>-289840299</v>
      </c>
      <c r="G717">
        <v>-120950391</v>
      </c>
      <c r="H717">
        <v>-33932301</v>
      </c>
      <c r="I717">
        <v>11942523</v>
      </c>
      <c r="J717">
        <v>-9717396</v>
      </c>
      <c r="K717">
        <v>-43888815</v>
      </c>
      <c r="L717">
        <v>9334051</v>
      </c>
      <c r="M717">
        <v>-29386471</v>
      </c>
      <c r="N717">
        <v>-50998723</v>
      </c>
      <c r="O717">
        <v>-48355699</v>
      </c>
      <c r="P717">
        <v>166</v>
      </c>
      <c r="Q717" t="s">
        <v>1668</v>
      </c>
    </row>
    <row r="718" spans="1:17" x14ac:dyDescent="0.3">
      <c r="A718" t="s">
        <v>33</v>
      </c>
      <c r="B718" t="str">
        <f>"000718"</f>
        <v>000718</v>
      </c>
      <c r="C718" t="s">
        <v>1669</v>
      </c>
      <c r="D718" t="s">
        <v>167</v>
      </c>
      <c r="E718">
        <v>158851768</v>
      </c>
      <c r="F718">
        <v>-1151781</v>
      </c>
      <c r="G718">
        <v>-281686907</v>
      </c>
      <c r="H718">
        <v>-371394346</v>
      </c>
      <c r="I718">
        <v>-224125895</v>
      </c>
      <c r="J718">
        <v>403010844</v>
      </c>
      <c r="K718">
        <v>791157229</v>
      </c>
      <c r="L718">
        <v>186971708</v>
      </c>
      <c r="M718">
        <v>-645843163</v>
      </c>
      <c r="N718">
        <v>353207285</v>
      </c>
      <c r="O718">
        <v>399440623</v>
      </c>
      <c r="P718">
        <v>659</v>
      </c>
      <c r="Q718" t="s">
        <v>1670</v>
      </c>
    </row>
    <row r="719" spans="1:17" x14ac:dyDescent="0.3">
      <c r="A719" t="s">
        <v>33</v>
      </c>
      <c r="B719" t="str">
        <f>"300595"</f>
        <v>300595</v>
      </c>
      <c r="C719" t="s">
        <v>1671</v>
      </c>
      <c r="D719" t="s">
        <v>903</v>
      </c>
      <c r="E719">
        <v>158750503</v>
      </c>
      <c r="F719">
        <v>157725436</v>
      </c>
      <c r="G719">
        <v>9509036</v>
      </c>
      <c r="H719">
        <v>44070820</v>
      </c>
      <c r="I719">
        <v>37617862</v>
      </c>
      <c r="J719">
        <v>27249212</v>
      </c>
      <c r="K719">
        <v>24069631</v>
      </c>
      <c r="P719">
        <v>4330</v>
      </c>
      <c r="Q719" t="s">
        <v>1672</v>
      </c>
    </row>
    <row r="720" spans="1:17" x14ac:dyDescent="0.3">
      <c r="A720" t="s">
        <v>17</v>
      </c>
      <c r="B720" t="str">
        <f>"600151"</f>
        <v>600151</v>
      </c>
      <c r="C720" t="s">
        <v>1673</v>
      </c>
      <c r="D720" t="s">
        <v>690</v>
      </c>
      <c r="E720">
        <v>158381596</v>
      </c>
      <c r="F720">
        <v>-95904189</v>
      </c>
      <c r="G720">
        <v>-150028991</v>
      </c>
      <c r="H720">
        <v>-138386403</v>
      </c>
      <c r="I720">
        <v>-436285956</v>
      </c>
      <c r="J720">
        <v>-352521673</v>
      </c>
      <c r="K720">
        <v>37214943</v>
      </c>
      <c r="L720">
        <v>-207439534</v>
      </c>
      <c r="M720">
        <v>-334584123</v>
      </c>
      <c r="N720">
        <v>-207414652</v>
      </c>
      <c r="O720">
        <v>-246879405</v>
      </c>
      <c r="P720">
        <v>165</v>
      </c>
      <c r="Q720" t="s">
        <v>1674</v>
      </c>
    </row>
    <row r="721" spans="1:17" x14ac:dyDescent="0.3">
      <c r="A721" t="s">
        <v>33</v>
      </c>
      <c r="B721" t="str">
        <f>"002765"</f>
        <v>002765</v>
      </c>
      <c r="C721" t="s">
        <v>1675</v>
      </c>
      <c r="D721" t="s">
        <v>102</v>
      </c>
      <c r="E721">
        <v>158051138</v>
      </c>
      <c r="F721">
        <v>26664299</v>
      </c>
      <c r="G721">
        <v>76448930</v>
      </c>
      <c r="H721">
        <v>5355820</v>
      </c>
      <c r="I721">
        <v>65853758</v>
      </c>
      <c r="J721">
        <v>7409419</v>
      </c>
      <c r="K721">
        <v>-104384682</v>
      </c>
      <c r="L721">
        <v>51899700</v>
      </c>
      <c r="M721">
        <v>-13713800</v>
      </c>
      <c r="P721">
        <v>118</v>
      </c>
      <c r="Q721" t="s">
        <v>1676</v>
      </c>
    </row>
    <row r="722" spans="1:17" x14ac:dyDescent="0.3">
      <c r="A722" t="s">
        <v>17</v>
      </c>
      <c r="B722" t="str">
        <f>"603777"</f>
        <v>603777</v>
      </c>
      <c r="C722" t="s">
        <v>1677</v>
      </c>
      <c r="D722" t="s">
        <v>1157</v>
      </c>
      <c r="E722">
        <v>157939099</v>
      </c>
      <c r="F722">
        <v>167876395</v>
      </c>
      <c r="G722">
        <v>91419564</v>
      </c>
      <c r="H722">
        <v>56317202</v>
      </c>
      <c r="I722">
        <v>84422950</v>
      </c>
      <c r="J722">
        <v>92333483</v>
      </c>
      <c r="K722">
        <v>80571614</v>
      </c>
      <c r="P722">
        <v>259</v>
      </c>
      <c r="Q722" t="s">
        <v>1678</v>
      </c>
    </row>
    <row r="723" spans="1:17" x14ac:dyDescent="0.3">
      <c r="A723" t="s">
        <v>17</v>
      </c>
      <c r="B723" t="str">
        <f>"603511"</f>
        <v>603511</v>
      </c>
      <c r="C723" t="s">
        <v>1679</v>
      </c>
      <c r="D723" t="s">
        <v>1680</v>
      </c>
      <c r="E723">
        <v>157714841</v>
      </c>
      <c r="F723">
        <v>172362858</v>
      </c>
      <c r="G723">
        <v>225664820</v>
      </c>
      <c r="P723">
        <v>47</v>
      </c>
      <c r="Q723" t="s">
        <v>1681</v>
      </c>
    </row>
    <row r="724" spans="1:17" x14ac:dyDescent="0.3">
      <c r="A724" t="s">
        <v>17</v>
      </c>
      <c r="B724" t="str">
        <f>"688295"</f>
        <v>688295</v>
      </c>
      <c r="C724" t="s">
        <v>1682</v>
      </c>
      <c r="E724">
        <v>157527335</v>
      </c>
      <c r="P724">
        <v>15</v>
      </c>
      <c r="Q724" t="s">
        <v>1683</v>
      </c>
    </row>
    <row r="725" spans="1:17" x14ac:dyDescent="0.3">
      <c r="A725" t="s">
        <v>17</v>
      </c>
      <c r="B725" t="str">
        <f>"603693"</f>
        <v>603693</v>
      </c>
      <c r="C725" t="s">
        <v>1684</v>
      </c>
      <c r="D725" t="s">
        <v>367</v>
      </c>
      <c r="E725">
        <v>157409104</v>
      </c>
      <c r="F725">
        <v>190644001</v>
      </c>
      <c r="G725">
        <v>182387998</v>
      </c>
      <c r="H725">
        <v>48733640</v>
      </c>
      <c r="I725">
        <v>-6372615</v>
      </c>
      <c r="J725">
        <v>736373402</v>
      </c>
      <c r="P725">
        <v>160</v>
      </c>
      <c r="Q725" t="s">
        <v>1685</v>
      </c>
    </row>
    <row r="726" spans="1:17" x14ac:dyDescent="0.3">
      <c r="A726" t="s">
        <v>17</v>
      </c>
      <c r="B726" t="str">
        <f>"603317"</f>
        <v>603317</v>
      </c>
      <c r="C726" t="s">
        <v>1686</v>
      </c>
      <c r="D726" t="s">
        <v>669</v>
      </c>
      <c r="E726">
        <v>156537364</v>
      </c>
      <c r="F726">
        <v>23921219</v>
      </c>
      <c r="G726">
        <v>148356301</v>
      </c>
      <c r="H726">
        <v>58936416</v>
      </c>
      <c r="I726">
        <v>22286864</v>
      </c>
      <c r="P726">
        <v>1436</v>
      </c>
      <c r="Q726" t="s">
        <v>1687</v>
      </c>
    </row>
    <row r="727" spans="1:17" x14ac:dyDescent="0.3">
      <c r="A727" t="s">
        <v>17</v>
      </c>
      <c r="B727" t="str">
        <f>"688536"</f>
        <v>688536</v>
      </c>
      <c r="C727" t="s">
        <v>1688</v>
      </c>
      <c r="D727" t="s">
        <v>1192</v>
      </c>
      <c r="E727">
        <v>156511572</v>
      </c>
      <c r="F727">
        <v>-87151432</v>
      </c>
      <c r="G727">
        <v>42722684</v>
      </c>
      <c r="P727">
        <v>199</v>
      </c>
      <c r="Q727" t="s">
        <v>1689</v>
      </c>
    </row>
    <row r="728" spans="1:17" x14ac:dyDescent="0.3">
      <c r="A728" t="s">
        <v>33</v>
      </c>
      <c r="B728" t="str">
        <f>"300384"</f>
        <v>300384</v>
      </c>
      <c r="C728" t="s">
        <v>1690</v>
      </c>
      <c r="D728" t="s">
        <v>1461</v>
      </c>
      <c r="E728">
        <v>156266041</v>
      </c>
      <c r="F728">
        <v>143227199</v>
      </c>
      <c r="G728">
        <v>21567824</v>
      </c>
      <c r="H728">
        <v>52632677</v>
      </c>
      <c r="I728">
        <v>29530349</v>
      </c>
      <c r="J728">
        <v>-29945729</v>
      </c>
      <c r="K728">
        <v>45863503</v>
      </c>
      <c r="L728">
        <v>-17763099</v>
      </c>
      <c r="M728">
        <v>-21233126</v>
      </c>
      <c r="N728">
        <v>10309862</v>
      </c>
      <c r="P728">
        <v>164</v>
      </c>
      <c r="Q728" t="s">
        <v>1691</v>
      </c>
    </row>
    <row r="729" spans="1:17" x14ac:dyDescent="0.3">
      <c r="A729" t="s">
        <v>17</v>
      </c>
      <c r="B729" t="str">
        <f>"603589"</f>
        <v>603589</v>
      </c>
      <c r="C729" t="s">
        <v>1692</v>
      </c>
      <c r="D729" t="s">
        <v>229</v>
      </c>
      <c r="E729">
        <v>156048775</v>
      </c>
      <c r="F729">
        <v>-273044054</v>
      </c>
      <c r="G729">
        <v>-295017962</v>
      </c>
      <c r="H729">
        <v>64850841</v>
      </c>
      <c r="I729">
        <v>-160106165</v>
      </c>
      <c r="J729">
        <v>197991705</v>
      </c>
      <c r="K729">
        <v>-94407849</v>
      </c>
      <c r="L729">
        <v>-151919500</v>
      </c>
      <c r="M729">
        <v>-110347400</v>
      </c>
      <c r="P729">
        <v>6961</v>
      </c>
      <c r="Q729" t="s">
        <v>1693</v>
      </c>
    </row>
    <row r="730" spans="1:17" x14ac:dyDescent="0.3">
      <c r="A730" t="s">
        <v>33</v>
      </c>
      <c r="B730" t="str">
        <f>"000861"</f>
        <v>000861</v>
      </c>
      <c r="C730" t="s">
        <v>1694</v>
      </c>
      <c r="D730" t="s">
        <v>394</v>
      </c>
      <c r="E730">
        <v>155933747</v>
      </c>
      <c r="F730">
        <v>90278823</v>
      </c>
      <c r="G730">
        <v>93645015</v>
      </c>
      <c r="H730">
        <v>260727927</v>
      </c>
      <c r="I730">
        <v>108922899</v>
      </c>
      <c r="J730">
        <v>-16752306</v>
      </c>
      <c r="K730">
        <v>-59305736</v>
      </c>
      <c r="L730">
        <v>109913108</v>
      </c>
      <c r="M730">
        <v>115446149</v>
      </c>
      <c r="N730">
        <v>57445621</v>
      </c>
      <c r="O730">
        <v>-8740809</v>
      </c>
      <c r="P730">
        <v>184</v>
      </c>
      <c r="Q730" t="s">
        <v>1695</v>
      </c>
    </row>
    <row r="731" spans="1:17" x14ac:dyDescent="0.3">
      <c r="A731" t="s">
        <v>17</v>
      </c>
      <c r="B731" t="str">
        <f>"605100"</f>
        <v>605100</v>
      </c>
      <c r="C731" t="s">
        <v>1696</v>
      </c>
      <c r="D731" t="s">
        <v>164</v>
      </c>
      <c r="E731">
        <v>155407707</v>
      </c>
      <c r="F731">
        <v>85083083</v>
      </c>
      <c r="G731">
        <v>98111081</v>
      </c>
      <c r="H731">
        <v>10203409</v>
      </c>
      <c r="P731">
        <v>60</v>
      </c>
      <c r="Q731" t="s">
        <v>1697</v>
      </c>
    </row>
    <row r="732" spans="1:17" x14ac:dyDescent="0.3">
      <c r="A732" t="s">
        <v>17</v>
      </c>
      <c r="B732" t="str">
        <f>"600664"</f>
        <v>600664</v>
      </c>
      <c r="C732" t="s">
        <v>1698</v>
      </c>
      <c r="D732" t="s">
        <v>590</v>
      </c>
      <c r="E732">
        <v>154882854</v>
      </c>
      <c r="F732">
        <v>-173741429</v>
      </c>
      <c r="G732">
        <v>-71627</v>
      </c>
      <c r="H732">
        <v>-178093683</v>
      </c>
      <c r="I732">
        <v>142521739</v>
      </c>
      <c r="J732">
        <v>89497959</v>
      </c>
      <c r="K732">
        <v>1034909621</v>
      </c>
      <c r="L732">
        <v>-233730990</v>
      </c>
      <c r="M732">
        <v>-42188168</v>
      </c>
      <c r="N732">
        <v>108292542</v>
      </c>
      <c r="O732">
        <v>583618164</v>
      </c>
      <c r="P732">
        <v>499</v>
      </c>
      <c r="Q732" t="s">
        <v>1699</v>
      </c>
    </row>
    <row r="733" spans="1:17" x14ac:dyDescent="0.3">
      <c r="A733" t="s">
        <v>17</v>
      </c>
      <c r="B733" t="str">
        <f>"601880"</f>
        <v>601880</v>
      </c>
      <c r="C733" t="s">
        <v>1700</v>
      </c>
      <c r="D733" t="s">
        <v>289</v>
      </c>
      <c r="E733">
        <v>154718144</v>
      </c>
      <c r="F733">
        <v>119715927</v>
      </c>
      <c r="G733">
        <v>138652761</v>
      </c>
      <c r="H733">
        <v>33788963</v>
      </c>
      <c r="I733">
        <v>108882136</v>
      </c>
      <c r="J733">
        <v>-46324349</v>
      </c>
      <c r="K733">
        <v>126782705</v>
      </c>
      <c r="L733">
        <v>64597599</v>
      </c>
      <c r="M733">
        <v>32433229</v>
      </c>
      <c r="N733">
        <v>-75364609</v>
      </c>
      <c r="O733">
        <v>8277100</v>
      </c>
      <c r="P733">
        <v>189</v>
      </c>
      <c r="Q733" t="s">
        <v>1701</v>
      </c>
    </row>
    <row r="734" spans="1:17" x14ac:dyDescent="0.3">
      <c r="A734" t="s">
        <v>33</v>
      </c>
      <c r="B734" t="str">
        <f>"301048"</f>
        <v>301048</v>
      </c>
      <c r="C734" t="s">
        <v>1702</v>
      </c>
      <c r="D734" t="s">
        <v>1703</v>
      </c>
      <c r="E734">
        <v>154452903</v>
      </c>
      <c r="F734">
        <v>-82660971</v>
      </c>
      <c r="G734">
        <v>91302517</v>
      </c>
      <c r="P734">
        <v>16</v>
      </c>
      <c r="Q734" t="s">
        <v>1704</v>
      </c>
    </row>
    <row r="735" spans="1:17" x14ac:dyDescent="0.3">
      <c r="A735" t="s">
        <v>33</v>
      </c>
      <c r="B735" t="str">
        <f>"002925"</f>
        <v>002925</v>
      </c>
      <c r="C735" t="s">
        <v>1705</v>
      </c>
      <c r="D735" t="s">
        <v>226</v>
      </c>
      <c r="E735">
        <v>154287623</v>
      </c>
      <c r="F735">
        <v>221874106</v>
      </c>
      <c r="G735">
        <v>219812596</v>
      </c>
      <c r="H735">
        <v>112966310</v>
      </c>
      <c r="I735">
        <v>266650370</v>
      </c>
      <c r="J735">
        <v>351849153</v>
      </c>
      <c r="P735">
        <v>1061</v>
      </c>
      <c r="Q735" t="s">
        <v>1706</v>
      </c>
    </row>
    <row r="736" spans="1:17" x14ac:dyDescent="0.3">
      <c r="A736" t="s">
        <v>17</v>
      </c>
      <c r="B736" t="str">
        <f>"603799"</f>
        <v>603799</v>
      </c>
      <c r="C736" t="s">
        <v>1707</v>
      </c>
      <c r="D736" t="s">
        <v>391</v>
      </c>
      <c r="E736">
        <v>153770576</v>
      </c>
      <c r="F736">
        <v>939538619</v>
      </c>
      <c r="G736">
        <v>65380233</v>
      </c>
      <c r="H736">
        <v>55946234</v>
      </c>
      <c r="I736">
        <v>-161036339</v>
      </c>
      <c r="J736">
        <v>-163767605</v>
      </c>
      <c r="K736">
        <v>-99053891</v>
      </c>
      <c r="L736">
        <v>-314818552</v>
      </c>
      <c r="M736">
        <v>-389686429</v>
      </c>
      <c r="P736">
        <v>1518</v>
      </c>
      <c r="Q736" t="s">
        <v>1708</v>
      </c>
    </row>
    <row r="737" spans="1:17" x14ac:dyDescent="0.3">
      <c r="A737" t="s">
        <v>17</v>
      </c>
      <c r="B737" t="str">
        <f>"603992"</f>
        <v>603992</v>
      </c>
      <c r="C737" t="s">
        <v>1709</v>
      </c>
      <c r="D737" t="s">
        <v>1710</v>
      </c>
      <c r="E737">
        <v>153576802</v>
      </c>
      <c r="F737">
        <v>6192443</v>
      </c>
      <c r="G737">
        <v>42619823</v>
      </c>
      <c r="H737">
        <v>44039069</v>
      </c>
      <c r="P737">
        <v>120</v>
      </c>
      <c r="Q737" t="s">
        <v>1711</v>
      </c>
    </row>
    <row r="738" spans="1:17" x14ac:dyDescent="0.3">
      <c r="A738" t="s">
        <v>17</v>
      </c>
      <c r="B738" t="str">
        <f>"688111"</f>
        <v>688111</v>
      </c>
      <c r="C738" t="s">
        <v>1712</v>
      </c>
      <c r="D738" t="s">
        <v>1713</v>
      </c>
      <c r="E738">
        <v>153488736</v>
      </c>
      <c r="F738">
        <v>228268790</v>
      </c>
      <c r="G738">
        <v>131997280</v>
      </c>
      <c r="H738">
        <v>-2928776</v>
      </c>
      <c r="P738">
        <v>964</v>
      </c>
      <c r="Q738" t="s">
        <v>1714</v>
      </c>
    </row>
    <row r="739" spans="1:17" x14ac:dyDescent="0.3">
      <c r="A739" t="s">
        <v>17</v>
      </c>
      <c r="B739" t="str">
        <f>"600935"</f>
        <v>600935</v>
      </c>
      <c r="C739" t="s">
        <v>1715</v>
      </c>
      <c r="D739" t="s">
        <v>496</v>
      </c>
      <c r="E739">
        <v>153129729</v>
      </c>
      <c r="P739">
        <v>16</v>
      </c>
      <c r="Q739" t="s">
        <v>1716</v>
      </c>
    </row>
    <row r="740" spans="1:17" x14ac:dyDescent="0.3">
      <c r="A740" t="s">
        <v>17</v>
      </c>
      <c r="B740" t="str">
        <f>"603305"</f>
        <v>603305</v>
      </c>
      <c r="C740" t="s">
        <v>1717</v>
      </c>
      <c r="D740" t="s">
        <v>858</v>
      </c>
      <c r="E740">
        <v>152368533</v>
      </c>
      <c r="F740">
        <v>-19575377</v>
      </c>
      <c r="G740">
        <v>-2910887</v>
      </c>
      <c r="H740">
        <v>91373698</v>
      </c>
      <c r="I740">
        <v>42767215</v>
      </c>
      <c r="J740">
        <v>30371500</v>
      </c>
      <c r="K740">
        <v>71040800</v>
      </c>
      <c r="P740">
        <v>506</v>
      </c>
      <c r="Q740" t="s">
        <v>1718</v>
      </c>
    </row>
    <row r="741" spans="1:17" x14ac:dyDescent="0.3">
      <c r="A741" t="s">
        <v>17</v>
      </c>
      <c r="B741" t="str">
        <f>"600699"</f>
        <v>600699</v>
      </c>
      <c r="C741" t="s">
        <v>1719</v>
      </c>
      <c r="D741" t="s">
        <v>603</v>
      </c>
      <c r="E741">
        <v>152325990</v>
      </c>
      <c r="F741">
        <v>346922417</v>
      </c>
      <c r="G741">
        <v>553506837</v>
      </c>
      <c r="H741">
        <v>190883581</v>
      </c>
      <c r="I741">
        <v>-102650974</v>
      </c>
      <c r="J741">
        <v>342035703</v>
      </c>
      <c r="K741">
        <v>99046756</v>
      </c>
      <c r="L741">
        <v>-100065134</v>
      </c>
      <c r="M741">
        <v>26865607</v>
      </c>
      <c r="N741">
        <v>22939503</v>
      </c>
      <c r="O741">
        <v>-9056980</v>
      </c>
      <c r="P741">
        <v>958</v>
      </c>
      <c r="Q741" t="s">
        <v>1720</v>
      </c>
    </row>
    <row r="742" spans="1:17" x14ac:dyDescent="0.3">
      <c r="A742" t="s">
        <v>17</v>
      </c>
      <c r="B742" t="str">
        <f>"688121"</f>
        <v>688121</v>
      </c>
      <c r="C742" t="s">
        <v>1721</v>
      </c>
      <c r="D742" t="s">
        <v>1132</v>
      </c>
      <c r="E742">
        <v>151484763</v>
      </c>
      <c r="P742">
        <v>24</v>
      </c>
      <c r="Q742" t="s">
        <v>1722</v>
      </c>
    </row>
    <row r="743" spans="1:17" x14ac:dyDescent="0.3">
      <c r="A743" t="s">
        <v>33</v>
      </c>
      <c r="B743" t="str">
        <f>"300602"</f>
        <v>300602</v>
      </c>
      <c r="C743" t="s">
        <v>1723</v>
      </c>
      <c r="D743" t="s">
        <v>226</v>
      </c>
      <c r="E743">
        <v>151071348</v>
      </c>
      <c r="F743">
        <v>-42259297</v>
      </c>
      <c r="G743">
        <v>278960613</v>
      </c>
      <c r="H743">
        <v>104377123</v>
      </c>
      <c r="I743">
        <v>45565110</v>
      </c>
      <c r="J743">
        <v>33921212</v>
      </c>
      <c r="K743">
        <v>35645526</v>
      </c>
      <c r="P743">
        <v>597</v>
      </c>
      <c r="Q743" t="s">
        <v>1724</v>
      </c>
    </row>
    <row r="744" spans="1:17" x14ac:dyDescent="0.3">
      <c r="A744" t="s">
        <v>17</v>
      </c>
      <c r="B744" t="str">
        <f>"603839"</f>
        <v>603839</v>
      </c>
      <c r="C744" t="s">
        <v>1725</v>
      </c>
      <c r="D744" t="s">
        <v>581</v>
      </c>
      <c r="E744">
        <v>149956767</v>
      </c>
      <c r="F744">
        <v>32250402</v>
      </c>
      <c r="G744">
        <v>-345614747</v>
      </c>
      <c r="H744">
        <v>63327714</v>
      </c>
      <c r="I744">
        <v>-4805938</v>
      </c>
      <c r="J744">
        <v>57110782</v>
      </c>
      <c r="K744">
        <v>33663813</v>
      </c>
      <c r="P744">
        <v>136</v>
      </c>
      <c r="Q744" t="s">
        <v>1726</v>
      </c>
    </row>
    <row r="745" spans="1:17" x14ac:dyDescent="0.3">
      <c r="A745" t="s">
        <v>33</v>
      </c>
      <c r="B745" t="str">
        <f>"000791"</f>
        <v>000791</v>
      </c>
      <c r="C745" t="s">
        <v>1727</v>
      </c>
      <c r="D745" t="s">
        <v>205</v>
      </c>
      <c r="E745">
        <v>149658266</v>
      </c>
      <c r="F745">
        <v>298774009</v>
      </c>
      <c r="G745">
        <v>223045222</v>
      </c>
      <c r="H745">
        <v>335150059</v>
      </c>
      <c r="I745">
        <v>426131771</v>
      </c>
      <c r="J745">
        <v>211915535</v>
      </c>
      <c r="K745">
        <v>150164914</v>
      </c>
      <c r="L745">
        <v>121327379</v>
      </c>
      <c r="M745">
        <v>112532124</v>
      </c>
      <c r="N745">
        <v>246113998</v>
      </c>
      <c r="O745">
        <v>-12506719</v>
      </c>
      <c r="P745">
        <v>219</v>
      </c>
      <c r="Q745" t="s">
        <v>1728</v>
      </c>
    </row>
    <row r="746" spans="1:17" x14ac:dyDescent="0.3">
      <c r="A746" t="s">
        <v>33</v>
      </c>
      <c r="B746" t="str">
        <f>"002099"</f>
        <v>002099</v>
      </c>
      <c r="C746" t="s">
        <v>1729</v>
      </c>
      <c r="D746" t="s">
        <v>941</v>
      </c>
      <c r="E746">
        <v>149627750</v>
      </c>
      <c r="F746">
        <v>123247741</v>
      </c>
      <c r="G746">
        <v>188208215</v>
      </c>
      <c r="H746">
        <v>121163064</v>
      </c>
      <c r="I746">
        <v>161505950</v>
      </c>
      <c r="J746">
        <v>116376242</v>
      </c>
      <c r="K746">
        <v>173936220</v>
      </c>
      <c r="L746">
        <v>95352259</v>
      </c>
      <c r="M746">
        <v>4892058</v>
      </c>
      <c r="N746">
        <v>-19945918</v>
      </c>
      <c r="O746">
        <v>44307789</v>
      </c>
      <c r="P746">
        <v>298</v>
      </c>
      <c r="Q746" t="s">
        <v>1730</v>
      </c>
    </row>
    <row r="747" spans="1:17" x14ac:dyDescent="0.3">
      <c r="A747" t="s">
        <v>17</v>
      </c>
      <c r="B747" t="str">
        <f>"600966"</f>
        <v>600966</v>
      </c>
      <c r="C747" t="s">
        <v>1731</v>
      </c>
      <c r="D747" t="s">
        <v>514</v>
      </c>
      <c r="E747">
        <v>149194862</v>
      </c>
      <c r="F747">
        <v>1878606346</v>
      </c>
      <c r="G747">
        <v>488067813</v>
      </c>
      <c r="H747">
        <v>344848511</v>
      </c>
      <c r="I747">
        <v>314703683</v>
      </c>
      <c r="J747">
        <v>331421283</v>
      </c>
      <c r="K747">
        <v>131547085</v>
      </c>
      <c r="L747">
        <v>26583536</v>
      </c>
      <c r="M747">
        <v>22409587</v>
      </c>
      <c r="N747">
        <v>-82381002</v>
      </c>
      <c r="O747">
        <v>-85416207</v>
      </c>
      <c r="P747">
        <v>396</v>
      </c>
      <c r="Q747" t="s">
        <v>1732</v>
      </c>
    </row>
    <row r="748" spans="1:17" x14ac:dyDescent="0.3">
      <c r="A748" t="s">
        <v>33</v>
      </c>
      <c r="B748" t="str">
        <f>"002585"</f>
        <v>002585</v>
      </c>
      <c r="C748" t="s">
        <v>1733</v>
      </c>
      <c r="D748" t="s">
        <v>1734</v>
      </c>
      <c r="E748">
        <v>148197247</v>
      </c>
      <c r="F748">
        <v>111476949</v>
      </c>
      <c r="G748">
        <v>120655133</v>
      </c>
      <c r="H748">
        <v>6950043</v>
      </c>
      <c r="I748">
        <v>-41674373</v>
      </c>
      <c r="J748">
        <v>-181155473</v>
      </c>
      <c r="K748">
        <v>-81496141</v>
      </c>
      <c r="L748">
        <v>-42266206</v>
      </c>
      <c r="M748">
        <v>16229098</v>
      </c>
      <c r="N748">
        <v>54652417</v>
      </c>
      <c r="O748">
        <v>-41187961</v>
      </c>
      <c r="P748">
        <v>382</v>
      </c>
      <c r="Q748" t="s">
        <v>1735</v>
      </c>
    </row>
    <row r="749" spans="1:17" x14ac:dyDescent="0.3">
      <c r="A749" t="s">
        <v>33</v>
      </c>
      <c r="B749" t="str">
        <f>"002295"</f>
        <v>002295</v>
      </c>
      <c r="C749" t="s">
        <v>1736</v>
      </c>
      <c r="D749" t="s">
        <v>153</v>
      </c>
      <c r="E749">
        <v>148102280</v>
      </c>
      <c r="F749">
        <v>-44839189</v>
      </c>
      <c r="G749">
        <v>109305671</v>
      </c>
      <c r="H749">
        <v>121240583</v>
      </c>
      <c r="I749">
        <v>-158531008</v>
      </c>
      <c r="J749">
        <v>-300340646</v>
      </c>
      <c r="K749">
        <v>-28376303</v>
      </c>
      <c r="L749">
        <v>-12912851</v>
      </c>
      <c r="M749">
        <v>-17668624</v>
      </c>
      <c r="N749">
        <v>-117173432</v>
      </c>
      <c r="O749">
        <v>288920091</v>
      </c>
      <c r="P749">
        <v>56</v>
      </c>
      <c r="Q749" t="s">
        <v>1737</v>
      </c>
    </row>
    <row r="750" spans="1:17" x14ac:dyDescent="0.3">
      <c r="A750" t="s">
        <v>17</v>
      </c>
      <c r="B750" t="str">
        <f>"600276"</f>
        <v>600276</v>
      </c>
      <c r="C750" t="s">
        <v>1738</v>
      </c>
      <c r="D750" t="s">
        <v>590</v>
      </c>
      <c r="E750">
        <v>148056762</v>
      </c>
      <c r="F750">
        <v>199284858</v>
      </c>
      <c r="G750">
        <v>1543646194</v>
      </c>
      <c r="H750">
        <v>427238760</v>
      </c>
      <c r="I750">
        <v>495597950</v>
      </c>
      <c r="J750">
        <v>609660638</v>
      </c>
      <c r="K750">
        <v>572253165</v>
      </c>
      <c r="L750">
        <v>405400045</v>
      </c>
      <c r="M750">
        <v>284690568</v>
      </c>
      <c r="N750">
        <v>329925371</v>
      </c>
      <c r="O750">
        <v>104802471</v>
      </c>
      <c r="P750">
        <v>70860</v>
      </c>
      <c r="Q750" t="s">
        <v>1739</v>
      </c>
    </row>
    <row r="751" spans="1:17" x14ac:dyDescent="0.3">
      <c r="A751" t="s">
        <v>17</v>
      </c>
      <c r="B751" t="str">
        <f>"600478"</f>
        <v>600478</v>
      </c>
      <c r="C751" t="s">
        <v>1740</v>
      </c>
      <c r="D751" t="s">
        <v>156</v>
      </c>
      <c r="E751">
        <v>147863359</v>
      </c>
      <c r="F751">
        <v>-11774938</v>
      </c>
      <c r="G751">
        <v>157103590</v>
      </c>
      <c r="H751">
        <v>14503046</v>
      </c>
      <c r="I751">
        <v>-23045067</v>
      </c>
      <c r="J751">
        <v>-83048933</v>
      </c>
      <c r="K751">
        <v>-7657470</v>
      </c>
      <c r="L751">
        <v>-35914066</v>
      </c>
      <c r="M751">
        <v>-10538209</v>
      </c>
      <c r="N751">
        <v>56954748</v>
      </c>
      <c r="O751">
        <v>-31489805</v>
      </c>
      <c r="P751">
        <v>160</v>
      </c>
      <c r="Q751" t="s">
        <v>1741</v>
      </c>
    </row>
    <row r="752" spans="1:17" x14ac:dyDescent="0.3">
      <c r="A752" t="s">
        <v>17</v>
      </c>
      <c r="B752" t="str">
        <f>"603758"</f>
        <v>603758</v>
      </c>
      <c r="C752" t="s">
        <v>1742</v>
      </c>
      <c r="D752" t="s">
        <v>858</v>
      </c>
      <c r="E752">
        <v>146326797</v>
      </c>
      <c r="F752">
        <v>92465371</v>
      </c>
      <c r="G752">
        <v>-3035947</v>
      </c>
      <c r="H752">
        <v>-56926620</v>
      </c>
      <c r="I752">
        <v>104594913</v>
      </c>
      <c r="J752">
        <v>97984725</v>
      </c>
      <c r="K752">
        <v>60648394</v>
      </c>
      <c r="P752">
        <v>133</v>
      </c>
      <c r="Q752" t="s">
        <v>1743</v>
      </c>
    </row>
    <row r="753" spans="1:17" x14ac:dyDescent="0.3">
      <c r="A753" t="s">
        <v>17</v>
      </c>
      <c r="B753" t="str">
        <f>"603969"</f>
        <v>603969</v>
      </c>
      <c r="C753" t="s">
        <v>1744</v>
      </c>
      <c r="D753" t="s">
        <v>164</v>
      </c>
      <c r="E753">
        <v>145451867</v>
      </c>
      <c r="F753">
        <v>-492692</v>
      </c>
      <c r="G753">
        <v>15498404</v>
      </c>
      <c r="H753">
        <v>14297178</v>
      </c>
      <c r="I753">
        <v>-5641003</v>
      </c>
      <c r="J753">
        <v>-34988754</v>
      </c>
      <c r="K753">
        <v>10281656</v>
      </c>
      <c r="L753">
        <v>13247471</v>
      </c>
      <c r="M753">
        <v>1815889</v>
      </c>
      <c r="P753">
        <v>94</v>
      </c>
      <c r="Q753" t="s">
        <v>1745</v>
      </c>
    </row>
    <row r="754" spans="1:17" x14ac:dyDescent="0.3">
      <c r="A754" t="s">
        <v>17</v>
      </c>
      <c r="B754" t="str">
        <f>"688016"</f>
        <v>688016</v>
      </c>
      <c r="C754" t="s">
        <v>1746</v>
      </c>
      <c r="D754" t="s">
        <v>903</v>
      </c>
      <c r="E754">
        <v>145322873</v>
      </c>
      <c r="F754">
        <v>108468517</v>
      </c>
      <c r="G754">
        <v>56536248</v>
      </c>
      <c r="H754">
        <v>46235500</v>
      </c>
      <c r="I754">
        <v>34704600</v>
      </c>
      <c r="P754">
        <v>551</v>
      </c>
      <c r="Q754" t="s">
        <v>1747</v>
      </c>
    </row>
    <row r="755" spans="1:17" x14ac:dyDescent="0.3">
      <c r="A755" t="s">
        <v>17</v>
      </c>
      <c r="B755" t="str">
        <f>"688065"</f>
        <v>688065</v>
      </c>
      <c r="C755" t="s">
        <v>1748</v>
      </c>
      <c r="D755" t="s">
        <v>418</v>
      </c>
      <c r="E755">
        <v>144459838</v>
      </c>
      <c r="F755">
        <v>113389270</v>
      </c>
      <c r="G755">
        <v>-30164677</v>
      </c>
      <c r="H755">
        <v>39620848</v>
      </c>
      <c r="P755">
        <v>107</v>
      </c>
      <c r="Q755" t="s">
        <v>1749</v>
      </c>
    </row>
    <row r="756" spans="1:17" x14ac:dyDescent="0.3">
      <c r="A756" t="s">
        <v>33</v>
      </c>
      <c r="B756" t="str">
        <f>"000635"</f>
        <v>000635</v>
      </c>
      <c r="C756" t="s">
        <v>1750</v>
      </c>
      <c r="D756" t="s">
        <v>496</v>
      </c>
      <c r="E756">
        <v>144374806</v>
      </c>
      <c r="F756">
        <v>157862429</v>
      </c>
      <c r="G756">
        <v>-22276965</v>
      </c>
      <c r="H756">
        <v>-72306115</v>
      </c>
      <c r="I756">
        <v>74161031</v>
      </c>
      <c r="J756">
        <v>111842737</v>
      </c>
      <c r="K756">
        <v>-5298339</v>
      </c>
      <c r="L756">
        <v>-45310052</v>
      </c>
      <c r="M756">
        <v>31752478</v>
      </c>
      <c r="N756">
        <v>31988099</v>
      </c>
      <c r="O756">
        <v>33396164</v>
      </c>
      <c r="P756">
        <v>135</v>
      </c>
      <c r="Q756" t="s">
        <v>1751</v>
      </c>
    </row>
    <row r="757" spans="1:17" x14ac:dyDescent="0.3">
      <c r="A757" t="s">
        <v>33</v>
      </c>
      <c r="B757" t="str">
        <f>"002695"</f>
        <v>002695</v>
      </c>
      <c r="C757" t="s">
        <v>1752</v>
      </c>
      <c r="D757" t="s">
        <v>1036</v>
      </c>
      <c r="E757">
        <v>144188870</v>
      </c>
      <c r="F757">
        <v>62631394</v>
      </c>
      <c r="G757">
        <v>123517011</v>
      </c>
      <c r="H757">
        <v>156611162</v>
      </c>
      <c r="I757">
        <v>287245666</v>
      </c>
      <c r="J757">
        <v>102242384</v>
      </c>
      <c r="K757">
        <v>97540178</v>
      </c>
      <c r="L757">
        <v>97304226</v>
      </c>
      <c r="M757">
        <v>117621425</v>
      </c>
      <c r="N757">
        <v>95417810</v>
      </c>
      <c r="O757">
        <v>59289637</v>
      </c>
      <c r="P757">
        <v>623</v>
      </c>
      <c r="Q757" t="s">
        <v>1753</v>
      </c>
    </row>
    <row r="758" spans="1:17" x14ac:dyDescent="0.3">
      <c r="A758" t="s">
        <v>33</v>
      </c>
      <c r="B758" t="str">
        <f>"002930"</f>
        <v>002930</v>
      </c>
      <c r="C758" t="s">
        <v>1754</v>
      </c>
      <c r="D758" t="s">
        <v>1664</v>
      </c>
      <c r="E758">
        <v>143702587</v>
      </c>
      <c r="F758">
        <v>168958044</v>
      </c>
      <c r="G758">
        <v>63169393</v>
      </c>
      <c r="H758">
        <v>66661869</v>
      </c>
      <c r="I758">
        <v>45044254</v>
      </c>
      <c r="J758">
        <v>42313202</v>
      </c>
      <c r="P758">
        <v>160</v>
      </c>
      <c r="Q758" t="s">
        <v>1755</v>
      </c>
    </row>
    <row r="759" spans="1:17" x14ac:dyDescent="0.3">
      <c r="A759" t="s">
        <v>33</v>
      </c>
      <c r="B759" t="str">
        <f>"000525"</f>
        <v>000525</v>
      </c>
      <c r="C759" t="s">
        <v>1756</v>
      </c>
      <c r="D759" t="s">
        <v>636</v>
      </c>
      <c r="E759">
        <v>143475487</v>
      </c>
      <c r="F759">
        <v>63905357</v>
      </c>
      <c r="G759">
        <v>31353049</v>
      </c>
      <c r="H759">
        <v>67332847</v>
      </c>
      <c r="I759">
        <v>146017690</v>
      </c>
      <c r="J759">
        <v>127936335</v>
      </c>
      <c r="K759">
        <v>65709207</v>
      </c>
      <c r="L759">
        <v>301179343</v>
      </c>
      <c r="M759">
        <v>-41499030</v>
      </c>
      <c r="N759">
        <v>79005939</v>
      </c>
      <c r="O759">
        <v>-190179008</v>
      </c>
      <c r="P759">
        <v>150</v>
      </c>
      <c r="Q759" t="s">
        <v>1757</v>
      </c>
    </row>
    <row r="760" spans="1:17" x14ac:dyDescent="0.3">
      <c r="A760" t="s">
        <v>33</v>
      </c>
      <c r="B760" t="str">
        <f>"002174"</f>
        <v>002174</v>
      </c>
      <c r="C760" t="s">
        <v>1758</v>
      </c>
      <c r="D760" t="s">
        <v>751</v>
      </c>
      <c r="E760">
        <v>142040563</v>
      </c>
      <c r="F760">
        <v>340917001</v>
      </c>
      <c r="G760">
        <v>463839559</v>
      </c>
      <c r="H760">
        <v>68596970</v>
      </c>
      <c r="I760">
        <v>50110401</v>
      </c>
      <c r="J760">
        <v>61834346</v>
      </c>
      <c r="K760">
        <v>79117999</v>
      </c>
      <c r="L760">
        <v>13635630</v>
      </c>
      <c r="M760">
        <v>-67128409</v>
      </c>
      <c r="N760">
        <v>-95623562</v>
      </c>
      <c r="O760">
        <v>-5652046</v>
      </c>
      <c r="P760">
        <v>736</v>
      </c>
      <c r="Q760" t="s">
        <v>1759</v>
      </c>
    </row>
    <row r="761" spans="1:17" x14ac:dyDescent="0.3">
      <c r="A761" t="s">
        <v>17</v>
      </c>
      <c r="B761" t="str">
        <f>"603766"</f>
        <v>603766</v>
      </c>
      <c r="C761" t="s">
        <v>1760</v>
      </c>
      <c r="D761" t="s">
        <v>1069</v>
      </c>
      <c r="E761">
        <v>141496675</v>
      </c>
      <c r="F761">
        <v>76492197</v>
      </c>
      <c r="G761">
        <v>-251014851</v>
      </c>
      <c r="H761">
        <v>135775136</v>
      </c>
      <c r="I761">
        <v>86097159</v>
      </c>
      <c r="J761">
        <v>316288241</v>
      </c>
      <c r="K761">
        <v>162695987</v>
      </c>
      <c r="L761">
        <v>40897554</v>
      </c>
      <c r="M761">
        <v>-18295458</v>
      </c>
      <c r="N761">
        <v>60852222</v>
      </c>
      <c r="O761">
        <v>-197857447</v>
      </c>
      <c r="P761">
        <v>460</v>
      </c>
      <c r="Q761" t="s">
        <v>1761</v>
      </c>
    </row>
    <row r="762" spans="1:17" x14ac:dyDescent="0.3">
      <c r="A762" t="s">
        <v>17</v>
      </c>
      <c r="B762" t="str">
        <f>"603279"</f>
        <v>603279</v>
      </c>
      <c r="C762" t="s">
        <v>1762</v>
      </c>
      <c r="D762" t="s">
        <v>1763</v>
      </c>
      <c r="E762">
        <v>140474616</v>
      </c>
      <c r="F762">
        <v>41618506</v>
      </c>
      <c r="G762">
        <v>58014229</v>
      </c>
      <c r="H762">
        <v>56253400</v>
      </c>
      <c r="I762">
        <v>-52515000</v>
      </c>
      <c r="P762">
        <v>231</v>
      </c>
      <c r="Q762" t="s">
        <v>1764</v>
      </c>
    </row>
    <row r="763" spans="1:17" x14ac:dyDescent="0.3">
      <c r="A763" t="s">
        <v>33</v>
      </c>
      <c r="B763" t="str">
        <f>"000060"</f>
        <v>000060</v>
      </c>
      <c r="C763" t="s">
        <v>1765</v>
      </c>
      <c r="D763" t="s">
        <v>702</v>
      </c>
      <c r="E763">
        <v>139928937</v>
      </c>
      <c r="F763">
        <v>276293003</v>
      </c>
      <c r="G763">
        <v>546581608</v>
      </c>
      <c r="H763">
        <v>28139776</v>
      </c>
      <c r="I763">
        <v>-118194882</v>
      </c>
      <c r="J763">
        <v>298283871</v>
      </c>
      <c r="K763">
        <v>99243447</v>
      </c>
      <c r="L763">
        <v>76400039</v>
      </c>
      <c r="M763">
        <v>115243901</v>
      </c>
      <c r="N763">
        <v>-80479338</v>
      </c>
      <c r="O763">
        <v>-109363235</v>
      </c>
      <c r="P763">
        <v>373</v>
      </c>
      <c r="Q763" t="s">
        <v>1766</v>
      </c>
    </row>
    <row r="764" spans="1:17" x14ac:dyDescent="0.3">
      <c r="A764" t="s">
        <v>17</v>
      </c>
      <c r="B764" t="str">
        <f>"601777"</f>
        <v>601777</v>
      </c>
      <c r="C764" t="s">
        <v>1767</v>
      </c>
      <c r="D764" t="s">
        <v>1069</v>
      </c>
      <c r="E764">
        <v>139396119</v>
      </c>
      <c r="F764">
        <v>663773215</v>
      </c>
      <c r="G764">
        <v>-120176792</v>
      </c>
      <c r="H764">
        <v>-163753452</v>
      </c>
      <c r="I764">
        <v>-199689661</v>
      </c>
      <c r="J764">
        <v>-104725986</v>
      </c>
      <c r="K764">
        <v>-281863188</v>
      </c>
      <c r="L764">
        <v>-85435255</v>
      </c>
      <c r="M764">
        <v>25286241</v>
      </c>
      <c r="N764">
        <v>257910351</v>
      </c>
      <c r="O764">
        <v>-468656915</v>
      </c>
      <c r="P764">
        <v>154</v>
      </c>
      <c r="Q764" t="s">
        <v>1768</v>
      </c>
    </row>
    <row r="765" spans="1:17" x14ac:dyDescent="0.3">
      <c r="A765" t="s">
        <v>33</v>
      </c>
      <c r="B765" t="str">
        <f>"000989"</f>
        <v>000989</v>
      </c>
      <c r="C765" t="s">
        <v>1769</v>
      </c>
      <c r="D765" t="s">
        <v>533</v>
      </c>
      <c r="E765">
        <v>139265067</v>
      </c>
      <c r="F765">
        <v>17894224</v>
      </c>
      <c r="G765">
        <v>62952066</v>
      </c>
      <c r="H765">
        <v>163197744</v>
      </c>
      <c r="I765">
        <v>-24792892</v>
      </c>
      <c r="J765">
        <v>58364679</v>
      </c>
      <c r="K765">
        <v>119146933</v>
      </c>
      <c r="L765">
        <v>55640295</v>
      </c>
      <c r="M765">
        <v>42794439</v>
      </c>
      <c r="N765">
        <v>12740568</v>
      </c>
      <c r="O765">
        <v>-11655116</v>
      </c>
      <c r="P765">
        <v>370</v>
      </c>
      <c r="Q765" t="s">
        <v>1770</v>
      </c>
    </row>
    <row r="766" spans="1:17" x14ac:dyDescent="0.3">
      <c r="A766" t="s">
        <v>33</v>
      </c>
      <c r="B766" t="str">
        <f>"300791"</f>
        <v>300791</v>
      </c>
      <c r="C766" t="s">
        <v>1771</v>
      </c>
      <c r="D766" t="s">
        <v>1772</v>
      </c>
      <c r="E766">
        <v>139235270</v>
      </c>
      <c r="F766">
        <v>19502319</v>
      </c>
      <c r="G766">
        <v>82339494</v>
      </c>
      <c r="H766">
        <v>107920372</v>
      </c>
      <c r="P766">
        <v>286</v>
      </c>
      <c r="Q766" t="s">
        <v>1773</v>
      </c>
    </row>
    <row r="767" spans="1:17" x14ac:dyDescent="0.3">
      <c r="A767" t="s">
        <v>33</v>
      </c>
      <c r="B767" t="str">
        <f>"000526"</f>
        <v>000526</v>
      </c>
      <c r="C767" t="s">
        <v>1774</v>
      </c>
      <c r="D767" t="s">
        <v>761</v>
      </c>
      <c r="E767">
        <v>139014287</v>
      </c>
      <c r="F767">
        <v>333303914</v>
      </c>
      <c r="G767">
        <v>102532631</v>
      </c>
      <c r="H767">
        <v>261615011</v>
      </c>
      <c r="I767">
        <v>250311040</v>
      </c>
      <c r="J767">
        <v>317212877</v>
      </c>
      <c r="K767">
        <v>1327516</v>
      </c>
      <c r="L767">
        <v>2229182</v>
      </c>
      <c r="M767">
        <v>71335</v>
      </c>
      <c r="N767">
        <v>722895</v>
      </c>
      <c r="O767">
        <v>-4274252</v>
      </c>
      <c r="P767">
        <v>201</v>
      </c>
      <c r="Q767" t="s">
        <v>1775</v>
      </c>
    </row>
    <row r="768" spans="1:17" x14ac:dyDescent="0.3">
      <c r="A768" t="s">
        <v>33</v>
      </c>
      <c r="B768" t="str">
        <f>"002579"</f>
        <v>002579</v>
      </c>
      <c r="C768" t="s">
        <v>1776</v>
      </c>
      <c r="D768" t="s">
        <v>239</v>
      </c>
      <c r="E768">
        <v>138865604</v>
      </c>
      <c r="F768">
        <v>124890030</v>
      </c>
      <c r="G768">
        <v>49748069</v>
      </c>
      <c r="H768">
        <v>32936771</v>
      </c>
      <c r="I768">
        <v>22897255</v>
      </c>
      <c r="J768">
        <v>2218396</v>
      </c>
      <c r="K768">
        <v>-191065</v>
      </c>
      <c r="L768">
        <v>8809365</v>
      </c>
      <c r="M768">
        <v>11490824</v>
      </c>
      <c r="N768">
        <v>10960093</v>
      </c>
      <c r="O768">
        <v>896572</v>
      </c>
      <c r="P768">
        <v>279</v>
      </c>
      <c r="Q768" t="s">
        <v>1777</v>
      </c>
    </row>
    <row r="769" spans="1:17" x14ac:dyDescent="0.3">
      <c r="A769" t="s">
        <v>17</v>
      </c>
      <c r="B769" t="str">
        <f>"605287"</f>
        <v>605287</v>
      </c>
      <c r="C769" t="s">
        <v>1778</v>
      </c>
      <c r="D769" t="s">
        <v>1779</v>
      </c>
      <c r="E769">
        <v>138862415</v>
      </c>
      <c r="F769">
        <v>95914161</v>
      </c>
      <c r="P769">
        <v>21</v>
      </c>
      <c r="Q769" t="s">
        <v>1780</v>
      </c>
    </row>
    <row r="770" spans="1:17" x14ac:dyDescent="0.3">
      <c r="A770" t="s">
        <v>33</v>
      </c>
      <c r="B770" t="str">
        <f>"000993"</f>
        <v>000993</v>
      </c>
      <c r="C770" t="s">
        <v>1781</v>
      </c>
      <c r="D770" t="s">
        <v>205</v>
      </c>
      <c r="E770">
        <v>138782975</v>
      </c>
      <c r="F770">
        <v>36489798</v>
      </c>
      <c r="G770">
        <v>-35078139</v>
      </c>
      <c r="H770">
        <v>12923659</v>
      </c>
      <c r="I770">
        <v>-36126859</v>
      </c>
      <c r="J770">
        <v>-7609698</v>
      </c>
      <c r="K770">
        <v>34703173</v>
      </c>
      <c r="L770">
        <v>-153330109</v>
      </c>
      <c r="M770">
        <v>-33026422</v>
      </c>
      <c r="N770">
        <v>-121632712</v>
      </c>
      <c r="O770">
        <v>-21643347</v>
      </c>
      <c r="P770">
        <v>163</v>
      </c>
      <c r="Q770" t="s">
        <v>1782</v>
      </c>
    </row>
    <row r="771" spans="1:17" x14ac:dyDescent="0.3">
      <c r="A771" t="s">
        <v>17</v>
      </c>
      <c r="B771" t="str">
        <f>"603730"</f>
        <v>603730</v>
      </c>
      <c r="C771" t="s">
        <v>1783</v>
      </c>
      <c r="D771" t="s">
        <v>200</v>
      </c>
      <c r="E771">
        <v>138602908</v>
      </c>
      <c r="F771">
        <v>30856334</v>
      </c>
      <c r="G771">
        <v>222346375</v>
      </c>
      <c r="H771">
        <v>110566621</v>
      </c>
      <c r="I771">
        <v>118680844</v>
      </c>
      <c r="J771">
        <v>191599713</v>
      </c>
      <c r="P771">
        <v>522</v>
      </c>
      <c r="Q771" t="s">
        <v>1784</v>
      </c>
    </row>
    <row r="772" spans="1:17" x14ac:dyDescent="0.3">
      <c r="A772" t="s">
        <v>17</v>
      </c>
      <c r="B772" t="str">
        <f>"603132"</f>
        <v>603132</v>
      </c>
      <c r="C772" t="s">
        <v>1785</v>
      </c>
      <c r="E772">
        <v>137947837</v>
      </c>
      <c r="P772">
        <v>10</v>
      </c>
      <c r="Q772" t="s">
        <v>1786</v>
      </c>
    </row>
    <row r="773" spans="1:17" x14ac:dyDescent="0.3">
      <c r="A773" t="s">
        <v>33</v>
      </c>
      <c r="B773" t="str">
        <f>"000918"</f>
        <v>000918</v>
      </c>
      <c r="C773" t="s">
        <v>1787</v>
      </c>
      <c r="D773" t="s">
        <v>167</v>
      </c>
      <c r="E773">
        <v>137815059</v>
      </c>
      <c r="F773">
        <v>161990636</v>
      </c>
      <c r="G773">
        <v>-194623700</v>
      </c>
      <c r="H773">
        <v>97628349</v>
      </c>
      <c r="I773">
        <v>-520010712</v>
      </c>
      <c r="J773">
        <v>2419178685</v>
      </c>
      <c r="K773">
        <v>-483662350</v>
      </c>
      <c r="L773">
        <v>-889618864</v>
      </c>
      <c r="M773">
        <v>-602145114</v>
      </c>
      <c r="N773">
        <v>59615160</v>
      </c>
      <c r="O773">
        <v>-162800140</v>
      </c>
      <c r="P773">
        <v>123</v>
      </c>
      <c r="Q773" t="s">
        <v>1788</v>
      </c>
    </row>
    <row r="774" spans="1:17" x14ac:dyDescent="0.3">
      <c r="A774" t="s">
        <v>17</v>
      </c>
      <c r="B774" t="str">
        <f>"600283"</f>
        <v>600283</v>
      </c>
      <c r="C774" t="s">
        <v>1789</v>
      </c>
      <c r="D774" t="s">
        <v>932</v>
      </c>
      <c r="E774">
        <v>137104472</v>
      </c>
      <c r="F774">
        <v>60210779</v>
      </c>
      <c r="G774">
        <v>40283448</v>
      </c>
      <c r="H774">
        <v>47981840</v>
      </c>
      <c r="I774">
        <v>67867544</v>
      </c>
      <c r="J774">
        <v>51157944</v>
      </c>
      <c r="K774">
        <v>63732420</v>
      </c>
      <c r="L774">
        <v>40241621</v>
      </c>
      <c r="M774">
        <v>-1109701</v>
      </c>
      <c r="N774">
        <v>-59462730</v>
      </c>
      <c r="O774">
        <v>5477442</v>
      </c>
      <c r="P774">
        <v>122</v>
      </c>
      <c r="Q774" t="s">
        <v>1790</v>
      </c>
    </row>
    <row r="775" spans="1:17" x14ac:dyDescent="0.3">
      <c r="A775" t="s">
        <v>33</v>
      </c>
      <c r="B775" t="str">
        <f>"002697"</f>
        <v>002697</v>
      </c>
      <c r="C775" t="s">
        <v>1791</v>
      </c>
      <c r="D775" t="s">
        <v>279</v>
      </c>
      <c r="E775">
        <v>136956594</v>
      </c>
      <c r="F775">
        <v>-12769903</v>
      </c>
      <c r="G775">
        <v>-401809266</v>
      </c>
      <c r="H775">
        <v>-213778232</v>
      </c>
      <c r="I775">
        <v>-44958499</v>
      </c>
      <c r="J775">
        <v>111594160</v>
      </c>
      <c r="K775">
        <v>1668147</v>
      </c>
      <c r="L775">
        <v>68158515</v>
      </c>
      <c r="M775">
        <v>76513684</v>
      </c>
      <c r="N775">
        <v>24817008</v>
      </c>
      <c r="O775">
        <v>-25126218</v>
      </c>
      <c r="P775">
        <v>503</v>
      </c>
      <c r="Q775" t="s">
        <v>1792</v>
      </c>
    </row>
    <row r="776" spans="1:17" x14ac:dyDescent="0.3">
      <c r="A776" t="s">
        <v>33</v>
      </c>
      <c r="B776" t="str">
        <f>"000523"</f>
        <v>000523</v>
      </c>
      <c r="C776" t="s">
        <v>1793</v>
      </c>
      <c r="D776" t="s">
        <v>1794</v>
      </c>
      <c r="E776">
        <v>136944590</v>
      </c>
      <c r="F776">
        <v>-78995738</v>
      </c>
      <c r="G776">
        <v>-379602384</v>
      </c>
      <c r="H776">
        <v>2126917</v>
      </c>
      <c r="I776">
        <v>35679877</v>
      </c>
      <c r="J776">
        <v>20973265</v>
      </c>
      <c r="K776">
        <v>13857324</v>
      </c>
      <c r="L776">
        <v>47328623</v>
      </c>
      <c r="M776">
        <v>-69256438</v>
      </c>
      <c r="N776">
        <v>26550921</v>
      </c>
      <c r="O776">
        <v>-42754206</v>
      </c>
      <c r="P776">
        <v>97</v>
      </c>
      <c r="Q776" t="s">
        <v>1795</v>
      </c>
    </row>
    <row r="777" spans="1:17" x14ac:dyDescent="0.3">
      <c r="A777" t="s">
        <v>17</v>
      </c>
      <c r="B777" t="str">
        <f>"600064"</f>
        <v>600064</v>
      </c>
      <c r="C777" t="s">
        <v>1796</v>
      </c>
      <c r="D777" t="s">
        <v>167</v>
      </c>
      <c r="E777">
        <v>136822535</v>
      </c>
      <c r="F777">
        <v>-508625519</v>
      </c>
      <c r="G777">
        <v>33770736</v>
      </c>
      <c r="H777">
        <v>430663637</v>
      </c>
      <c r="I777">
        <v>-161285792</v>
      </c>
      <c r="J777">
        <v>-643930675</v>
      </c>
      <c r="K777">
        <v>-29410357</v>
      </c>
      <c r="L777">
        <v>394355198</v>
      </c>
      <c r="M777">
        <v>241270355</v>
      </c>
      <c r="N777">
        <v>438570547</v>
      </c>
      <c r="O777">
        <v>-121743097</v>
      </c>
      <c r="P777">
        <v>432</v>
      </c>
      <c r="Q777" t="s">
        <v>1797</v>
      </c>
    </row>
    <row r="778" spans="1:17" x14ac:dyDescent="0.3">
      <c r="A778" t="s">
        <v>33</v>
      </c>
      <c r="B778" t="str">
        <f>"003023"</f>
        <v>003023</v>
      </c>
      <c r="C778" t="s">
        <v>1798</v>
      </c>
      <c r="D778" t="s">
        <v>849</v>
      </c>
      <c r="E778">
        <v>136395293</v>
      </c>
      <c r="F778">
        <v>177674174</v>
      </c>
      <c r="G778">
        <v>117270984</v>
      </c>
      <c r="P778">
        <v>49</v>
      </c>
      <c r="Q778" t="s">
        <v>1799</v>
      </c>
    </row>
    <row r="779" spans="1:17" x14ac:dyDescent="0.3">
      <c r="A779" t="s">
        <v>17</v>
      </c>
      <c r="B779" t="str">
        <f>"600197"</f>
        <v>600197</v>
      </c>
      <c r="C779" t="s">
        <v>1800</v>
      </c>
      <c r="D779" t="s">
        <v>229</v>
      </c>
      <c r="E779">
        <v>136258933</v>
      </c>
      <c r="F779">
        <v>-23873760</v>
      </c>
      <c r="G779">
        <v>-238491926</v>
      </c>
      <c r="H779">
        <v>71039105</v>
      </c>
      <c r="I779">
        <v>170736790</v>
      </c>
      <c r="J779">
        <v>-12787809</v>
      </c>
      <c r="K779">
        <v>91067758</v>
      </c>
      <c r="L779">
        <v>1043497</v>
      </c>
      <c r="M779">
        <v>35457755</v>
      </c>
      <c r="N779">
        <v>67130727</v>
      </c>
      <c r="O779">
        <v>37819889</v>
      </c>
      <c r="P779">
        <v>1080</v>
      </c>
      <c r="Q779" t="s">
        <v>1801</v>
      </c>
    </row>
    <row r="780" spans="1:17" x14ac:dyDescent="0.3">
      <c r="A780" t="s">
        <v>33</v>
      </c>
      <c r="B780" t="str">
        <f>"300267"</f>
        <v>300267</v>
      </c>
      <c r="C780" t="s">
        <v>1802</v>
      </c>
      <c r="D780" t="s">
        <v>941</v>
      </c>
      <c r="E780">
        <v>136125499</v>
      </c>
      <c r="F780">
        <v>82294323</v>
      </c>
      <c r="G780">
        <v>-141872633</v>
      </c>
      <c r="H780">
        <v>-56502440</v>
      </c>
      <c r="I780">
        <v>173967988</v>
      </c>
      <c r="J780">
        <v>51663537</v>
      </c>
      <c r="K780">
        <v>-185989666</v>
      </c>
      <c r="L780">
        <v>17924678</v>
      </c>
      <c r="M780">
        <v>-35626391</v>
      </c>
      <c r="N780">
        <v>5690883</v>
      </c>
      <c r="O780">
        <v>14080270</v>
      </c>
      <c r="P780">
        <v>237</v>
      </c>
      <c r="Q780" t="s">
        <v>1803</v>
      </c>
    </row>
    <row r="781" spans="1:17" x14ac:dyDescent="0.3">
      <c r="A781" t="s">
        <v>33</v>
      </c>
      <c r="B781" t="str">
        <f>"002390"</f>
        <v>002390</v>
      </c>
      <c r="C781" t="s">
        <v>1804</v>
      </c>
      <c r="D781" t="s">
        <v>533</v>
      </c>
      <c r="E781">
        <v>136064885</v>
      </c>
      <c r="F781">
        <v>63718810</v>
      </c>
      <c r="G781">
        <v>218161796</v>
      </c>
      <c r="H781">
        <v>108319995</v>
      </c>
      <c r="I781">
        <v>-94584057</v>
      </c>
      <c r="J781">
        <v>-20061537</v>
      </c>
      <c r="K781">
        <v>17594681</v>
      </c>
      <c r="L781">
        <v>-59467280</v>
      </c>
      <c r="M781">
        <v>-33514512</v>
      </c>
      <c r="N781">
        <v>-12478854</v>
      </c>
      <c r="O781">
        <v>-15442903</v>
      </c>
      <c r="P781">
        <v>272</v>
      </c>
      <c r="Q781" t="s">
        <v>1805</v>
      </c>
    </row>
    <row r="782" spans="1:17" x14ac:dyDescent="0.3">
      <c r="A782" t="s">
        <v>17</v>
      </c>
      <c r="B782" t="str">
        <f>"600172"</f>
        <v>600172</v>
      </c>
      <c r="C782" t="s">
        <v>1806</v>
      </c>
      <c r="D782" t="s">
        <v>1219</v>
      </c>
      <c r="E782">
        <v>135766440</v>
      </c>
      <c r="F782">
        <v>141010137</v>
      </c>
      <c r="G782">
        <v>-28925123</v>
      </c>
      <c r="H782">
        <v>184047438</v>
      </c>
      <c r="I782">
        <v>-39654607</v>
      </c>
      <c r="J782">
        <v>29099850</v>
      </c>
      <c r="K782">
        <v>-70150887</v>
      </c>
      <c r="L782">
        <v>-87838933</v>
      </c>
      <c r="M782">
        <v>35988831</v>
      </c>
      <c r="N782">
        <v>125372731</v>
      </c>
      <c r="O782">
        <v>101966081</v>
      </c>
      <c r="P782">
        <v>325</v>
      </c>
      <c r="Q782" t="s">
        <v>1807</v>
      </c>
    </row>
    <row r="783" spans="1:17" x14ac:dyDescent="0.3">
      <c r="A783" t="s">
        <v>33</v>
      </c>
      <c r="B783" t="str">
        <f>"000882"</f>
        <v>000882</v>
      </c>
      <c r="C783" t="s">
        <v>1808</v>
      </c>
      <c r="D783" t="s">
        <v>989</v>
      </c>
      <c r="E783">
        <v>135635023</v>
      </c>
      <c r="F783">
        <v>131443624</v>
      </c>
      <c r="G783">
        <v>132012897</v>
      </c>
      <c r="H783">
        <v>42816320</v>
      </c>
      <c r="I783">
        <v>-107836947</v>
      </c>
      <c r="J783">
        <v>51917251</v>
      </c>
      <c r="K783">
        <v>-75338481</v>
      </c>
      <c r="L783">
        <v>194020932</v>
      </c>
      <c r="M783">
        <v>109184546</v>
      </c>
      <c r="N783">
        <v>26857624</v>
      </c>
      <c r="O783">
        <v>114837331</v>
      </c>
      <c r="P783">
        <v>114</v>
      </c>
      <c r="Q783" t="s">
        <v>1809</v>
      </c>
    </row>
    <row r="784" spans="1:17" x14ac:dyDescent="0.3">
      <c r="A784" t="s">
        <v>33</v>
      </c>
      <c r="B784" t="str">
        <f>"002763"</f>
        <v>002763</v>
      </c>
      <c r="C784" t="s">
        <v>1810</v>
      </c>
      <c r="D784" t="s">
        <v>1680</v>
      </c>
      <c r="E784">
        <v>135562445</v>
      </c>
      <c r="F784">
        <v>123123047</v>
      </c>
      <c r="G784">
        <v>65906496</v>
      </c>
      <c r="H784">
        <v>-9896307</v>
      </c>
      <c r="I784">
        <v>63512317</v>
      </c>
      <c r="J784">
        <v>147156346</v>
      </c>
      <c r="K784">
        <v>34415377</v>
      </c>
      <c r="L784">
        <v>45851330</v>
      </c>
      <c r="M784">
        <v>57720206</v>
      </c>
      <c r="P784">
        <v>293</v>
      </c>
      <c r="Q784" t="s">
        <v>1811</v>
      </c>
    </row>
    <row r="785" spans="1:17" x14ac:dyDescent="0.3">
      <c r="A785" t="s">
        <v>33</v>
      </c>
      <c r="B785" t="str">
        <f>"002911"</f>
        <v>002911</v>
      </c>
      <c r="C785" t="s">
        <v>1812</v>
      </c>
      <c r="D785" t="s">
        <v>649</v>
      </c>
      <c r="E785">
        <v>135296272</v>
      </c>
      <c r="F785">
        <v>146178426</v>
      </c>
      <c r="G785">
        <v>183901501</v>
      </c>
      <c r="H785">
        <v>186975888</v>
      </c>
      <c r="I785">
        <v>154773752</v>
      </c>
      <c r="J785">
        <v>65800695</v>
      </c>
      <c r="P785">
        <v>183</v>
      </c>
      <c r="Q785" t="s">
        <v>1813</v>
      </c>
    </row>
    <row r="786" spans="1:17" x14ac:dyDescent="0.3">
      <c r="A786" t="s">
        <v>33</v>
      </c>
      <c r="B786" t="str">
        <f>"002394"</f>
        <v>002394</v>
      </c>
      <c r="C786" t="s">
        <v>1814</v>
      </c>
      <c r="D786" t="s">
        <v>693</v>
      </c>
      <c r="E786">
        <v>135122448</v>
      </c>
      <c r="F786">
        <v>39221079</v>
      </c>
      <c r="G786">
        <v>148318639</v>
      </c>
      <c r="H786">
        <v>144718750</v>
      </c>
      <c r="I786">
        <v>127109763</v>
      </c>
      <c r="J786">
        <v>22249417</v>
      </c>
      <c r="K786">
        <v>62247829</v>
      </c>
      <c r="L786">
        <v>-26884957</v>
      </c>
      <c r="M786">
        <v>144993725</v>
      </c>
      <c r="N786">
        <v>47336004</v>
      </c>
      <c r="O786">
        <v>49537319</v>
      </c>
      <c r="P786">
        <v>673</v>
      </c>
      <c r="Q786" t="s">
        <v>1815</v>
      </c>
    </row>
    <row r="787" spans="1:17" x14ac:dyDescent="0.3">
      <c r="A787" t="s">
        <v>33</v>
      </c>
      <c r="B787" t="str">
        <f>"300834"</f>
        <v>300834</v>
      </c>
      <c r="C787" t="s">
        <v>1816</v>
      </c>
      <c r="D787" t="s">
        <v>1817</v>
      </c>
      <c r="E787">
        <v>134949983</v>
      </c>
      <c r="P787">
        <v>19</v>
      </c>
      <c r="Q787" t="s">
        <v>1818</v>
      </c>
    </row>
    <row r="788" spans="1:17" x14ac:dyDescent="0.3">
      <c r="A788" t="s">
        <v>33</v>
      </c>
      <c r="B788" t="str">
        <f>"300268"</f>
        <v>300268</v>
      </c>
      <c r="C788" t="s">
        <v>1819</v>
      </c>
      <c r="D788" t="s">
        <v>1820</v>
      </c>
      <c r="E788">
        <v>134637920</v>
      </c>
      <c r="F788">
        <v>159799977</v>
      </c>
      <c r="G788">
        <v>11057703</v>
      </c>
      <c r="H788">
        <v>-67711491</v>
      </c>
      <c r="I788">
        <v>-35469115</v>
      </c>
      <c r="J788">
        <v>-3628781</v>
      </c>
      <c r="K788">
        <v>-2247282</v>
      </c>
      <c r="L788">
        <v>-12059087</v>
      </c>
      <c r="M788">
        <v>335154</v>
      </c>
      <c r="N788">
        <v>24438493</v>
      </c>
      <c r="O788">
        <v>-48763151</v>
      </c>
      <c r="P788">
        <v>87</v>
      </c>
      <c r="Q788" t="s">
        <v>1821</v>
      </c>
    </row>
    <row r="789" spans="1:17" x14ac:dyDescent="0.3">
      <c r="A789" t="s">
        <v>33</v>
      </c>
      <c r="B789" t="str">
        <f>"301108"</f>
        <v>301108</v>
      </c>
      <c r="C789" t="s">
        <v>1822</v>
      </c>
      <c r="D789" t="s">
        <v>974</v>
      </c>
      <c r="E789">
        <v>134352345</v>
      </c>
      <c r="P789">
        <v>24</v>
      </c>
      <c r="Q789" t="s">
        <v>1823</v>
      </c>
    </row>
    <row r="790" spans="1:17" x14ac:dyDescent="0.3">
      <c r="A790" t="s">
        <v>17</v>
      </c>
      <c r="B790" t="str">
        <f>"603363"</f>
        <v>603363</v>
      </c>
      <c r="C790" t="s">
        <v>1824</v>
      </c>
      <c r="D790" t="s">
        <v>1825</v>
      </c>
      <c r="E790">
        <v>133520191</v>
      </c>
      <c r="F790">
        <v>49009747</v>
      </c>
      <c r="G790">
        <v>42075933</v>
      </c>
      <c r="H790">
        <v>96866621</v>
      </c>
      <c r="I790">
        <v>-173333142</v>
      </c>
      <c r="J790">
        <v>-65477608</v>
      </c>
      <c r="P790">
        <v>310</v>
      </c>
      <c r="Q790" t="s">
        <v>1826</v>
      </c>
    </row>
    <row r="791" spans="1:17" x14ac:dyDescent="0.3">
      <c r="A791" t="s">
        <v>17</v>
      </c>
      <c r="B791" t="str">
        <f>"603103"</f>
        <v>603103</v>
      </c>
      <c r="C791" t="s">
        <v>1827</v>
      </c>
      <c r="D791" t="s">
        <v>1047</v>
      </c>
      <c r="E791">
        <v>132786208</v>
      </c>
      <c r="F791">
        <v>292882425</v>
      </c>
      <c r="G791">
        <v>-91565930</v>
      </c>
      <c r="H791">
        <v>192978642</v>
      </c>
      <c r="I791">
        <v>289055064</v>
      </c>
      <c r="J791">
        <v>139954919</v>
      </c>
      <c r="P791">
        <v>240</v>
      </c>
      <c r="Q791" t="s">
        <v>1828</v>
      </c>
    </row>
    <row r="792" spans="1:17" x14ac:dyDescent="0.3">
      <c r="A792" t="s">
        <v>33</v>
      </c>
      <c r="B792" t="str">
        <f>"002727"</f>
        <v>002727</v>
      </c>
      <c r="C792" t="s">
        <v>1829</v>
      </c>
      <c r="D792" t="s">
        <v>710</v>
      </c>
      <c r="E792">
        <v>131844493</v>
      </c>
      <c r="F792">
        <v>255912355</v>
      </c>
      <c r="G792">
        <v>300913626</v>
      </c>
      <c r="H792">
        <v>98468487</v>
      </c>
      <c r="I792">
        <v>-253564584</v>
      </c>
      <c r="J792">
        <v>-192041041</v>
      </c>
      <c r="K792">
        <v>-134014342</v>
      </c>
      <c r="L792">
        <v>-110031252</v>
      </c>
      <c r="M792">
        <v>32067916</v>
      </c>
      <c r="P792">
        <v>1246</v>
      </c>
      <c r="Q792" t="s">
        <v>1830</v>
      </c>
    </row>
    <row r="793" spans="1:17" x14ac:dyDescent="0.3">
      <c r="A793" t="s">
        <v>33</v>
      </c>
      <c r="B793" t="str">
        <f>"002589"</f>
        <v>002589</v>
      </c>
      <c r="C793" t="s">
        <v>1831</v>
      </c>
      <c r="D793" t="s">
        <v>415</v>
      </c>
      <c r="E793">
        <v>131152117</v>
      </c>
      <c r="F793">
        <v>124685643</v>
      </c>
      <c r="G793">
        <v>160958588</v>
      </c>
      <c r="H793">
        <v>104506396</v>
      </c>
      <c r="I793">
        <v>-2348141538</v>
      </c>
      <c r="J793">
        <v>-978262462</v>
      </c>
      <c r="K793">
        <v>-794626303</v>
      </c>
      <c r="L793">
        <v>-700061589</v>
      </c>
      <c r="M793">
        <v>-459110179</v>
      </c>
      <c r="N793">
        <v>-212868119</v>
      </c>
      <c r="O793">
        <v>-118669823</v>
      </c>
      <c r="P793">
        <v>460</v>
      </c>
      <c r="Q793" t="s">
        <v>1832</v>
      </c>
    </row>
    <row r="794" spans="1:17" x14ac:dyDescent="0.3">
      <c r="A794" t="s">
        <v>33</v>
      </c>
      <c r="B794" t="str">
        <f>"000813"</f>
        <v>000813</v>
      </c>
      <c r="C794" t="s">
        <v>1833</v>
      </c>
      <c r="D794" t="s">
        <v>590</v>
      </c>
      <c r="E794">
        <v>130435563</v>
      </c>
      <c r="F794">
        <v>154051928</v>
      </c>
      <c r="G794">
        <v>455715435</v>
      </c>
      <c r="H794">
        <v>385741120</v>
      </c>
      <c r="I794">
        <v>776529</v>
      </c>
      <c r="J794">
        <v>31286342</v>
      </c>
      <c r="K794">
        <v>14200551</v>
      </c>
      <c r="L794">
        <v>24551347</v>
      </c>
      <c r="M794">
        <v>24766599</v>
      </c>
      <c r="N794">
        <v>-11621570</v>
      </c>
      <c r="O794">
        <v>5832218</v>
      </c>
      <c r="P794">
        <v>281</v>
      </c>
      <c r="Q794" t="s">
        <v>1834</v>
      </c>
    </row>
    <row r="795" spans="1:17" x14ac:dyDescent="0.3">
      <c r="A795" t="s">
        <v>33</v>
      </c>
      <c r="B795" t="str">
        <f>"000413"</f>
        <v>000413</v>
      </c>
      <c r="C795" t="s">
        <v>1835</v>
      </c>
      <c r="D795" t="s">
        <v>102</v>
      </c>
      <c r="E795">
        <v>130382994</v>
      </c>
      <c r="F795">
        <v>377011046</v>
      </c>
      <c r="G795">
        <v>159026281</v>
      </c>
      <c r="H795">
        <v>638683629</v>
      </c>
      <c r="I795">
        <v>-1127140488</v>
      </c>
      <c r="J795">
        <v>-832363127</v>
      </c>
      <c r="K795">
        <v>-934819444</v>
      </c>
      <c r="L795">
        <v>-164732966</v>
      </c>
      <c r="M795">
        <v>-698231680</v>
      </c>
      <c r="N795">
        <v>-168678601</v>
      </c>
      <c r="O795">
        <v>-29059639</v>
      </c>
      <c r="P795">
        <v>525</v>
      </c>
      <c r="Q795" t="s">
        <v>1836</v>
      </c>
    </row>
    <row r="796" spans="1:17" x14ac:dyDescent="0.3">
      <c r="A796" t="s">
        <v>17</v>
      </c>
      <c r="B796" t="str">
        <f>"688063"</f>
        <v>688063</v>
      </c>
      <c r="C796" t="s">
        <v>1837</v>
      </c>
      <c r="D796" t="s">
        <v>156</v>
      </c>
      <c r="E796">
        <v>129875294</v>
      </c>
      <c r="F796">
        <v>69291462</v>
      </c>
      <c r="G796">
        <v>3335422</v>
      </c>
      <c r="P796">
        <v>212</v>
      </c>
      <c r="Q796" t="s">
        <v>1838</v>
      </c>
    </row>
    <row r="797" spans="1:17" x14ac:dyDescent="0.3">
      <c r="A797" t="s">
        <v>33</v>
      </c>
      <c r="B797" t="str">
        <f>"002772"</f>
        <v>002772</v>
      </c>
      <c r="C797" t="s">
        <v>1839</v>
      </c>
      <c r="D797" t="s">
        <v>1840</v>
      </c>
      <c r="E797">
        <v>128350085</v>
      </c>
      <c r="F797">
        <v>96790084</v>
      </c>
      <c r="G797">
        <v>140871192</v>
      </c>
      <c r="H797">
        <v>131530749</v>
      </c>
      <c r="I797">
        <v>89638550</v>
      </c>
      <c r="J797">
        <v>46115417</v>
      </c>
      <c r="K797">
        <v>94945597</v>
      </c>
      <c r="L797">
        <v>59059700</v>
      </c>
      <c r="P797">
        <v>202</v>
      </c>
      <c r="Q797" t="s">
        <v>1841</v>
      </c>
    </row>
    <row r="798" spans="1:17" x14ac:dyDescent="0.3">
      <c r="A798" t="s">
        <v>33</v>
      </c>
      <c r="B798" t="str">
        <f>"002654"</f>
        <v>002654</v>
      </c>
      <c r="C798" t="s">
        <v>1842</v>
      </c>
      <c r="D798" t="s">
        <v>1299</v>
      </c>
      <c r="E798">
        <v>128250465</v>
      </c>
      <c r="F798">
        <v>-28869509</v>
      </c>
      <c r="G798">
        <v>-161117119</v>
      </c>
      <c r="H798">
        <v>35450118</v>
      </c>
      <c r="I798">
        <v>-169388759</v>
      </c>
      <c r="J798">
        <v>-3099564</v>
      </c>
      <c r="K798">
        <v>10483120</v>
      </c>
      <c r="L798">
        <v>2269027</v>
      </c>
      <c r="M798">
        <v>1713119</v>
      </c>
      <c r="N798">
        <v>20842972</v>
      </c>
      <c r="O798">
        <v>-35587600</v>
      </c>
      <c r="P798">
        <v>124</v>
      </c>
      <c r="Q798" t="s">
        <v>1843</v>
      </c>
    </row>
    <row r="799" spans="1:17" x14ac:dyDescent="0.3">
      <c r="A799" t="s">
        <v>33</v>
      </c>
      <c r="B799" t="str">
        <f>"000949"</f>
        <v>000949</v>
      </c>
      <c r="C799" t="s">
        <v>1844</v>
      </c>
      <c r="D799" t="s">
        <v>1428</v>
      </c>
      <c r="E799">
        <v>128107007</v>
      </c>
      <c r="F799">
        <v>208443876</v>
      </c>
      <c r="G799">
        <v>68443558</v>
      </c>
      <c r="H799">
        <v>115538796</v>
      </c>
      <c r="I799">
        <v>-46402504</v>
      </c>
      <c r="J799">
        <v>-56120379</v>
      </c>
      <c r="K799">
        <v>124652575</v>
      </c>
      <c r="L799">
        <v>75007440</v>
      </c>
      <c r="M799">
        <v>74214004</v>
      </c>
      <c r="N799">
        <v>-44419124</v>
      </c>
      <c r="O799">
        <v>215912743</v>
      </c>
      <c r="P799">
        <v>157</v>
      </c>
      <c r="Q799" t="s">
        <v>1845</v>
      </c>
    </row>
    <row r="800" spans="1:17" x14ac:dyDescent="0.3">
      <c r="A800" t="s">
        <v>33</v>
      </c>
      <c r="B800" t="str">
        <f>"300529"</f>
        <v>300529</v>
      </c>
      <c r="C800" t="s">
        <v>1846</v>
      </c>
      <c r="D800" t="s">
        <v>903</v>
      </c>
      <c r="E800">
        <v>128066903</v>
      </c>
      <c r="F800">
        <v>234720148</v>
      </c>
      <c r="G800">
        <v>149559055</v>
      </c>
      <c r="H800">
        <v>92662375</v>
      </c>
      <c r="I800">
        <v>53867042</v>
      </c>
      <c r="J800">
        <v>50412098</v>
      </c>
      <c r="K800">
        <v>24136810</v>
      </c>
      <c r="L800">
        <v>34670182</v>
      </c>
      <c r="P800">
        <v>5945</v>
      </c>
      <c r="Q800" t="s">
        <v>1847</v>
      </c>
    </row>
    <row r="801" spans="1:17" x14ac:dyDescent="0.3">
      <c r="A801" t="s">
        <v>17</v>
      </c>
      <c r="B801" t="str">
        <f>"600987"</f>
        <v>600987</v>
      </c>
      <c r="C801" t="s">
        <v>1848</v>
      </c>
      <c r="D801" t="s">
        <v>1849</v>
      </c>
      <c r="E801">
        <v>127879501</v>
      </c>
      <c r="F801">
        <v>97131724</v>
      </c>
      <c r="G801">
        <v>224737649</v>
      </c>
      <c r="H801">
        <v>140904675</v>
      </c>
      <c r="I801">
        <v>72205645</v>
      </c>
      <c r="J801">
        <v>151442864</v>
      </c>
      <c r="K801">
        <v>187470309</v>
      </c>
      <c r="L801">
        <v>165142714</v>
      </c>
      <c r="M801">
        <v>117027644</v>
      </c>
      <c r="N801">
        <v>117791713</v>
      </c>
      <c r="O801">
        <v>58669069</v>
      </c>
      <c r="P801">
        <v>4846</v>
      </c>
      <c r="Q801" t="s">
        <v>1850</v>
      </c>
    </row>
    <row r="802" spans="1:17" x14ac:dyDescent="0.3">
      <c r="A802" t="s">
        <v>33</v>
      </c>
      <c r="B802" t="str">
        <f>"002508"</f>
        <v>002508</v>
      </c>
      <c r="C802" t="s">
        <v>1851</v>
      </c>
      <c r="D802" t="s">
        <v>1852</v>
      </c>
      <c r="E802">
        <v>127753283</v>
      </c>
      <c r="F802">
        <v>145798651</v>
      </c>
      <c r="G802">
        <v>-244718331</v>
      </c>
      <c r="H802">
        <v>169903804</v>
      </c>
      <c r="I802">
        <v>558743862</v>
      </c>
      <c r="J802">
        <v>186092336</v>
      </c>
      <c r="K802">
        <v>185875043</v>
      </c>
      <c r="L802">
        <v>-17013139</v>
      </c>
      <c r="M802">
        <v>75591350</v>
      </c>
      <c r="N802">
        <v>21965951</v>
      </c>
      <c r="O802">
        <v>61157235</v>
      </c>
      <c r="P802">
        <v>40627</v>
      </c>
      <c r="Q802" t="s">
        <v>1853</v>
      </c>
    </row>
    <row r="803" spans="1:17" x14ac:dyDescent="0.3">
      <c r="A803" t="s">
        <v>33</v>
      </c>
      <c r="B803" t="str">
        <f>"300575"</f>
        <v>300575</v>
      </c>
      <c r="C803" t="s">
        <v>1854</v>
      </c>
      <c r="D803" t="s">
        <v>636</v>
      </c>
      <c r="E803">
        <v>127163676</v>
      </c>
      <c r="F803">
        <v>-44411036</v>
      </c>
      <c r="G803">
        <v>-9356917</v>
      </c>
      <c r="H803">
        <v>-22836249</v>
      </c>
      <c r="I803">
        <v>-61541808</v>
      </c>
      <c r="J803">
        <v>-11851332</v>
      </c>
      <c r="K803">
        <v>41827410</v>
      </c>
      <c r="P803">
        <v>187</v>
      </c>
      <c r="Q803" t="s">
        <v>1855</v>
      </c>
    </row>
    <row r="804" spans="1:17" x14ac:dyDescent="0.3">
      <c r="A804" t="s">
        <v>17</v>
      </c>
      <c r="B804" t="str">
        <f>"601218"</f>
        <v>601218</v>
      </c>
      <c r="C804" t="s">
        <v>1856</v>
      </c>
      <c r="D804" t="s">
        <v>1437</v>
      </c>
      <c r="E804">
        <v>127034488</v>
      </c>
      <c r="F804">
        <v>-66830966</v>
      </c>
      <c r="G804">
        <v>-6294122</v>
      </c>
      <c r="H804">
        <v>-5194415</v>
      </c>
      <c r="I804">
        <v>-93119318</v>
      </c>
      <c r="J804">
        <v>44266225</v>
      </c>
      <c r="K804">
        <v>-141090471</v>
      </c>
      <c r="L804">
        <v>-135073770</v>
      </c>
      <c r="M804">
        <v>-47657522</v>
      </c>
      <c r="N804">
        <v>-192963208</v>
      </c>
      <c r="O804">
        <v>19695701</v>
      </c>
      <c r="P804">
        <v>146</v>
      </c>
      <c r="Q804" t="s">
        <v>1857</v>
      </c>
    </row>
    <row r="805" spans="1:17" x14ac:dyDescent="0.3">
      <c r="A805" t="s">
        <v>17</v>
      </c>
      <c r="B805" t="str">
        <f>"605158"</f>
        <v>605158</v>
      </c>
      <c r="C805" t="s">
        <v>1858</v>
      </c>
      <c r="D805" t="s">
        <v>131</v>
      </c>
      <c r="E805">
        <v>126963439</v>
      </c>
      <c r="F805">
        <v>-169023382</v>
      </c>
      <c r="G805">
        <v>-252624935</v>
      </c>
      <c r="H805">
        <v>69212397</v>
      </c>
      <c r="P805">
        <v>91</v>
      </c>
      <c r="Q805" t="s">
        <v>1859</v>
      </c>
    </row>
    <row r="806" spans="1:17" x14ac:dyDescent="0.3">
      <c r="A806" t="s">
        <v>33</v>
      </c>
      <c r="B806" t="str">
        <f>"300055"</f>
        <v>300055</v>
      </c>
      <c r="C806" t="s">
        <v>1860</v>
      </c>
      <c r="D806" t="s">
        <v>932</v>
      </c>
      <c r="E806">
        <v>126209530</v>
      </c>
      <c r="F806">
        <v>6777610</v>
      </c>
      <c r="G806">
        <v>-17163640</v>
      </c>
      <c r="H806">
        <v>-93924435</v>
      </c>
      <c r="I806">
        <v>98793362</v>
      </c>
      <c r="J806">
        <v>-54306494</v>
      </c>
      <c r="K806">
        <v>-217471389</v>
      </c>
      <c r="L806">
        <v>-11210696</v>
      </c>
      <c r="M806">
        <v>-42874961</v>
      </c>
      <c r="N806">
        <v>-20709086</v>
      </c>
      <c r="O806">
        <v>2159841</v>
      </c>
      <c r="P806">
        <v>163</v>
      </c>
      <c r="Q806" t="s">
        <v>1861</v>
      </c>
    </row>
    <row r="807" spans="1:17" x14ac:dyDescent="0.3">
      <c r="A807" t="s">
        <v>33</v>
      </c>
      <c r="B807" t="str">
        <f>"002666"</f>
        <v>002666</v>
      </c>
      <c r="C807" t="s">
        <v>1862</v>
      </c>
      <c r="D807" t="s">
        <v>418</v>
      </c>
      <c r="E807">
        <v>126181420</v>
      </c>
      <c r="F807">
        <v>-146565513</v>
      </c>
      <c r="G807">
        <v>192819001</v>
      </c>
      <c r="H807">
        <v>140903210</v>
      </c>
      <c r="I807">
        <v>-29676201</v>
      </c>
      <c r="J807">
        <v>-35804140</v>
      </c>
      <c r="K807">
        <v>19900093</v>
      </c>
      <c r="L807">
        <v>46388953</v>
      </c>
      <c r="M807">
        <v>-5946808</v>
      </c>
      <c r="N807">
        <v>-77138953</v>
      </c>
      <c r="O807">
        <v>-30291801</v>
      </c>
      <c r="P807">
        <v>110</v>
      </c>
      <c r="Q807" t="s">
        <v>1863</v>
      </c>
    </row>
    <row r="808" spans="1:17" x14ac:dyDescent="0.3">
      <c r="A808" t="s">
        <v>33</v>
      </c>
      <c r="B808" t="str">
        <f>"002101"</f>
        <v>002101</v>
      </c>
      <c r="C808" t="s">
        <v>1864</v>
      </c>
      <c r="D808" t="s">
        <v>1419</v>
      </c>
      <c r="E808">
        <v>125999043</v>
      </c>
      <c r="F808">
        <v>14601663</v>
      </c>
      <c r="G808">
        <v>392729032</v>
      </c>
      <c r="H808">
        <v>119450310</v>
      </c>
      <c r="I808">
        <v>17679856</v>
      </c>
      <c r="J808">
        <v>-1197678</v>
      </c>
      <c r="K808">
        <v>23722037</v>
      </c>
      <c r="L808">
        <v>-82375336</v>
      </c>
      <c r="M808">
        <v>-22590186</v>
      </c>
      <c r="N808">
        <v>-54220149</v>
      </c>
      <c r="O808">
        <v>7838171</v>
      </c>
      <c r="P808">
        <v>267</v>
      </c>
      <c r="Q808" t="s">
        <v>1865</v>
      </c>
    </row>
    <row r="809" spans="1:17" x14ac:dyDescent="0.3">
      <c r="A809" t="s">
        <v>33</v>
      </c>
      <c r="B809" t="str">
        <f>"200012"</f>
        <v>200012</v>
      </c>
      <c r="C809" t="s">
        <v>1866</v>
      </c>
      <c r="E809">
        <v>125938414.508</v>
      </c>
      <c r="F809">
        <v>404260134.73100001</v>
      </c>
      <c r="G809">
        <v>-12160444.747199999</v>
      </c>
      <c r="H809">
        <v>159368627.91420001</v>
      </c>
      <c r="I809">
        <v>75309744.353</v>
      </c>
      <c r="J809">
        <v>491824336.62980002</v>
      </c>
      <c r="K809">
        <v>384314278.72119999</v>
      </c>
      <c r="L809">
        <v>47173006.25</v>
      </c>
      <c r="M809">
        <v>112595676.57080001</v>
      </c>
      <c r="N809">
        <v>361964667.6354</v>
      </c>
      <c r="O809">
        <v>317234626.866</v>
      </c>
      <c r="P809">
        <v>85</v>
      </c>
      <c r="Q809" t="s">
        <v>1867</v>
      </c>
    </row>
    <row r="810" spans="1:17" x14ac:dyDescent="0.3">
      <c r="A810" t="s">
        <v>33</v>
      </c>
      <c r="B810" t="str">
        <f>"002050"</f>
        <v>002050</v>
      </c>
      <c r="C810" t="s">
        <v>1868</v>
      </c>
      <c r="D810" t="s">
        <v>1869</v>
      </c>
      <c r="E810">
        <v>125930521</v>
      </c>
      <c r="F810">
        <v>189951486</v>
      </c>
      <c r="G810">
        <v>519305066</v>
      </c>
      <c r="H810">
        <v>281558083</v>
      </c>
      <c r="I810">
        <v>-72917024</v>
      </c>
      <c r="J810">
        <v>86774250</v>
      </c>
      <c r="K810">
        <v>260404508</v>
      </c>
      <c r="L810">
        <v>22174451</v>
      </c>
      <c r="M810">
        <v>98202572</v>
      </c>
      <c r="N810">
        <v>-45321131</v>
      </c>
      <c r="O810">
        <v>31115660</v>
      </c>
      <c r="P810">
        <v>2043</v>
      </c>
      <c r="Q810" t="s">
        <v>1870</v>
      </c>
    </row>
    <row r="811" spans="1:17" x14ac:dyDescent="0.3">
      <c r="A811" t="s">
        <v>17</v>
      </c>
      <c r="B811" t="str">
        <f>"603214"</f>
        <v>603214</v>
      </c>
      <c r="C811" t="s">
        <v>1871</v>
      </c>
      <c r="D811" t="s">
        <v>351</v>
      </c>
      <c r="E811">
        <v>125781071</v>
      </c>
      <c r="F811">
        <v>19695884</v>
      </c>
      <c r="G811">
        <v>-2624033</v>
      </c>
      <c r="H811">
        <v>-31308377</v>
      </c>
      <c r="I811">
        <v>48340804</v>
      </c>
      <c r="J811">
        <v>24281532</v>
      </c>
      <c r="P811">
        <v>290</v>
      </c>
      <c r="Q811" t="s">
        <v>1872</v>
      </c>
    </row>
    <row r="812" spans="1:17" x14ac:dyDescent="0.3">
      <c r="A812" t="s">
        <v>17</v>
      </c>
      <c r="B812" t="str">
        <f>"605198"</f>
        <v>605198</v>
      </c>
      <c r="C812" t="s">
        <v>1873</v>
      </c>
      <c r="D812" t="s">
        <v>768</v>
      </c>
      <c r="E812">
        <v>125773310</v>
      </c>
      <c r="F812">
        <v>159453570</v>
      </c>
      <c r="G812">
        <v>244638392</v>
      </c>
      <c r="P812">
        <v>47</v>
      </c>
      <c r="Q812" t="s">
        <v>1874</v>
      </c>
    </row>
    <row r="813" spans="1:17" x14ac:dyDescent="0.3">
      <c r="A813" t="s">
        <v>33</v>
      </c>
      <c r="B813" t="str">
        <f>"300196"</f>
        <v>300196</v>
      </c>
      <c r="C813" t="s">
        <v>1875</v>
      </c>
      <c r="D813" t="s">
        <v>410</v>
      </c>
      <c r="E813">
        <v>125701932</v>
      </c>
      <c r="F813">
        <v>114735868</v>
      </c>
      <c r="G813">
        <v>36950670</v>
      </c>
      <c r="H813">
        <v>9641068</v>
      </c>
      <c r="I813">
        <v>62085945</v>
      </c>
      <c r="J813">
        <v>39804938</v>
      </c>
      <c r="K813">
        <v>63892150</v>
      </c>
      <c r="L813">
        <v>39313802</v>
      </c>
      <c r="M813">
        <v>-4020623</v>
      </c>
      <c r="N813">
        <v>103926232</v>
      </c>
      <c r="O813">
        <v>17180747</v>
      </c>
      <c r="P813">
        <v>232</v>
      </c>
      <c r="Q813" t="s">
        <v>1876</v>
      </c>
    </row>
    <row r="814" spans="1:17" x14ac:dyDescent="0.3">
      <c r="A814" t="s">
        <v>17</v>
      </c>
      <c r="B814" t="str">
        <f>"600733"</f>
        <v>600733</v>
      </c>
      <c r="C814" t="s">
        <v>1877</v>
      </c>
      <c r="D814" t="s">
        <v>641</v>
      </c>
      <c r="E814">
        <v>124334937</v>
      </c>
      <c r="F814">
        <v>1219408863</v>
      </c>
      <c r="G814">
        <v>-3557189670</v>
      </c>
      <c r="H814">
        <v>-2820564999</v>
      </c>
      <c r="I814">
        <v>-10893673</v>
      </c>
      <c r="J814">
        <v>-35406385</v>
      </c>
      <c r="K814">
        <v>-33906330</v>
      </c>
      <c r="L814">
        <v>-25828186</v>
      </c>
      <c r="M814">
        <v>-26965922</v>
      </c>
      <c r="N814">
        <v>-6480590</v>
      </c>
      <c r="O814">
        <v>-29464578</v>
      </c>
      <c r="P814">
        <v>369</v>
      </c>
      <c r="Q814" t="s">
        <v>1878</v>
      </c>
    </row>
    <row r="815" spans="1:17" x14ac:dyDescent="0.3">
      <c r="A815" t="s">
        <v>33</v>
      </c>
      <c r="B815" t="str">
        <f>"002183"</f>
        <v>002183</v>
      </c>
      <c r="C815" t="s">
        <v>1879</v>
      </c>
      <c r="D815" t="s">
        <v>1010</v>
      </c>
      <c r="E815">
        <v>123659733</v>
      </c>
      <c r="F815">
        <v>739735830</v>
      </c>
      <c r="G815">
        <v>129800418</v>
      </c>
      <c r="H815">
        <v>739429009</v>
      </c>
      <c r="I815">
        <v>796887796</v>
      </c>
      <c r="J815">
        <v>-2477509401</v>
      </c>
      <c r="K815">
        <v>-1373059388</v>
      </c>
      <c r="L815">
        <v>-529844051</v>
      </c>
      <c r="M815">
        <v>-601729101</v>
      </c>
      <c r="N815">
        <v>-888605430</v>
      </c>
      <c r="O815">
        <v>-228974301</v>
      </c>
      <c r="P815">
        <v>261</v>
      </c>
      <c r="Q815" t="s">
        <v>1880</v>
      </c>
    </row>
    <row r="816" spans="1:17" x14ac:dyDescent="0.3">
      <c r="A816" t="s">
        <v>17</v>
      </c>
      <c r="B816" t="str">
        <f>"600081"</f>
        <v>600081</v>
      </c>
      <c r="C816" t="s">
        <v>1881</v>
      </c>
      <c r="D816" t="s">
        <v>200</v>
      </c>
      <c r="E816">
        <v>123645050</v>
      </c>
      <c r="F816">
        <v>5883748</v>
      </c>
      <c r="G816">
        <v>153019181</v>
      </c>
      <c r="H816">
        <v>56931148</v>
      </c>
      <c r="I816">
        <v>211940607</v>
      </c>
      <c r="J816">
        <v>-2799353</v>
      </c>
      <c r="K816">
        <v>78071802</v>
      </c>
      <c r="L816">
        <v>90082721</v>
      </c>
      <c r="M816">
        <v>169863359</v>
      </c>
      <c r="N816">
        <v>-70429771</v>
      </c>
      <c r="O816">
        <v>51923655</v>
      </c>
      <c r="P816">
        <v>205</v>
      </c>
      <c r="Q816" t="s">
        <v>1882</v>
      </c>
    </row>
    <row r="817" spans="1:17" x14ac:dyDescent="0.3">
      <c r="A817" t="s">
        <v>17</v>
      </c>
      <c r="B817" t="str">
        <f>"600101"</f>
        <v>600101</v>
      </c>
      <c r="C817" t="s">
        <v>1883</v>
      </c>
      <c r="D817" t="s">
        <v>245</v>
      </c>
      <c r="E817">
        <v>123552245</v>
      </c>
      <c r="F817">
        <v>29202307</v>
      </c>
      <c r="G817">
        <v>17287812</v>
      </c>
      <c r="H817">
        <v>226565564</v>
      </c>
      <c r="I817">
        <v>83173252</v>
      </c>
      <c r="J817">
        <v>56856528</v>
      </c>
      <c r="K817">
        <v>37623240</v>
      </c>
      <c r="L817">
        <v>11183679</v>
      </c>
      <c r="M817">
        <v>32936822</v>
      </c>
      <c r="N817">
        <v>10522855</v>
      </c>
      <c r="O817">
        <v>-2647067</v>
      </c>
      <c r="P817">
        <v>123</v>
      </c>
      <c r="Q817" t="s">
        <v>1884</v>
      </c>
    </row>
    <row r="818" spans="1:17" x14ac:dyDescent="0.3">
      <c r="A818" t="s">
        <v>17</v>
      </c>
      <c r="B818" t="str">
        <f>"600359"</f>
        <v>600359</v>
      </c>
      <c r="C818" t="s">
        <v>1885</v>
      </c>
      <c r="D818" t="s">
        <v>1886</v>
      </c>
      <c r="E818">
        <v>123087745</v>
      </c>
      <c r="F818">
        <v>33759848</v>
      </c>
      <c r="G818">
        <v>24903815</v>
      </c>
      <c r="H818">
        <v>-39936441</v>
      </c>
      <c r="I818">
        <v>-48424233</v>
      </c>
      <c r="J818">
        <v>-79490002</v>
      </c>
      <c r="K818">
        <v>-29387803</v>
      </c>
      <c r="L818">
        <v>33290302</v>
      </c>
      <c r="M818">
        <v>-121558640</v>
      </c>
      <c r="N818">
        <v>-130573215</v>
      </c>
      <c r="O818">
        <v>-236077194</v>
      </c>
      <c r="P818">
        <v>111</v>
      </c>
      <c r="Q818" t="s">
        <v>1887</v>
      </c>
    </row>
    <row r="819" spans="1:17" x14ac:dyDescent="0.3">
      <c r="A819" t="s">
        <v>33</v>
      </c>
      <c r="B819" t="str">
        <f>"002859"</f>
        <v>002859</v>
      </c>
      <c r="C819" t="s">
        <v>1888</v>
      </c>
      <c r="D819" t="s">
        <v>499</v>
      </c>
      <c r="E819">
        <v>122984407</v>
      </c>
      <c r="F819">
        <v>81090743</v>
      </c>
      <c r="G819">
        <v>45520834</v>
      </c>
      <c r="H819">
        <v>153661322</v>
      </c>
      <c r="I819">
        <v>19660527</v>
      </c>
      <c r="J819">
        <v>11186538</v>
      </c>
      <c r="K819">
        <v>7747610</v>
      </c>
      <c r="P819">
        <v>2969</v>
      </c>
      <c r="Q819" t="s">
        <v>1889</v>
      </c>
    </row>
    <row r="820" spans="1:17" x14ac:dyDescent="0.3">
      <c r="A820" t="s">
        <v>33</v>
      </c>
      <c r="B820" t="str">
        <f>"002264"</f>
        <v>002264</v>
      </c>
      <c r="C820" t="s">
        <v>1890</v>
      </c>
      <c r="D820" t="s">
        <v>279</v>
      </c>
      <c r="E820">
        <v>122827344</v>
      </c>
      <c r="F820">
        <v>279207233</v>
      </c>
      <c r="G820">
        <v>300557394</v>
      </c>
      <c r="H820">
        <v>274238084</v>
      </c>
      <c r="I820">
        <v>15564620</v>
      </c>
      <c r="J820">
        <v>91452650</v>
      </c>
      <c r="K820">
        <v>-66822461</v>
      </c>
      <c r="L820">
        <v>3007134</v>
      </c>
      <c r="M820">
        <v>-56062768</v>
      </c>
      <c r="N820">
        <v>49789969</v>
      </c>
      <c r="O820">
        <v>71994633</v>
      </c>
      <c r="P820">
        <v>96</v>
      </c>
      <c r="Q820" t="s">
        <v>1891</v>
      </c>
    </row>
    <row r="821" spans="1:17" x14ac:dyDescent="0.3">
      <c r="A821" t="s">
        <v>17</v>
      </c>
      <c r="B821" t="str">
        <f>"600610"</f>
        <v>600610</v>
      </c>
      <c r="C821" t="s">
        <v>1892</v>
      </c>
      <c r="D821" t="s">
        <v>1022</v>
      </c>
      <c r="E821">
        <v>122822522</v>
      </c>
      <c r="F821">
        <v>4643419</v>
      </c>
      <c r="G821">
        <v>47298376</v>
      </c>
      <c r="H821">
        <v>990</v>
      </c>
      <c r="I821">
        <v>-2183788</v>
      </c>
      <c r="J821">
        <v>-84168767</v>
      </c>
      <c r="K821">
        <v>-5018956</v>
      </c>
      <c r="L821">
        <v>-12273308</v>
      </c>
      <c r="M821">
        <v>-11436206</v>
      </c>
      <c r="N821">
        <v>-12320075</v>
      </c>
      <c r="O821">
        <v>-7665171</v>
      </c>
      <c r="P821">
        <v>91</v>
      </c>
      <c r="Q821" t="s">
        <v>1893</v>
      </c>
    </row>
    <row r="822" spans="1:17" x14ac:dyDescent="0.3">
      <c r="A822" t="s">
        <v>33</v>
      </c>
      <c r="B822" t="str">
        <f>"002111"</f>
        <v>002111</v>
      </c>
      <c r="C822" t="s">
        <v>1894</v>
      </c>
      <c r="D822" t="s">
        <v>1895</v>
      </c>
      <c r="E822">
        <v>122741675</v>
      </c>
      <c r="F822">
        <v>-375665067</v>
      </c>
      <c r="G822">
        <v>-165932052</v>
      </c>
      <c r="H822">
        <v>-138240258</v>
      </c>
      <c r="I822">
        <v>-118292491</v>
      </c>
      <c r="J822">
        <v>-187893813</v>
      </c>
      <c r="K822">
        <v>-31345945</v>
      </c>
      <c r="L822">
        <v>19721002</v>
      </c>
      <c r="M822">
        <v>-35396548</v>
      </c>
      <c r="N822">
        <v>-21884977</v>
      </c>
      <c r="O822">
        <v>-36053961</v>
      </c>
      <c r="P822">
        <v>214</v>
      </c>
      <c r="Q822" t="s">
        <v>1896</v>
      </c>
    </row>
    <row r="823" spans="1:17" x14ac:dyDescent="0.3">
      <c r="A823" t="s">
        <v>17</v>
      </c>
      <c r="B823" t="str">
        <f>"688036"</f>
        <v>688036</v>
      </c>
      <c r="C823" t="s">
        <v>1897</v>
      </c>
      <c r="D823" t="s">
        <v>1514</v>
      </c>
      <c r="E823">
        <v>122671523</v>
      </c>
      <c r="F823">
        <v>-24964755</v>
      </c>
      <c r="G823">
        <v>-948828950</v>
      </c>
      <c r="H823">
        <v>-121266815</v>
      </c>
      <c r="I823">
        <v>59305900</v>
      </c>
      <c r="P823">
        <v>596</v>
      </c>
      <c r="Q823" t="s">
        <v>1898</v>
      </c>
    </row>
    <row r="824" spans="1:17" x14ac:dyDescent="0.3">
      <c r="A824" t="s">
        <v>17</v>
      </c>
      <c r="B824" t="str">
        <f>"603408"</f>
        <v>603408</v>
      </c>
      <c r="C824" t="s">
        <v>1899</v>
      </c>
      <c r="D824" t="s">
        <v>1710</v>
      </c>
      <c r="E824">
        <v>122580412</v>
      </c>
      <c r="F824">
        <v>-18343511</v>
      </c>
      <c r="G824">
        <v>89358239</v>
      </c>
      <c r="H824">
        <v>91325294</v>
      </c>
      <c r="P824">
        <v>98</v>
      </c>
      <c r="Q824" t="s">
        <v>1900</v>
      </c>
    </row>
    <row r="825" spans="1:17" x14ac:dyDescent="0.3">
      <c r="A825" t="s">
        <v>17</v>
      </c>
      <c r="B825" t="str">
        <f>"600106"</f>
        <v>600106</v>
      </c>
      <c r="C825" t="s">
        <v>1901</v>
      </c>
      <c r="D825" t="s">
        <v>458</v>
      </c>
      <c r="E825">
        <v>122391108</v>
      </c>
      <c r="F825">
        <v>53437741</v>
      </c>
      <c r="G825">
        <v>505908792</v>
      </c>
      <c r="H825">
        <v>132561751</v>
      </c>
      <c r="I825">
        <v>-2026830</v>
      </c>
      <c r="J825">
        <v>118143076</v>
      </c>
      <c r="K825">
        <v>60443283</v>
      </c>
      <c r="L825">
        <v>98995272</v>
      </c>
      <c r="M825">
        <v>27174737</v>
      </c>
      <c r="N825">
        <v>44599896</v>
      </c>
      <c r="O825">
        <v>-7903628</v>
      </c>
      <c r="P825">
        <v>145</v>
      </c>
      <c r="Q825" t="s">
        <v>1902</v>
      </c>
    </row>
    <row r="826" spans="1:17" x14ac:dyDescent="0.3">
      <c r="A826" t="s">
        <v>33</v>
      </c>
      <c r="B826" t="str">
        <f>"003035"</f>
        <v>003035</v>
      </c>
      <c r="C826" t="s">
        <v>1903</v>
      </c>
      <c r="D826" t="s">
        <v>245</v>
      </c>
      <c r="E826">
        <v>121356568</v>
      </c>
      <c r="F826">
        <v>18112656</v>
      </c>
      <c r="G826">
        <v>67460828</v>
      </c>
      <c r="P826">
        <v>278</v>
      </c>
      <c r="Q826" t="s">
        <v>1904</v>
      </c>
    </row>
    <row r="827" spans="1:17" x14ac:dyDescent="0.3">
      <c r="A827" t="s">
        <v>33</v>
      </c>
      <c r="B827" t="str">
        <f>"300402"</f>
        <v>300402</v>
      </c>
      <c r="C827" t="s">
        <v>1905</v>
      </c>
      <c r="D827" t="s">
        <v>164</v>
      </c>
      <c r="E827">
        <v>121118928</v>
      </c>
      <c r="F827">
        <v>97860851</v>
      </c>
      <c r="G827">
        <v>11880956</v>
      </c>
      <c r="H827">
        <v>74709551</v>
      </c>
      <c r="I827">
        <v>33919282</v>
      </c>
      <c r="J827">
        <v>-5382976</v>
      </c>
      <c r="K827">
        <v>-30895773</v>
      </c>
      <c r="L827">
        <v>-4047316</v>
      </c>
      <c r="M827">
        <v>-11446237</v>
      </c>
      <c r="P827">
        <v>101</v>
      </c>
      <c r="Q827" t="s">
        <v>1906</v>
      </c>
    </row>
    <row r="828" spans="1:17" x14ac:dyDescent="0.3">
      <c r="A828" t="s">
        <v>33</v>
      </c>
      <c r="B828" t="str">
        <f>"300650"</f>
        <v>300650</v>
      </c>
      <c r="C828" t="s">
        <v>1907</v>
      </c>
      <c r="D828" t="s">
        <v>1299</v>
      </c>
      <c r="E828">
        <v>120550589</v>
      </c>
      <c r="F828">
        <v>-75283911</v>
      </c>
      <c r="G828">
        <v>-13696124</v>
      </c>
      <c r="H828">
        <v>-5685162</v>
      </c>
      <c r="I828">
        <v>10007685</v>
      </c>
      <c r="J828">
        <v>7830394</v>
      </c>
      <c r="K828">
        <v>-4672415</v>
      </c>
      <c r="P828">
        <v>125</v>
      </c>
      <c r="Q828" t="s">
        <v>1908</v>
      </c>
    </row>
    <row r="829" spans="1:17" x14ac:dyDescent="0.3">
      <c r="A829" t="s">
        <v>33</v>
      </c>
      <c r="B829" t="str">
        <f>"002903"</f>
        <v>002903</v>
      </c>
      <c r="C829" t="s">
        <v>1909</v>
      </c>
      <c r="D829" t="s">
        <v>1910</v>
      </c>
      <c r="E829">
        <v>120264879</v>
      </c>
      <c r="F829">
        <v>-6252013</v>
      </c>
      <c r="G829">
        <v>-17816395</v>
      </c>
      <c r="H829">
        <v>1998901</v>
      </c>
      <c r="I829">
        <v>-19101652</v>
      </c>
      <c r="J829">
        <v>25857907</v>
      </c>
      <c r="P829">
        <v>143</v>
      </c>
      <c r="Q829" t="s">
        <v>1911</v>
      </c>
    </row>
    <row r="830" spans="1:17" x14ac:dyDescent="0.3">
      <c r="A830" t="s">
        <v>33</v>
      </c>
      <c r="B830" t="str">
        <f>"002216"</f>
        <v>002216</v>
      </c>
      <c r="C830" t="s">
        <v>1912</v>
      </c>
      <c r="D830" t="s">
        <v>886</v>
      </c>
      <c r="E830">
        <v>120120838</v>
      </c>
      <c r="F830">
        <v>-81257767</v>
      </c>
      <c r="G830">
        <v>215743541</v>
      </c>
      <c r="H830">
        <v>-269761888</v>
      </c>
      <c r="I830">
        <v>-128674113</v>
      </c>
      <c r="J830">
        <v>-16837914</v>
      </c>
      <c r="K830">
        <v>-47755773</v>
      </c>
      <c r="L830">
        <v>-180131530</v>
      </c>
      <c r="M830">
        <v>-188632834</v>
      </c>
      <c r="N830">
        <v>-60259514</v>
      </c>
      <c r="O830">
        <v>-111990050</v>
      </c>
      <c r="P830">
        <v>1276</v>
      </c>
      <c r="Q830" t="s">
        <v>1913</v>
      </c>
    </row>
    <row r="831" spans="1:17" x14ac:dyDescent="0.3">
      <c r="A831" t="s">
        <v>33</v>
      </c>
      <c r="B831" t="str">
        <f>"300463"</f>
        <v>300463</v>
      </c>
      <c r="C831" t="s">
        <v>1914</v>
      </c>
      <c r="D831" t="s">
        <v>221</v>
      </c>
      <c r="E831">
        <v>120108069</v>
      </c>
      <c r="F831">
        <v>86679374</v>
      </c>
      <c r="G831">
        <v>71637791</v>
      </c>
      <c r="H831">
        <v>-46795167</v>
      </c>
      <c r="I831">
        <v>-92626651</v>
      </c>
      <c r="J831">
        <v>-28447251</v>
      </c>
      <c r="K831">
        <v>-74096022</v>
      </c>
      <c r="L831">
        <v>-54671125</v>
      </c>
      <c r="M831">
        <v>-78347978</v>
      </c>
      <c r="P831">
        <v>1101</v>
      </c>
      <c r="Q831" t="s">
        <v>1915</v>
      </c>
    </row>
    <row r="832" spans="1:17" x14ac:dyDescent="0.3">
      <c r="A832" t="s">
        <v>33</v>
      </c>
      <c r="B832" t="str">
        <f>"301078"</f>
        <v>301078</v>
      </c>
      <c r="C832" t="s">
        <v>1916</v>
      </c>
      <c r="D832" t="s">
        <v>351</v>
      </c>
      <c r="E832">
        <v>119928412</v>
      </c>
      <c r="P832">
        <v>23</v>
      </c>
      <c r="Q832" t="s">
        <v>1917</v>
      </c>
    </row>
    <row r="833" spans="1:17" x14ac:dyDescent="0.3">
      <c r="A833" t="s">
        <v>17</v>
      </c>
      <c r="B833" t="str">
        <f>"603557"</f>
        <v>603557</v>
      </c>
      <c r="C833" t="s">
        <v>1918</v>
      </c>
      <c r="D833" t="s">
        <v>1680</v>
      </c>
      <c r="E833">
        <v>119786304</v>
      </c>
      <c r="F833">
        <v>-177177453</v>
      </c>
      <c r="G833">
        <v>-267020221</v>
      </c>
      <c r="H833">
        <v>-44025839</v>
      </c>
      <c r="I833">
        <v>-54732769</v>
      </c>
      <c r="J833">
        <v>-135462430</v>
      </c>
      <c r="P833">
        <v>118</v>
      </c>
      <c r="Q833" t="s">
        <v>1919</v>
      </c>
    </row>
    <row r="834" spans="1:17" x14ac:dyDescent="0.3">
      <c r="A834" t="s">
        <v>33</v>
      </c>
      <c r="B834" t="str">
        <f>"002363"</f>
        <v>002363</v>
      </c>
      <c r="C834" t="s">
        <v>1920</v>
      </c>
      <c r="D834" t="s">
        <v>858</v>
      </c>
      <c r="E834">
        <v>119523907</v>
      </c>
      <c r="F834">
        <v>18693952</v>
      </c>
      <c r="G834">
        <v>58553745</v>
      </c>
      <c r="H834">
        <v>66314238</v>
      </c>
      <c r="I834">
        <v>103714238</v>
      </c>
      <c r="J834">
        <v>136950470</v>
      </c>
      <c r="K834">
        <v>69573963</v>
      </c>
      <c r="L834">
        <v>99677034</v>
      </c>
      <c r="M834">
        <v>-16901414</v>
      </c>
      <c r="N834">
        <v>-22177902</v>
      </c>
      <c r="O834">
        <v>7297729</v>
      </c>
      <c r="P834">
        <v>126</v>
      </c>
      <c r="Q834" t="s">
        <v>1921</v>
      </c>
    </row>
    <row r="835" spans="1:17" x14ac:dyDescent="0.3">
      <c r="A835" t="s">
        <v>33</v>
      </c>
      <c r="B835" t="str">
        <f>"002034"</f>
        <v>002034</v>
      </c>
      <c r="C835" t="s">
        <v>1922</v>
      </c>
      <c r="D835" t="s">
        <v>897</v>
      </c>
      <c r="E835">
        <v>119466707</v>
      </c>
      <c r="F835">
        <v>190443747</v>
      </c>
      <c r="G835">
        <v>105271773</v>
      </c>
      <c r="H835">
        <v>125159971</v>
      </c>
      <c r="I835">
        <v>96712157</v>
      </c>
      <c r="J835">
        <v>1954506</v>
      </c>
      <c r="K835">
        <v>-14547061</v>
      </c>
      <c r="L835">
        <v>-3633221</v>
      </c>
      <c r="M835">
        <v>689924</v>
      </c>
      <c r="N835">
        <v>-68963078</v>
      </c>
      <c r="O835">
        <v>-11387642</v>
      </c>
      <c r="P835">
        <v>244</v>
      </c>
      <c r="Q835" t="s">
        <v>1923</v>
      </c>
    </row>
    <row r="836" spans="1:17" x14ac:dyDescent="0.3">
      <c r="A836" t="s">
        <v>33</v>
      </c>
      <c r="B836" t="str">
        <f>"300639"</f>
        <v>300639</v>
      </c>
      <c r="C836" t="s">
        <v>1924</v>
      </c>
      <c r="D836" t="s">
        <v>221</v>
      </c>
      <c r="E836">
        <v>119282306</v>
      </c>
      <c r="F836">
        <v>-49894767</v>
      </c>
      <c r="G836">
        <v>-24458089</v>
      </c>
      <c r="H836">
        <v>-1071619</v>
      </c>
      <c r="I836">
        <v>-10347956</v>
      </c>
      <c r="J836">
        <v>-3114874</v>
      </c>
      <c r="K836">
        <v>-6313742</v>
      </c>
      <c r="P836">
        <v>535</v>
      </c>
      <c r="Q836" t="s">
        <v>1925</v>
      </c>
    </row>
    <row r="837" spans="1:17" x14ac:dyDescent="0.3">
      <c r="A837" t="s">
        <v>33</v>
      </c>
      <c r="B837" t="str">
        <f>"300394"</f>
        <v>300394</v>
      </c>
      <c r="C837" t="s">
        <v>1926</v>
      </c>
      <c r="D837" t="s">
        <v>461</v>
      </c>
      <c r="E837">
        <v>119102539</v>
      </c>
      <c r="F837">
        <v>84947542</v>
      </c>
      <c r="G837">
        <v>77674035</v>
      </c>
      <c r="H837">
        <v>51358651</v>
      </c>
      <c r="I837">
        <v>25195850</v>
      </c>
      <c r="J837">
        <v>25309242</v>
      </c>
      <c r="K837">
        <v>35727725</v>
      </c>
      <c r="L837">
        <v>18415850</v>
      </c>
      <c r="M837">
        <v>17152497</v>
      </c>
      <c r="P837">
        <v>802</v>
      </c>
      <c r="Q837" t="s">
        <v>1927</v>
      </c>
    </row>
    <row r="838" spans="1:17" x14ac:dyDescent="0.3">
      <c r="A838" t="s">
        <v>33</v>
      </c>
      <c r="B838" t="str">
        <f>"002436"</f>
        <v>002436</v>
      </c>
      <c r="C838" t="s">
        <v>1928</v>
      </c>
      <c r="D838" t="s">
        <v>239</v>
      </c>
      <c r="E838">
        <v>118784433</v>
      </c>
      <c r="F838">
        <v>57549304</v>
      </c>
      <c r="G838">
        <v>157920246</v>
      </c>
      <c r="H838">
        <v>72413067</v>
      </c>
      <c r="I838">
        <v>-12774126</v>
      </c>
      <c r="J838">
        <v>15524742</v>
      </c>
      <c r="K838">
        <v>-38829168</v>
      </c>
      <c r="L838">
        <v>-6549480</v>
      </c>
      <c r="M838">
        <v>-19974022</v>
      </c>
      <c r="N838">
        <v>-133608</v>
      </c>
      <c r="O838">
        <v>1744064</v>
      </c>
      <c r="P838">
        <v>563</v>
      </c>
      <c r="Q838" t="s">
        <v>1929</v>
      </c>
    </row>
    <row r="839" spans="1:17" x14ac:dyDescent="0.3">
      <c r="A839" t="s">
        <v>17</v>
      </c>
      <c r="B839" t="str">
        <f>"603301"</f>
        <v>603301</v>
      </c>
      <c r="C839" t="s">
        <v>1930</v>
      </c>
      <c r="D839" t="s">
        <v>903</v>
      </c>
      <c r="E839">
        <v>118412693</v>
      </c>
      <c r="F839">
        <v>229569623</v>
      </c>
      <c r="G839">
        <v>197190457</v>
      </c>
      <c r="H839">
        <v>-42321319</v>
      </c>
      <c r="I839">
        <v>-14096098</v>
      </c>
      <c r="J839">
        <v>22565098</v>
      </c>
      <c r="P839">
        <v>1533</v>
      </c>
      <c r="Q839" t="s">
        <v>1931</v>
      </c>
    </row>
    <row r="840" spans="1:17" x14ac:dyDescent="0.3">
      <c r="A840" t="s">
        <v>33</v>
      </c>
      <c r="B840" t="str">
        <f>"300120"</f>
        <v>300120</v>
      </c>
      <c r="C840" t="s">
        <v>1932</v>
      </c>
      <c r="D840" t="s">
        <v>102</v>
      </c>
      <c r="E840">
        <v>117936521</v>
      </c>
      <c r="F840">
        <v>-42517939</v>
      </c>
      <c r="G840">
        <v>-145060529</v>
      </c>
      <c r="H840">
        <v>68787094</v>
      </c>
      <c r="I840">
        <v>-1887321</v>
      </c>
      <c r="J840">
        <v>-25837363</v>
      </c>
      <c r="K840">
        <v>-22036784</v>
      </c>
      <c r="L840">
        <v>-21135453</v>
      </c>
      <c r="M840">
        <v>-13967278</v>
      </c>
      <c r="N840">
        <v>-14020900</v>
      </c>
      <c r="O840">
        <v>-4562524</v>
      </c>
      <c r="P840">
        <v>105</v>
      </c>
      <c r="Q840" t="s">
        <v>1933</v>
      </c>
    </row>
    <row r="841" spans="1:17" x14ac:dyDescent="0.3">
      <c r="A841" t="s">
        <v>33</v>
      </c>
      <c r="B841" t="str">
        <f>"002167"</f>
        <v>002167</v>
      </c>
      <c r="C841" t="s">
        <v>1934</v>
      </c>
      <c r="D841" t="s">
        <v>720</v>
      </c>
      <c r="E841">
        <v>117755547</v>
      </c>
      <c r="F841">
        <v>139025998</v>
      </c>
      <c r="G841">
        <v>-32414452</v>
      </c>
      <c r="H841">
        <v>-22599400</v>
      </c>
      <c r="I841">
        <v>205902593</v>
      </c>
      <c r="J841">
        <v>41287824</v>
      </c>
      <c r="K841">
        <v>-77653719</v>
      </c>
      <c r="L841">
        <v>54355579</v>
      </c>
      <c r="M841">
        <v>-118206940</v>
      </c>
      <c r="N841">
        <v>8328634</v>
      </c>
      <c r="O841">
        <v>1144050</v>
      </c>
      <c r="P841">
        <v>111</v>
      </c>
      <c r="Q841" t="s">
        <v>1935</v>
      </c>
    </row>
    <row r="842" spans="1:17" x14ac:dyDescent="0.3">
      <c r="A842" t="s">
        <v>17</v>
      </c>
      <c r="B842" t="str">
        <f>"603950"</f>
        <v>603950</v>
      </c>
      <c r="C842" t="s">
        <v>1936</v>
      </c>
      <c r="D842" t="s">
        <v>858</v>
      </c>
      <c r="E842">
        <v>117678014</v>
      </c>
      <c r="F842">
        <v>125311300</v>
      </c>
      <c r="G842">
        <v>173656554</v>
      </c>
      <c r="H842">
        <v>-5291935</v>
      </c>
      <c r="P842">
        <v>97</v>
      </c>
      <c r="Q842" t="s">
        <v>1937</v>
      </c>
    </row>
    <row r="843" spans="1:17" x14ac:dyDescent="0.3">
      <c r="A843" t="s">
        <v>17</v>
      </c>
      <c r="B843" t="str">
        <f>"603155"</f>
        <v>603155</v>
      </c>
      <c r="C843" t="s">
        <v>1938</v>
      </c>
      <c r="D843" t="s">
        <v>729</v>
      </c>
      <c r="E843">
        <v>117462131</v>
      </c>
      <c r="F843">
        <v>-12362669</v>
      </c>
      <c r="G843">
        <v>42012649</v>
      </c>
      <c r="P843">
        <v>76</v>
      </c>
      <c r="Q843" t="s">
        <v>1939</v>
      </c>
    </row>
    <row r="844" spans="1:17" x14ac:dyDescent="0.3">
      <c r="A844" t="s">
        <v>17</v>
      </c>
      <c r="B844" t="str">
        <f>"688161"</f>
        <v>688161</v>
      </c>
      <c r="C844" t="s">
        <v>1940</v>
      </c>
      <c r="D844" t="s">
        <v>903</v>
      </c>
      <c r="E844">
        <v>117419231</v>
      </c>
      <c r="F844">
        <v>63620517</v>
      </c>
      <c r="G844">
        <v>71286995</v>
      </c>
      <c r="P844">
        <v>101</v>
      </c>
      <c r="Q844" t="s">
        <v>1941</v>
      </c>
    </row>
    <row r="845" spans="1:17" x14ac:dyDescent="0.3">
      <c r="A845" t="s">
        <v>33</v>
      </c>
      <c r="B845" t="str">
        <f>"002565"</f>
        <v>002565</v>
      </c>
      <c r="C845" t="s">
        <v>1942</v>
      </c>
      <c r="D845" t="s">
        <v>1015</v>
      </c>
      <c r="E845">
        <v>117276755</v>
      </c>
      <c r="F845">
        <v>103206241</v>
      </c>
      <c r="G845">
        <v>-27298101</v>
      </c>
      <c r="H845">
        <v>-16846952</v>
      </c>
      <c r="I845">
        <v>13738795</v>
      </c>
      <c r="J845">
        <v>-45472992</v>
      </c>
      <c r="K845">
        <v>-18958234</v>
      </c>
      <c r="L845">
        <v>-115887598</v>
      </c>
      <c r="M845">
        <v>-20946985</v>
      </c>
      <c r="N845">
        <v>112570730</v>
      </c>
      <c r="O845">
        <v>29326259</v>
      </c>
      <c r="P845">
        <v>107</v>
      </c>
      <c r="Q845" t="s">
        <v>1943</v>
      </c>
    </row>
    <row r="846" spans="1:17" x14ac:dyDescent="0.3">
      <c r="A846" t="s">
        <v>17</v>
      </c>
      <c r="B846" t="str">
        <f>"600182"</f>
        <v>600182</v>
      </c>
      <c r="C846" t="s">
        <v>1944</v>
      </c>
      <c r="D846" t="s">
        <v>1618</v>
      </c>
      <c r="E846">
        <v>116711070</v>
      </c>
      <c r="F846">
        <v>78945713</v>
      </c>
      <c r="G846">
        <v>-153304806</v>
      </c>
      <c r="H846">
        <v>216019357</v>
      </c>
      <c r="I846">
        <v>-212755764</v>
      </c>
      <c r="J846">
        <v>95953244</v>
      </c>
      <c r="K846">
        <v>233230103</v>
      </c>
      <c r="L846">
        <v>22202782</v>
      </c>
      <c r="M846">
        <v>102405870</v>
      </c>
      <c r="N846">
        <v>-82963373</v>
      </c>
      <c r="O846">
        <v>37381158</v>
      </c>
      <c r="P846">
        <v>77</v>
      </c>
      <c r="Q846" t="s">
        <v>1945</v>
      </c>
    </row>
    <row r="847" spans="1:17" x14ac:dyDescent="0.3">
      <c r="A847" t="s">
        <v>33</v>
      </c>
      <c r="B847" t="str">
        <f>"002506"</f>
        <v>002506</v>
      </c>
      <c r="C847" t="s">
        <v>1946</v>
      </c>
      <c r="D847" t="s">
        <v>690</v>
      </c>
      <c r="E847">
        <v>116455839</v>
      </c>
      <c r="F847">
        <v>-250735632</v>
      </c>
      <c r="G847">
        <v>92545015</v>
      </c>
      <c r="H847">
        <v>-298411939</v>
      </c>
      <c r="I847">
        <v>1108227648</v>
      </c>
      <c r="J847">
        <v>-1183851099</v>
      </c>
      <c r="K847">
        <v>-1753425465</v>
      </c>
      <c r="L847">
        <v>-4711948</v>
      </c>
      <c r="M847">
        <v>25183669</v>
      </c>
      <c r="N847">
        <v>-69540158</v>
      </c>
      <c r="O847">
        <v>-613897499</v>
      </c>
      <c r="P847">
        <v>315</v>
      </c>
      <c r="Q847" t="s">
        <v>1947</v>
      </c>
    </row>
    <row r="848" spans="1:17" x14ac:dyDescent="0.3">
      <c r="A848" t="s">
        <v>17</v>
      </c>
      <c r="B848" t="str">
        <f>"603948"</f>
        <v>603948</v>
      </c>
      <c r="C848" t="s">
        <v>1948</v>
      </c>
      <c r="D848" t="s">
        <v>418</v>
      </c>
      <c r="E848">
        <v>115863224</v>
      </c>
      <c r="F848">
        <v>-7418545</v>
      </c>
      <c r="G848">
        <v>8861565</v>
      </c>
      <c r="H848">
        <v>30740936</v>
      </c>
      <c r="P848">
        <v>60</v>
      </c>
      <c r="Q848" t="s">
        <v>1949</v>
      </c>
    </row>
    <row r="849" spans="1:17" x14ac:dyDescent="0.3">
      <c r="A849" t="s">
        <v>17</v>
      </c>
      <c r="B849" t="str">
        <f>"603360"</f>
        <v>603360</v>
      </c>
      <c r="C849" t="s">
        <v>1950</v>
      </c>
      <c r="D849" t="s">
        <v>636</v>
      </c>
      <c r="E849">
        <v>115713254</v>
      </c>
      <c r="F849">
        <v>46857099</v>
      </c>
      <c r="G849">
        <v>79967743</v>
      </c>
      <c r="H849">
        <v>27358318</v>
      </c>
      <c r="I849">
        <v>26469216</v>
      </c>
      <c r="J849">
        <v>23426861</v>
      </c>
      <c r="K849">
        <v>18694202</v>
      </c>
      <c r="P849">
        <v>402</v>
      </c>
      <c r="Q849" t="s">
        <v>1951</v>
      </c>
    </row>
    <row r="850" spans="1:17" x14ac:dyDescent="0.3">
      <c r="A850" t="s">
        <v>33</v>
      </c>
      <c r="B850" t="str">
        <f>"002635"</f>
        <v>002635</v>
      </c>
      <c r="C850" t="s">
        <v>1952</v>
      </c>
      <c r="D850" t="s">
        <v>226</v>
      </c>
      <c r="E850">
        <v>115366808</v>
      </c>
      <c r="F850">
        <v>38167356</v>
      </c>
      <c r="G850">
        <v>136122712</v>
      </c>
      <c r="H850">
        <v>209673478</v>
      </c>
      <c r="I850">
        <v>160480280</v>
      </c>
      <c r="J850">
        <v>113052512</v>
      </c>
      <c r="K850">
        <v>251809379</v>
      </c>
      <c r="L850">
        <v>42386729</v>
      </c>
      <c r="M850">
        <v>29618452</v>
      </c>
      <c r="N850">
        <v>62051945</v>
      </c>
      <c r="O850">
        <v>61241563</v>
      </c>
      <c r="P850">
        <v>513</v>
      </c>
      <c r="Q850" t="s">
        <v>1953</v>
      </c>
    </row>
    <row r="851" spans="1:17" x14ac:dyDescent="0.3">
      <c r="A851" t="s">
        <v>17</v>
      </c>
      <c r="B851" t="str">
        <f>"603303"</f>
        <v>603303</v>
      </c>
      <c r="C851" t="s">
        <v>1954</v>
      </c>
      <c r="D851" t="s">
        <v>1955</v>
      </c>
      <c r="E851">
        <v>114455310</v>
      </c>
      <c r="F851">
        <v>-258766398</v>
      </c>
      <c r="G851">
        <v>6614432</v>
      </c>
      <c r="H851">
        <v>3747354</v>
      </c>
      <c r="I851">
        <v>-13027849</v>
      </c>
      <c r="J851">
        <v>40697789</v>
      </c>
      <c r="K851">
        <v>37023016</v>
      </c>
      <c r="P851">
        <v>180</v>
      </c>
      <c r="Q851" t="s">
        <v>1956</v>
      </c>
    </row>
    <row r="852" spans="1:17" x14ac:dyDescent="0.3">
      <c r="A852" t="s">
        <v>33</v>
      </c>
      <c r="B852" t="str">
        <f>"002662"</f>
        <v>002662</v>
      </c>
      <c r="C852" t="s">
        <v>1957</v>
      </c>
      <c r="D852" t="s">
        <v>200</v>
      </c>
      <c r="E852">
        <v>114423559</v>
      </c>
      <c r="F852">
        <v>128163295</v>
      </c>
      <c r="G852">
        <v>288617181</v>
      </c>
      <c r="H852">
        <v>307298574</v>
      </c>
      <c r="I852">
        <v>-8364241</v>
      </c>
      <c r="J852">
        <v>50471535</v>
      </c>
      <c r="K852">
        <v>108465503</v>
      </c>
      <c r="L852">
        <v>151944277</v>
      </c>
      <c r="M852">
        <v>33499829</v>
      </c>
      <c r="N852">
        <v>-15359959</v>
      </c>
      <c r="O852">
        <v>105986819</v>
      </c>
      <c r="P852">
        <v>140</v>
      </c>
      <c r="Q852" t="s">
        <v>1958</v>
      </c>
    </row>
    <row r="853" spans="1:17" x14ac:dyDescent="0.3">
      <c r="A853" t="s">
        <v>33</v>
      </c>
      <c r="B853" t="str">
        <f>"002636"</f>
        <v>002636</v>
      </c>
      <c r="C853" t="s">
        <v>1959</v>
      </c>
      <c r="D853" t="s">
        <v>239</v>
      </c>
      <c r="E853">
        <v>114347906</v>
      </c>
      <c r="F853">
        <v>138031920</v>
      </c>
      <c r="G853">
        <v>137942267</v>
      </c>
      <c r="H853">
        <v>5214714</v>
      </c>
      <c r="I853">
        <v>167100260</v>
      </c>
      <c r="J853">
        <v>134147078</v>
      </c>
      <c r="K853">
        <v>24291732</v>
      </c>
      <c r="L853">
        <v>24809859</v>
      </c>
      <c r="M853">
        <v>20882816</v>
      </c>
      <c r="N853">
        <v>73479720</v>
      </c>
      <c r="O853">
        <v>64958739</v>
      </c>
      <c r="P853">
        <v>306</v>
      </c>
      <c r="Q853" t="s">
        <v>1960</v>
      </c>
    </row>
    <row r="854" spans="1:17" x14ac:dyDescent="0.3">
      <c r="A854" t="s">
        <v>17</v>
      </c>
      <c r="B854" t="str">
        <f>"603890"</f>
        <v>603890</v>
      </c>
      <c r="C854" t="s">
        <v>1961</v>
      </c>
      <c r="D854" t="s">
        <v>226</v>
      </c>
      <c r="E854">
        <v>114337871</v>
      </c>
      <c r="F854">
        <v>52707756</v>
      </c>
      <c r="G854">
        <v>23101316</v>
      </c>
      <c r="H854">
        <v>53666075</v>
      </c>
      <c r="I854">
        <v>-41413589</v>
      </c>
      <c r="J854">
        <v>71761762</v>
      </c>
      <c r="P854">
        <v>155</v>
      </c>
      <c r="Q854" t="s">
        <v>1962</v>
      </c>
    </row>
    <row r="855" spans="1:17" x14ac:dyDescent="0.3">
      <c r="A855" t="s">
        <v>17</v>
      </c>
      <c r="B855" t="str">
        <f>"603086"</f>
        <v>603086</v>
      </c>
      <c r="C855" t="s">
        <v>1963</v>
      </c>
      <c r="D855" t="s">
        <v>636</v>
      </c>
      <c r="E855">
        <v>113749922</v>
      </c>
      <c r="F855">
        <v>-29821974</v>
      </c>
      <c r="G855">
        <v>-5625279</v>
      </c>
      <c r="H855">
        <v>-86970032</v>
      </c>
      <c r="I855">
        <v>-16910034</v>
      </c>
      <c r="J855">
        <v>-61162772</v>
      </c>
      <c r="K855">
        <v>32088710</v>
      </c>
      <c r="P855">
        <v>124</v>
      </c>
      <c r="Q855" t="s">
        <v>1964</v>
      </c>
    </row>
    <row r="856" spans="1:17" x14ac:dyDescent="0.3">
      <c r="A856" t="s">
        <v>33</v>
      </c>
      <c r="B856" t="str">
        <f>"300771"</f>
        <v>300771</v>
      </c>
      <c r="C856" t="s">
        <v>1965</v>
      </c>
      <c r="D856" t="s">
        <v>1571</v>
      </c>
      <c r="E856">
        <v>113473775</v>
      </c>
      <c r="F856">
        <v>-55714891</v>
      </c>
      <c r="G856">
        <v>119725619</v>
      </c>
      <c r="H856">
        <v>23307056</v>
      </c>
      <c r="I856">
        <v>64521292</v>
      </c>
      <c r="P856">
        <v>229</v>
      </c>
      <c r="Q856" t="s">
        <v>1966</v>
      </c>
    </row>
    <row r="857" spans="1:17" x14ac:dyDescent="0.3">
      <c r="A857" t="s">
        <v>17</v>
      </c>
      <c r="B857" t="str">
        <f>"600277"</f>
        <v>600277</v>
      </c>
      <c r="C857" t="s">
        <v>1967</v>
      </c>
      <c r="D857" t="s">
        <v>496</v>
      </c>
      <c r="E857">
        <v>113418606</v>
      </c>
      <c r="F857">
        <v>617749368</v>
      </c>
      <c r="G857">
        <v>36886627</v>
      </c>
      <c r="H857">
        <v>1222432725</v>
      </c>
      <c r="I857">
        <v>346744649</v>
      </c>
      <c r="J857">
        <v>1250441582</v>
      </c>
      <c r="K857">
        <v>111317388</v>
      </c>
      <c r="L857">
        <v>44723089</v>
      </c>
      <c r="M857">
        <v>92325099</v>
      </c>
      <c r="N857">
        <v>83457257</v>
      </c>
      <c r="O857">
        <v>202634194</v>
      </c>
      <c r="P857">
        <v>187</v>
      </c>
      <c r="Q857" t="s">
        <v>1968</v>
      </c>
    </row>
    <row r="858" spans="1:17" x14ac:dyDescent="0.3">
      <c r="A858" t="s">
        <v>33</v>
      </c>
      <c r="B858" t="str">
        <f>"002605"</f>
        <v>002605</v>
      </c>
      <c r="C858" t="s">
        <v>1969</v>
      </c>
      <c r="D858" t="s">
        <v>751</v>
      </c>
      <c r="E858">
        <v>113265010</v>
      </c>
      <c r="F858">
        <v>184698818</v>
      </c>
      <c r="G858">
        <v>136801283</v>
      </c>
      <c r="H858">
        <v>145564036</v>
      </c>
      <c r="I858">
        <v>11786048</v>
      </c>
      <c r="J858">
        <v>2979535</v>
      </c>
      <c r="K858">
        <v>22237637</v>
      </c>
      <c r="L858">
        <v>64084458</v>
      </c>
      <c r="M858">
        <v>31388656</v>
      </c>
      <c r="N858">
        <v>66118212</v>
      </c>
      <c r="O858">
        <v>61010910</v>
      </c>
      <c r="P858">
        <v>432</v>
      </c>
      <c r="Q858" t="s">
        <v>1970</v>
      </c>
    </row>
    <row r="859" spans="1:17" x14ac:dyDescent="0.3">
      <c r="A859" t="s">
        <v>33</v>
      </c>
      <c r="B859" t="str">
        <f>"300136"</f>
        <v>300136</v>
      </c>
      <c r="C859" t="s">
        <v>1971</v>
      </c>
      <c r="D859" t="s">
        <v>226</v>
      </c>
      <c r="E859">
        <v>113170592</v>
      </c>
      <c r="F859">
        <v>422513480</v>
      </c>
      <c r="G859">
        <v>502698769</v>
      </c>
      <c r="H859">
        <v>40679524</v>
      </c>
      <c r="I859">
        <v>172291519</v>
      </c>
      <c r="J859">
        <v>253901501</v>
      </c>
      <c r="K859">
        <v>74311914</v>
      </c>
      <c r="L859">
        <v>16192193</v>
      </c>
      <c r="M859">
        <v>-7913657</v>
      </c>
      <c r="N859">
        <v>-28747348</v>
      </c>
      <c r="O859">
        <v>-9732239</v>
      </c>
      <c r="P859">
        <v>2618</v>
      </c>
      <c r="Q859" t="s">
        <v>1972</v>
      </c>
    </row>
    <row r="860" spans="1:17" x14ac:dyDescent="0.3">
      <c r="A860" t="s">
        <v>33</v>
      </c>
      <c r="B860" t="str">
        <f>"002343"</f>
        <v>002343</v>
      </c>
      <c r="C860" t="s">
        <v>1973</v>
      </c>
      <c r="D860" t="s">
        <v>314</v>
      </c>
      <c r="E860">
        <v>112683067</v>
      </c>
      <c r="F860">
        <v>-52584991</v>
      </c>
      <c r="G860">
        <v>-45070322</v>
      </c>
      <c r="H860">
        <v>2798176</v>
      </c>
      <c r="I860">
        <v>-50673410</v>
      </c>
      <c r="J860">
        <v>-41131078</v>
      </c>
      <c r="K860">
        <v>-19358229</v>
      </c>
      <c r="L860">
        <v>-31501266</v>
      </c>
      <c r="M860">
        <v>-10111809</v>
      </c>
      <c r="N860">
        <v>13578827</v>
      </c>
      <c r="O860">
        <v>20400083</v>
      </c>
      <c r="P860">
        <v>183</v>
      </c>
      <c r="Q860" t="s">
        <v>1974</v>
      </c>
    </row>
    <row r="861" spans="1:17" x14ac:dyDescent="0.3">
      <c r="A861" t="s">
        <v>33</v>
      </c>
      <c r="B861" t="str">
        <f>"300487"</f>
        <v>300487</v>
      </c>
      <c r="C861" t="s">
        <v>1975</v>
      </c>
      <c r="D861" t="s">
        <v>1817</v>
      </c>
      <c r="E861">
        <v>112166192</v>
      </c>
      <c r="F861">
        <v>53344393</v>
      </c>
      <c r="G861">
        <v>-16325915</v>
      </c>
      <c r="H861">
        <v>-41300013</v>
      </c>
      <c r="I861">
        <v>-18231174</v>
      </c>
      <c r="J861">
        <v>2530664</v>
      </c>
      <c r="K861">
        <v>-9213840</v>
      </c>
      <c r="L861">
        <v>-16064000</v>
      </c>
      <c r="M861">
        <v>-17813700</v>
      </c>
      <c r="P861">
        <v>374</v>
      </c>
      <c r="Q861" t="s">
        <v>1976</v>
      </c>
    </row>
    <row r="862" spans="1:17" x14ac:dyDescent="0.3">
      <c r="A862" t="s">
        <v>33</v>
      </c>
      <c r="B862" t="str">
        <f>"002507"</f>
        <v>002507</v>
      </c>
      <c r="C862" t="s">
        <v>1977</v>
      </c>
      <c r="D862" t="s">
        <v>669</v>
      </c>
      <c r="E862">
        <v>112077467</v>
      </c>
      <c r="F862">
        <v>-25721051</v>
      </c>
      <c r="G862">
        <v>276495494</v>
      </c>
      <c r="H862">
        <v>4085992</v>
      </c>
      <c r="I862">
        <v>-49273612</v>
      </c>
      <c r="J862">
        <v>67626081</v>
      </c>
      <c r="K862">
        <v>43094965</v>
      </c>
      <c r="L862">
        <v>20720767</v>
      </c>
      <c r="M862">
        <v>-44054934</v>
      </c>
      <c r="N862">
        <v>16540566</v>
      </c>
      <c r="O862">
        <v>6943384</v>
      </c>
      <c r="P862">
        <v>4502</v>
      </c>
      <c r="Q862" t="s">
        <v>1978</v>
      </c>
    </row>
    <row r="863" spans="1:17" x14ac:dyDescent="0.3">
      <c r="A863" t="s">
        <v>33</v>
      </c>
      <c r="B863" t="str">
        <f>"002284"</f>
        <v>002284</v>
      </c>
      <c r="C863" t="s">
        <v>1979</v>
      </c>
      <c r="D863" t="s">
        <v>858</v>
      </c>
      <c r="E863">
        <v>111966271</v>
      </c>
      <c r="F863">
        <v>155023928</v>
      </c>
      <c r="G863">
        <v>120650084</v>
      </c>
      <c r="H863">
        <v>-54103567</v>
      </c>
      <c r="I863">
        <v>-57818253</v>
      </c>
      <c r="J863">
        <v>-222891082</v>
      </c>
      <c r="K863">
        <v>-58021141</v>
      </c>
      <c r="L863">
        <v>8774104</v>
      </c>
      <c r="M863">
        <v>85739973</v>
      </c>
      <c r="N863">
        <v>1432160</v>
      </c>
      <c r="O863">
        <v>-70674241</v>
      </c>
      <c r="P863">
        <v>197</v>
      </c>
      <c r="Q863" t="s">
        <v>1980</v>
      </c>
    </row>
    <row r="864" spans="1:17" x14ac:dyDescent="0.3">
      <c r="A864" t="s">
        <v>17</v>
      </c>
      <c r="B864" t="str">
        <f>"600597"</f>
        <v>600597</v>
      </c>
      <c r="C864" t="s">
        <v>1981</v>
      </c>
      <c r="D864" t="s">
        <v>918</v>
      </c>
      <c r="E864">
        <v>111850305</v>
      </c>
      <c r="F864">
        <v>-182119665</v>
      </c>
      <c r="G864">
        <v>-476690878</v>
      </c>
      <c r="H864">
        <v>245907469</v>
      </c>
      <c r="I864">
        <v>318790925</v>
      </c>
      <c r="J864">
        <v>-374223062</v>
      </c>
      <c r="K864">
        <v>296680021</v>
      </c>
      <c r="L864">
        <v>91677711</v>
      </c>
      <c r="M864">
        <v>-769218315</v>
      </c>
      <c r="N864">
        <v>-62273640</v>
      </c>
      <c r="O864">
        <v>137786971</v>
      </c>
      <c r="P864">
        <v>1247</v>
      </c>
      <c r="Q864" t="s">
        <v>1982</v>
      </c>
    </row>
    <row r="865" spans="1:17" x14ac:dyDescent="0.3">
      <c r="A865" t="s">
        <v>17</v>
      </c>
      <c r="B865" t="str">
        <f>"603738"</f>
        <v>603738</v>
      </c>
      <c r="C865" t="s">
        <v>1983</v>
      </c>
      <c r="D865" t="s">
        <v>869</v>
      </c>
      <c r="E865">
        <v>111511264</v>
      </c>
      <c r="F865">
        <v>33534110</v>
      </c>
      <c r="G865">
        <v>16118904</v>
      </c>
      <c r="H865">
        <v>24139432</v>
      </c>
      <c r="I865">
        <v>-17252897</v>
      </c>
      <c r="J865">
        <v>10892974</v>
      </c>
      <c r="K865">
        <v>1389637</v>
      </c>
      <c r="P865">
        <v>246</v>
      </c>
      <c r="Q865" t="s">
        <v>1984</v>
      </c>
    </row>
    <row r="866" spans="1:17" x14ac:dyDescent="0.3">
      <c r="A866" t="s">
        <v>17</v>
      </c>
      <c r="B866" t="str">
        <f>"600103"</f>
        <v>600103</v>
      </c>
      <c r="C866" t="s">
        <v>1985</v>
      </c>
      <c r="D866" t="s">
        <v>1119</v>
      </c>
      <c r="E866">
        <v>111463717</v>
      </c>
      <c r="F866">
        <v>99851602</v>
      </c>
      <c r="G866">
        <v>-75471595</v>
      </c>
      <c r="H866">
        <v>48438890</v>
      </c>
      <c r="I866">
        <v>188345494</v>
      </c>
      <c r="J866">
        <v>-122486943</v>
      </c>
      <c r="K866">
        <v>86634421</v>
      </c>
      <c r="L866">
        <v>-55591663</v>
      </c>
      <c r="M866">
        <v>58057167</v>
      </c>
      <c r="N866">
        <v>-22763102</v>
      </c>
      <c r="O866">
        <v>-102893699</v>
      </c>
      <c r="P866">
        <v>138</v>
      </c>
      <c r="Q866" t="s">
        <v>1986</v>
      </c>
    </row>
    <row r="867" spans="1:17" x14ac:dyDescent="0.3">
      <c r="A867" t="s">
        <v>33</v>
      </c>
      <c r="B867" t="str">
        <f>"000669"</f>
        <v>000669</v>
      </c>
      <c r="C867" t="s">
        <v>1987</v>
      </c>
      <c r="D867" t="s">
        <v>649</v>
      </c>
      <c r="E867">
        <v>111314305</v>
      </c>
      <c r="F867">
        <v>128407400</v>
      </c>
      <c r="G867">
        <v>336067937</v>
      </c>
      <c r="H867">
        <v>137290471</v>
      </c>
      <c r="I867">
        <v>262871611</v>
      </c>
      <c r="J867">
        <v>83939189</v>
      </c>
      <c r="K867">
        <v>69669760</v>
      </c>
      <c r="L867">
        <v>87756344</v>
      </c>
      <c r="M867">
        <v>65425205</v>
      </c>
      <c r="N867">
        <v>93606890</v>
      </c>
      <c r="O867">
        <v>50855894</v>
      </c>
      <c r="P867">
        <v>83</v>
      </c>
      <c r="Q867" t="s">
        <v>1988</v>
      </c>
    </row>
    <row r="868" spans="1:17" x14ac:dyDescent="0.3">
      <c r="A868" t="s">
        <v>17</v>
      </c>
      <c r="B868" t="str">
        <f>"600313"</f>
        <v>600313</v>
      </c>
      <c r="C868" t="s">
        <v>1989</v>
      </c>
      <c r="D868" t="s">
        <v>1990</v>
      </c>
      <c r="E868">
        <v>110956030</v>
      </c>
      <c r="F868">
        <v>-3339987</v>
      </c>
      <c r="G868">
        <v>29568096</v>
      </c>
      <c r="H868">
        <v>9982701</v>
      </c>
      <c r="I868">
        <v>125377681</v>
      </c>
      <c r="J868">
        <v>-80346166</v>
      </c>
      <c r="K868">
        <v>-13674015</v>
      </c>
      <c r="L868">
        <v>-24231969</v>
      </c>
      <c r="M868">
        <v>-183139977</v>
      </c>
      <c r="N868">
        <v>-12937556</v>
      </c>
      <c r="O868">
        <v>34325719</v>
      </c>
      <c r="P868">
        <v>173</v>
      </c>
      <c r="Q868" t="s">
        <v>1991</v>
      </c>
    </row>
    <row r="869" spans="1:17" x14ac:dyDescent="0.3">
      <c r="A869" t="s">
        <v>17</v>
      </c>
      <c r="B869" t="str">
        <f>"603613"</f>
        <v>603613</v>
      </c>
      <c r="C869" t="s">
        <v>1992</v>
      </c>
      <c r="D869" t="s">
        <v>430</v>
      </c>
      <c r="E869">
        <v>110887464</v>
      </c>
      <c r="F869">
        <v>103310040</v>
      </c>
      <c r="G869">
        <v>39593356</v>
      </c>
      <c r="H869">
        <v>-139220800</v>
      </c>
      <c r="I869">
        <v>-145984100</v>
      </c>
      <c r="P869">
        <v>827</v>
      </c>
      <c r="Q869" t="s">
        <v>1993</v>
      </c>
    </row>
    <row r="870" spans="1:17" x14ac:dyDescent="0.3">
      <c r="A870" t="s">
        <v>17</v>
      </c>
      <c r="B870" t="str">
        <f>"603318"</f>
        <v>603318</v>
      </c>
      <c r="C870" t="s">
        <v>1994</v>
      </c>
      <c r="D870" t="s">
        <v>649</v>
      </c>
      <c r="E870">
        <v>110700109</v>
      </c>
      <c r="F870">
        <v>80112171</v>
      </c>
      <c r="G870">
        <v>413259</v>
      </c>
      <c r="H870">
        <v>33420748</v>
      </c>
      <c r="I870">
        <v>-24961554</v>
      </c>
      <c r="J870">
        <v>-9515884</v>
      </c>
      <c r="K870">
        <v>-25537095</v>
      </c>
      <c r="L870">
        <v>-99108981</v>
      </c>
      <c r="M870">
        <v>-86835523</v>
      </c>
      <c r="P870">
        <v>63</v>
      </c>
      <c r="Q870" t="s">
        <v>1995</v>
      </c>
    </row>
    <row r="871" spans="1:17" x14ac:dyDescent="0.3">
      <c r="A871" t="s">
        <v>33</v>
      </c>
      <c r="B871" t="str">
        <f>"300381"</f>
        <v>300381</v>
      </c>
      <c r="C871" t="s">
        <v>1996</v>
      </c>
      <c r="D871" t="s">
        <v>941</v>
      </c>
      <c r="E871">
        <v>110618734</v>
      </c>
      <c r="F871">
        <v>60953892</v>
      </c>
      <c r="G871">
        <v>29369882</v>
      </c>
      <c r="H871">
        <v>-6021009</v>
      </c>
      <c r="I871">
        <v>-4824357</v>
      </c>
      <c r="J871">
        <v>14225667</v>
      </c>
      <c r="K871">
        <v>-60117643</v>
      </c>
      <c r="L871">
        <v>-33016261</v>
      </c>
      <c r="M871">
        <v>-20447878</v>
      </c>
      <c r="N871">
        <v>-1406790</v>
      </c>
      <c r="P871">
        <v>160</v>
      </c>
      <c r="Q871" t="s">
        <v>1997</v>
      </c>
    </row>
    <row r="872" spans="1:17" x14ac:dyDescent="0.3">
      <c r="A872" t="s">
        <v>17</v>
      </c>
      <c r="B872" t="str">
        <f>"603222"</f>
        <v>603222</v>
      </c>
      <c r="C872" t="s">
        <v>1998</v>
      </c>
      <c r="D872" t="s">
        <v>903</v>
      </c>
      <c r="E872">
        <v>110443572</v>
      </c>
      <c r="F872">
        <v>24230153</v>
      </c>
      <c r="G872">
        <v>-4667292</v>
      </c>
      <c r="H872">
        <v>5775207</v>
      </c>
      <c r="I872">
        <v>-47135</v>
      </c>
      <c r="J872">
        <v>-9508695</v>
      </c>
      <c r="K872">
        <v>-3464933</v>
      </c>
      <c r="L872">
        <v>517350</v>
      </c>
      <c r="M872">
        <v>-11313696</v>
      </c>
      <c r="P872">
        <v>171</v>
      </c>
      <c r="Q872" t="s">
        <v>1999</v>
      </c>
    </row>
    <row r="873" spans="1:17" x14ac:dyDescent="0.3">
      <c r="A873" t="s">
        <v>33</v>
      </c>
      <c r="B873" t="str">
        <f>"002606"</f>
        <v>002606</v>
      </c>
      <c r="C873" t="s">
        <v>2000</v>
      </c>
      <c r="D873" t="s">
        <v>1282</v>
      </c>
      <c r="E873">
        <v>110284622</v>
      </c>
      <c r="F873">
        <v>64207462</v>
      </c>
      <c r="G873">
        <v>50382885</v>
      </c>
      <c r="H873">
        <v>-38207811</v>
      </c>
      <c r="I873">
        <v>58832938</v>
      </c>
      <c r="J873">
        <v>60373222</v>
      </c>
      <c r="K873">
        <v>-6621208</v>
      </c>
      <c r="L873">
        <v>67618497</v>
      </c>
      <c r="M873">
        <v>49547197</v>
      </c>
      <c r="N873">
        <v>-56394465</v>
      </c>
      <c r="O873">
        <v>1158115</v>
      </c>
      <c r="P873">
        <v>160</v>
      </c>
      <c r="Q873" t="s">
        <v>2001</v>
      </c>
    </row>
    <row r="874" spans="1:17" x14ac:dyDescent="0.3">
      <c r="A874" t="s">
        <v>33</v>
      </c>
      <c r="B874" t="str">
        <f>"300873"</f>
        <v>300873</v>
      </c>
      <c r="C874" t="s">
        <v>2002</v>
      </c>
      <c r="D874" t="s">
        <v>1010</v>
      </c>
      <c r="E874">
        <v>109936981</v>
      </c>
      <c r="F874">
        <v>81496541</v>
      </c>
      <c r="G874">
        <v>18019927</v>
      </c>
      <c r="P874">
        <v>88</v>
      </c>
      <c r="Q874" t="s">
        <v>2003</v>
      </c>
    </row>
    <row r="875" spans="1:17" x14ac:dyDescent="0.3">
      <c r="A875" t="s">
        <v>33</v>
      </c>
      <c r="B875" t="str">
        <f>"002946"</f>
        <v>002946</v>
      </c>
      <c r="C875" t="s">
        <v>2004</v>
      </c>
      <c r="D875" t="s">
        <v>918</v>
      </c>
      <c r="E875">
        <v>109905839</v>
      </c>
      <c r="F875">
        <v>170804818</v>
      </c>
      <c r="G875">
        <v>-159644093</v>
      </c>
      <c r="H875">
        <v>45562520</v>
      </c>
      <c r="I875">
        <v>49776885</v>
      </c>
      <c r="P875">
        <v>342</v>
      </c>
      <c r="Q875" t="s">
        <v>2005</v>
      </c>
    </row>
    <row r="876" spans="1:17" x14ac:dyDescent="0.3">
      <c r="A876" t="s">
        <v>17</v>
      </c>
      <c r="B876" t="str">
        <f>"600674"</f>
        <v>600674</v>
      </c>
      <c r="C876" t="s">
        <v>2006</v>
      </c>
      <c r="D876" t="s">
        <v>205</v>
      </c>
      <c r="E876">
        <v>109843810</v>
      </c>
      <c r="F876">
        <v>30609317</v>
      </c>
      <c r="G876">
        <v>107041317</v>
      </c>
      <c r="H876">
        <v>118525022</v>
      </c>
      <c r="I876">
        <v>184348302</v>
      </c>
      <c r="J876">
        <v>156537146</v>
      </c>
      <c r="K876">
        <v>163299009</v>
      </c>
      <c r="L876">
        <v>262440808</v>
      </c>
      <c r="M876">
        <v>121904314</v>
      </c>
      <c r="N876">
        <v>206876913</v>
      </c>
      <c r="O876">
        <v>122053490</v>
      </c>
      <c r="P876">
        <v>1531</v>
      </c>
      <c r="Q876" t="s">
        <v>2007</v>
      </c>
    </row>
    <row r="877" spans="1:17" x14ac:dyDescent="0.3">
      <c r="A877" t="s">
        <v>33</v>
      </c>
      <c r="B877" t="str">
        <f>"002866"</f>
        <v>002866</v>
      </c>
      <c r="C877" t="s">
        <v>2008</v>
      </c>
      <c r="D877" t="s">
        <v>226</v>
      </c>
      <c r="E877">
        <v>109755942</v>
      </c>
      <c r="F877">
        <v>74691390</v>
      </c>
      <c r="G877">
        <v>46281073</v>
      </c>
      <c r="H877">
        <v>4276319</v>
      </c>
      <c r="I877">
        <v>31421497</v>
      </c>
      <c r="J877">
        <v>62681351</v>
      </c>
      <c r="K877">
        <v>8710490</v>
      </c>
      <c r="P877">
        <v>161</v>
      </c>
      <c r="Q877" t="s">
        <v>2009</v>
      </c>
    </row>
    <row r="878" spans="1:17" x14ac:dyDescent="0.3">
      <c r="A878" t="s">
        <v>33</v>
      </c>
      <c r="B878" t="str">
        <f>"002661"</f>
        <v>002661</v>
      </c>
      <c r="C878" t="s">
        <v>2010</v>
      </c>
      <c r="D878" t="s">
        <v>1820</v>
      </c>
      <c r="E878">
        <v>109685713</v>
      </c>
      <c r="F878">
        <v>216810342</v>
      </c>
      <c r="G878">
        <v>252773167</v>
      </c>
      <c r="H878">
        <v>240774979</v>
      </c>
      <c r="I878">
        <v>256901206</v>
      </c>
      <c r="J878">
        <v>18544802</v>
      </c>
      <c r="K878">
        <v>38960416</v>
      </c>
      <c r="L878">
        <v>34053585</v>
      </c>
      <c r="M878">
        <v>17545116</v>
      </c>
      <c r="N878">
        <v>-6807105</v>
      </c>
      <c r="O878">
        <v>16722398</v>
      </c>
      <c r="P878">
        <v>511</v>
      </c>
      <c r="Q878" t="s">
        <v>2011</v>
      </c>
    </row>
    <row r="879" spans="1:17" x14ac:dyDescent="0.3">
      <c r="A879" t="s">
        <v>33</v>
      </c>
      <c r="B879" t="str">
        <f>"002405"</f>
        <v>002405</v>
      </c>
      <c r="C879" t="s">
        <v>2012</v>
      </c>
      <c r="D879" t="s">
        <v>807</v>
      </c>
      <c r="E879">
        <v>108764301</v>
      </c>
      <c r="F879">
        <v>-178433427</v>
      </c>
      <c r="G879">
        <v>6627918</v>
      </c>
      <c r="H879">
        <v>5996780</v>
      </c>
      <c r="I879">
        <v>229420471</v>
      </c>
      <c r="J879">
        <v>-12102875</v>
      </c>
      <c r="K879">
        <v>46044880</v>
      </c>
      <c r="L879">
        <v>17661937</v>
      </c>
      <c r="M879">
        <v>-18308368</v>
      </c>
      <c r="N879">
        <v>42578331</v>
      </c>
      <c r="O879">
        <v>28547769</v>
      </c>
      <c r="P879">
        <v>3861</v>
      </c>
      <c r="Q879" t="s">
        <v>2013</v>
      </c>
    </row>
    <row r="880" spans="1:17" x14ac:dyDescent="0.3">
      <c r="A880" t="s">
        <v>33</v>
      </c>
      <c r="B880" t="str">
        <f>"002626"</f>
        <v>002626</v>
      </c>
      <c r="C880" t="s">
        <v>2014</v>
      </c>
      <c r="D880" t="s">
        <v>1772</v>
      </c>
      <c r="E880">
        <v>108367740</v>
      </c>
      <c r="F880">
        <v>154337232</v>
      </c>
      <c r="G880">
        <v>173029228</v>
      </c>
      <c r="H880">
        <v>197455898</v>
      </c>
      <c r="I880">
        <v>202129688</v>
      </c>
      <c r="J880">
        <v>37285874</v>
      </c>
      <c r="K880">
        <v>44327027</v>
      </c>
      <c r="L880">
        <v>-9135923</v>
      </c>
      <c r="M880">
        <v>10301207</v>
      </c>
      <c r="N880">
        <v>20042728</v>
      </c>
      <c r="O880">
        <v>24808689</v>
      </c>
      <c r="P880">
        <v>1113</v>
      </c>
      <c r="Q880" t="s">
        <v>2015</v>
      </c>
    </row>
    <row r="881" spans="1:17" x14ac:dyDescent="0.3">
      <c r="A881" t="s">
        <v>33</v>
      </c>
      <c r="B881" t="str">
        <f>"002273"</f>
        <v>002273</v>
      </c>
      <c r="C881" t="s">
        <v>2016</v>
      </c>
      <c r="D881" t="s">
        <v>2017</v>
      </c>
      <c r="E881">
        <v>108181667</v>
      </c>
      <c r="F881">
        <v>191876576</v>
      </c>
      <c r="G881">
        <v>109083843</v>
      </c>
      <c r="H881">
        <v>52788038</v>
      </c>
      <c r="I881">
        <v>61380277</v>
      </c>
      <c r="J881">
        <v>102747343</v>
      </c>
      <c r="K881">
        <v>21577558</v>
      </c>
      <c r="L881">
        <v>12123356</v>
      </c>
      <c r="M881">
        <v>1262195</v>
      </c>
      <c r="N881">
        <v>15183582</v>
      </c>
      <c r="O881">
        <v>2720746</v>
      </c>
      <c r="P881">
        <v>949</v>
      </c>
      <c r="Q881" t="s">
        <v>2018</v>
      </c>
    </row>
    <row r="882" spans="1:17" x14ac:dyDescent="0.3">
      <c r="A882" t="s">
        <v>33</v>
      </c>
      <c r="B882" t="str">
        <f>"002558"</f>
        <v>002558</v>
      </c>
      <c r="C882" t="s">
        <v>2019</v>
      </c>
      <c r="D882" t="s">
        <v>751</v>
      </c>
      <c r="E882">
        <v>108148800</v>
      </c>
      <c r="F882">
        <v>97935641</v>
      </c>
      <c r="G882">
        <v>213435264</v>
      </c>
      <c r="H882">
        <v>438568266</v>
      </c>
      <c r="I882">
        <v>-351690509</v>
      </c>
      <c r="J882">
        <v>483758117</v>
      </c>
      <c r="K882">
        <v>3374505</v>
      </c>
      <c r="L882">
        <v>-17550425</v>
      </c>
      <c r="M882">
        <v>-12903616</v>
      </c>
      <c r="N882">
        <v>-15274138</v>
      </c>
      <c r="O882">
        <v>-1925582</v>
      </c>
      <c r="P882">
        <v>458</v>
      </c>
      <c r="Q882" t="s">
        <v>2020</v>
      </c>
    </row>
    <row r="883" spans="1:17" x14ac:dyDescent="0.3">
      <c r="A883" t="s">
        <v>33</v>
      </c>
      <c r="B883" t="str">
        <f>"300657"</f>
        <v>300657</v>
      </c>
      <c r="C883" t="s">
        <v>2021</v>
      </c>
      <c r="D883" t="s">
        <v>239</v>
      </c>
      <c r="E883">
        <v>108098622</v>
      </c>
      <c r="F883">
        <v>-108049689</v>
      </c>
      <c r="G883">
        <v>25354773</v>
      </c>
      <c r="H883">
        <v>-66040134</v>
      </c>
      <c r="I883">
        <v>-40883170</v>
      </c>
      <c r="J883">
        <v>26758883</v>
      </c>
      <c r="K883">
        <v>1027034</v>
      </c>
      <c r="P883">
        <v>257</v>
      </c>
      <c r="Q883" t="s">
        <v>2022</v>
      </c>
    </row>
    <row r="884" spans="1:17" x14ac:dyDescent="0.3">
      <c r="A884" t="s">
        <v>17</v>
      </c>
      <c r="B884" t="str">
        <f>"600778"</f>
        <v>600778</v>
      </c>
      <c r="C884" t="s">
        <v>2023</v>
      </c>
      <c r="D884" t="s">
        <v>526</v>
      </c>
      <c r="E884">
        <v>107689062</v>
      </c>
      <c r="F884">
        <v>178824382</v>
      </c>
      <c r="G884">
        <v>40897778</v>
      </c>
      <c r="H884">
        <v>-95514552</v>
      </c>
      <c r="I884">
        <v>35118642</v>
      </c>
      <c r="J884">
        <v>-180114160</v>
      </c>
      <c r="K884">
        <v>-57824231</v>
      </c>
      <c r="L884">
        <v>-1539300</v>
      </c>
      <c r="M884">
        <v>43276867</v>
      </c>
      <c r="N884">
        <v>438307720</v>
      </c>
      <c r="O884">
        <v>-205241800</v>
      </c>
      <c r="P884">
        <v>82</v>
      </c>
      <c r="Q884" t="s">
        <v>2024</v>
      </c>
    </row>
    <row r="885" spans="1:17" x14ac:dyDescent="0.3">
      <c r="A885" t="s">
        <v>33</v>
      </c>
      <c r="B885" t="str">
        <f>"002716"</f>
        <v>002716</v>
      </c>
      <c r="C885" t="s">
        <v>2025</v>
      </c>
      <c r="D885" t="s">
        <v>2026</v>
      </c>
      <c r="E885">
        <v>107429510</v>
      </c>
      <c r="F885">
        <v>-45175578</v>
      </c>
      <c r="G885">
        <v>-137834307</v>
      </c>
      <c r="H885">
        <v>66143585</v>
      </c>
      <c r="I885">
        <v>56585303</v>
      </c>
      <c r="J885">
        <v>271347841</v>
      </c>
      <c r="K885">
        <v>152084162</v>
      </c>
      <c r="L885">
        <v>192646379</v>
      </c>
      <c r="M885">
        <v>34325912</v>
      </c>
      <c r="N885">
        <v>159767622</v>
      </c>
      <c r="P885">
        <v>129</v>
      </c>
      <c r="Q885" t="s">
        <v>2027</v>
      </c>
    </row>
    <row r="886" spans="1:17" x14ac:dyDescent="0.3">
      <c r="A886" t="s">
        <v>17</v>
      </c>
      <c r="B886" t="str">
        <f>"600884"</f>
        <v>600884</v>
      </c>
      <c r="C886" t="s">
        <v>2028</v>
      </c>
      <c r="D886" t="s">
        <v>795</v>
      </c>
      <c r="E886">
        <v>107359328</v>
      </c>
      <c r="F886">
        <v>-1028518945</v>
      </c>
      <c r="G886">
        <v>-94581509</v>
      </c>
      <c r="H886">
        <v>-413508435</v>
      </c>
      <c r="I886">
        <v>-424294336</v>
      </c>
      <c r="J886">
        <v>-336799102</v>
      </c>
      <c r="K886">
        <v>-197367388</v>
      </c>
      <c r="L886">
        <v>-3860996</v>
      </c>
      <c r="M886">
        <v>-105466906</v>
      </c>
      <c r="N886">
        <v>16301852</v>
      </c>
      <c r="O886">
        <v>14129565</v>
      </c>
      <c r="P886">
        <v>758</v>
      </c>
      <c r="Q886" t="s">
        <v>2029</v>
      </c>
    </row>
    <row r="887" spans="1:17" x14ac:dyDescent="0.3">
      <c r="A887" t="s">
        <v>17</v>
      </c>
      <c r="B887" t="str">
        <f>"603161"</f>
        <v>603161</v>
      </c>
      <c r="C887" t="s">
        <v>2030</v>
      </c>
      <c r="D887" t="s">
        <v>858</v>
      </c>
      <c r="E887">
        <v>106908606</v>
      </c>
      <c r="F887">
        <v>26136433</v>
      </c>
      <c r="G887">
        <v>218072971</v>
      </c>
      <c r="H887">
        <v>141305496</v>
      </c>
      <c r="I887">
        <v>11163912</v>
      </c>
      <c r="J887">
        <v>26229305</v>
      </c>
      <c r="P887">
        <v>81</v>
      </c>
      <c r="Q887" t="s">
        <v>2031</v>
      </c>
    </row>
    <row r="888" spans="1:17" x14ac:dyDescent="0.3">
      <c r="A888" t="s">
        <v>17</v>
      </c>
      <c r="B888" t="str">
        <f>"603733"</f>
        <v>603733</v>
      </c>
      <c r="C888" t="s">
        <v>2032</v>
      </c>
      <c r="D888" t="s">
        <v>1119</v>
      </c>
      <c r="E888">
        <v>106898217</v>
      </c>
      <c r="F888">
        <v>108735099</v>
      </c>
      <c r="G888">
        <v>-53225179</v>
      </c>
      <c r="H888">
        <v>27763435</v>
      </c>
      <c r="I888">
        <v>-95308275</v>
      </c>
      <c r="J888">
        <v>-134503913</v>
      </c>
      <c r="P888">
        <v>233</v>
      </c>
      <c r="Q888" t="s">
        <v>2033</v>
      </c>
    </row>
    <row r="889" spans="1:17" x14ac:dyDescent="0.3">
      <c r="A889" t="s">
        <v>17</v>
      </c>
      <c r="B889" t="str">
        <f>"688526"</f>
        <v>688526</v>
      </c>
      <c r="C889" t="s">
        <v>2034</v>
      </c>
      <c r="D889" t="s">
        <v>2035</v>
      </c>
      <c r="E889">
        <v>106372714</v>
      </c>
      <c r="F889">
        <v>249064874</v>
      </c>
      <c r="G889">
        <v>103178084</v>
      </c>
      <c r="P889">
        <v>147</v>
      </c>
      <c r="Q889" t="s">
        <v>2036</v>
      </c>
    </row>
    <row r="890" spans="1:17" x14ac:dyDescent="0.3">
      <c r="A890" t="s">
        <v>17</v>
      </c>
      <c r="B890" t="str">
        <f>"603067"</f>
        <v>603067</v>
      </c>
      <c r="C890" t="s">
        <v>2037</v>
      </c>
      <c r="D890" t="s">
        <v>511</v>
      </c>
      <c r="E890">
        <v>106318989</v>
      </c>
      <c r="F890">
        <v>-45079372</v>
      </c>
      <c r="G890">
        <v>-37031563</v>
      </c>
      <c r="H890">
        <v>8875885</v>
      </c>
      <c r="I890">
        <v>-52227557</v>
      </c>
      <c r="J890">
        <v>-74043588</v>
      </c>
      <c r="K890">
        <v>27099220</v>
      </c>
      <c r="P890">
        <v>136</v>
      </c>
      <c r="Q890" t="s">
        <v>2038</v>
      </c>
    </row>
    <row r="891" spans="1:17" x14ac:dyDescent="0.3">
      <c r="A891" t="s">
        <v>33</v>
      </c>
      <c r="B891" t="str">
        <f>"300295"</f>
        <v>300295</v>
      </c>
      <c r="C891" t="s">
        <v>2039</v>
      </c>
      <c r="D891" t="s">
        <v>2040</v>
      </c>
      <c r="E891">
        <v>106205511</v>
      </c>
      <c r="F891">
        <v>66705076</v>
      </c>
      <c r="G891">
        <v>-37952297</v>
      </c>
      <c r="H891">
        <v>333559375</v>
      </c>
      <c r="I891">
        <v>153014525</v>
      </c>
      <c r="J891">
        <v>-79804038</v>
      </c>
      <c r="K891">
        <v>3476618</v>
      </c>
      <c r="L891">
        <v>-27507062</v>
      </c>
      <c r="M891">
        <v>17881102</v>
      </c>
      <c r="N891">
        <v>4746677</v>
      </c>
      <c r="O891">
        <v>14457024</v>
      </c>
      <c r="P891">
        <v>100</v>
      </c>
      <c r="Q891" t="s">
        <v>2041</v>
      </c>
    </row>
    <row r="892" spans="1:17" x14ac:dyDescent="0.3">
      <c r="A892" t="s">
        <v>17</v>
      </c>
      <c r="B892" t="str">
        <f>"600258"</f>
        <v>600258</v>
      </c>
      <c r="C892" t="s">
        <v>2042</v>
      </c>
      <c r="D892" t="s">
        <v>2043</v>
      </c>
      <c r="E892">
        <v>105877832</v>
      </c>
      <c r="F892">
        <v>200199828</v>
      </c>
      <c r="G892">
        <v>-516424226</v>
      </c>
      <c r="H892">
        <v>158059787</v>
      </c>
      <c r="I892">
        <v>222149233</v>
      </c>
      <c r="J892">
        <v>236093211</v>
      </c>
      <c r="K892">
        <v>84350732</v>
      </c>
      <c r="L892">
        <v>43895592</v>
      </c>
      <c r="M892">
        <v>61627181</v>
      </c>
      <c r="N892">
        <v>64456230</v>
      </c>
      <c r="O892">
        <v>82967672</v>
      </c>
      <c r="P892">
        <v>514</v>
      </c>
      <c r="Q892" t="s">
        <v>2044</v>
      </c>
    </row>
    <row r="893" spans="1:17" x14ac:dyDescent="0.3">
      <c r="A893" t="s">
        <v>33</v>
      </c>
      <c r="B893" t="str">
        <f>"002702"</f>
        <v>002702</v>
      </c>
      <c r="C893" t="s">
        <v>2045</v>
      </c>
      <c r="D893" t="s">
        <v>886</v>
      </c>
      <c r="E893">
        <v>105809022</v>
      </c>
      <c r="F893">
        <v>27757746</v>
      </c>
      <c r="G893">
        <v>16524182</v>
      </c>
      <c r="H893">
        <v>25575176</v>
      </c>
      <c r="I893">
        <v>87126520</v>
      </c>
      <c r="J893">
        <v>14061411</v>
      </c>
      <c r="K893">
        <v>93988505</v>
      </c>
      <c r="L893">
        <v>37843710</v>
      </c>
      <c r="M893">
        <v>14221984</v>
      </c>
      <c r="N893">
        <v>21235342</v>
      </c>
      <c r="O893">
        <v>54689473</v>
      </c>
      <c r="P893">
        <v>186</v>
      </c>
      <c r="Q893" t="s">
        <v>2046</v>
      </c>
    </row>
    <row r="894" spans="1:17" x14ac:dyDescent="0.3">
      <c r="A894" t="s">
        <v>17</v>
      </c>
      <c r="B894" t="str">
        <f>"601975"</f>
        <v>601975</v>
      </c>
      <c r="C894" t="s">
        <v>2047</v>
      </c>
      <c r="D894" t="s">
        <v>55</v>
      </c>
      <c r="E894">
        <v>105667478</v>
      </c>
      <c r="F894">
        <v>177079598</v>
      </c>
      <c r="G894">
        <v>621695074</v>
      </c>
      <c r="H894">
        <v>198635245</v>
      </c>
      <c r="I894">
        <v>199356636</v>
      </c>
      <c r="M894">
        <v>181988662</v>
      </c>
      <c r="N894">
        <v>315000579</v>
      </c>
      <c r="O894">
        <v>-40170925</v>
      </c>
      <c r="P894">
        <v>270</v>
      </c>
      <c r="Q894" t="s">
        <v>2048</v>
      </c>
    </row>
    <row r="895" spans="1:17" x14ac:dyDescent="0.3">
      <c r="A895" t="s">
        <v>17</v>
      </c>
      <c r="B895" t="str">
        <f>"601163"</f>
        <v>601163</v>
      </c>
      <c r="C895" t="s">
        <v>2049</v>
      </c>
      <c r="D895" t="s">
        <v>1618</v>
      </c>
      <c r="E895">
        <v>105628507</v>
      </c>
      <c r="F895">
        <v>48990626</v>
      </c>
      <c r="G895">
        <v>278383344</v>
      </c>
      <c r="H895">
        <v>89889666</v>
      </c>
      <c r="I895">
        <v>24340297</v>
      </c>
      <c r="J895">
        <v>-509790342</v>
      </c>
      <c r="K895">
        <v>290603771</v>
      </c>
      <c r="P895">
        <v>224</v>
      </c>
      <c r="Q895" t="s">
        <v>2050</v>
      </c>
    </row>
    <row r="896" spans="1:17" x14ac:dyDescent="0.3">
      <c r="A896" t="s">
        <v>17</v>
      </c>
      <c r="B896" t="str">
        <f>"600393"</f>
        <v>600393</v>
      </c>
      <c r="C896" t="s">
        <v>2051</v>
      </c>
      <c r="D896" t="s">
        <v>167</v>
      </c>
      <c r="E896">
        <v>105570940</v>
      </c>
      <c r="F896">
        <v>72845058</v>
      </c>
      <c r="G896">
        <v>2417434896</v>
      </c>
      <c r="H896">
        <v>329894567</v>
      </c>
      <c r="I896">
        <v>119038234</v>
      </c>
      <c r="J896">
        <v>1012747158</v>
      </c>
      <c r="K896">
        <v>-324951328</v>
      </c>
      <c r="L896">
        <v>-86543915</v>
      </c>
      <c r="M896">
        <v>173905082</v>
      </c>
      <c r="N896">
        <v>-99515007</v>
      </c>
      <c r="O896">
        <v>-23301266</v>
      </c>
      <c r="P896">
        <v>131</v>
      </c>
      <c r="Q896" t="s">
        <v>2052</v>
      </c>
    </row>
    <row r="897" spans="1:17" x14ac:dyDescent="0.3">
      <c r="A897" t="s">
        <v>17</v>
      </c>
      <c r="B897" t="str">
        <f>"601001"</f>
        <v>601001</v>
      </c>
      <c r="C897" t="s">
        <v>2053</v>
      </c>
      <c r="D897" t="s">
        <v>77</v>
      </c>
      <c r="E897">
        <v>105425416</v>
      </c>
      <c r="F897">
        <v>2506240853</v>
      </c>
      <c r="G897">
        <v>378398537</v>
      </c>
      <c r="H897">
        <v>488166553</v>
      </c>
      <c r="I897">
        <v>827455854</v>
      </c>
      <c r="J897">
        <v>939227681</v>
      </c>
      <c r="K897">
        <v>-554596463</v>
      </c>
      <c r="L897">
        <v>-1171753899</v>
      </c>
      <c r="M897">
        <v>-692299949</v>
      </c>
      <c r="N897">
        <v>316258063</v>
      </c>
      <c r="O897">
        <v>78047603</v>
      </c>
      <c r="P897">
        <v>289</v>
      </c>
      <c r="Q897" t="s">
        <v>2054</v>
      </c>
    </row>
    <row r="898" spans="1:17" x14ac:dyDescent="0.3">
      <c r="A898" t="s">
        <v>33</v>
      </c>
      <c r="B898" t="str">
        <f>"300079"</f>
        <v>300079</v>
      </c>
      <c r="C898" t="s">
        <v>2055</v>
      </c>
      <c r="D898" t="s">
        <v>508</v>
      </c>
      <c r="E898">
        <v>105336916</v>
      </c>
      <c r="F898">
        <v>58337198</v>
      </c>
      <c r="G898">
        <v>-39073324</v>
      </c>
      <c r="H898">
        <v>342685952</v>
      </c>
      <c r="I898">
        <v>-96691323</v>
      </c>
      <c r="J898">
        <v>-51405307</v>
      </c>
      <c r="K898">
        <v>-132713126</v>
      </c>
      <c r="L898">
        <v>-94664555</v>
      </c>
      <c r="M898">
        <v>-21212345</v>
      </c>
      <c r="N898">
        <v>-55958200</v>
      </c>
      <c r="O898">
        <v>-17415933</v>
      </c>
      <c r="P898">
        <v>261</v>
      </c>
      <c r="Q898" t="s">
        <v>2056</v>
      </c>
    </row>
    <row r="899" spans="1:17" x14ac:dyDescent="0.3">
      <c r="A899" t="s">
        <v>17</v>
      </c>
      <c r="B899" t="str">
        <f>"603900"</f>
        <v>603900</v>
      </c>
      <c r="C899" t="s">
        <v>2057</v>
      </c>
      <c r="D899" t="s">
        <v>161</v>
      </c>
      <c r="E899">
        <v>105185709</v>
      </c>
      <c r="F899">
        <v>54936685</v>
      </c>
      <c r="G899">
        <v>58510465</v>
      </c>
      <c r="H899">
        <v>115549756</v>
      </c>
      <c r="I899">
        <v>101424538</v>
      </c>
      <c r="J899">
        <v>19370896</v>
      </c>
      <c r="K899">
        <v>75806243</v>
      </c>
      <c r="P899">
        <v>137</v>
      </c>
      <c r="Q899" t="s">
        <v>2058</v>
      </c>
    </row>
    <row r="900" spans="1:17" x14ac:dyDescent="0.3">
      <c r="A900" t="s">
        <v>17</v>
      </c>
      <c r="B900" t="str">
        <f>"603657"</f>
        <v>603657</v>
      </c>
      <c r="C900" t="s">
        <v>2059</v>
      </c>
      <c r="D900" t="s">
        <v>1869</v>
      </c>
      <c r="E900">
        <v>105077384</v>
      </c>
      <c r="F900">
        <v>29182816</v>
      </c>
      <c r="G900">
        <v>22035244</v>
      </c>
      <c r="H900">
        <v>50979190</v>
      </c>
      <c r="I900">
        <v>16735096</v>
      </c>
      <c r="J900">
        <v>31249304</v>
      </c>
      <c r="P900">
        <v>152</v>
      </c>
      <c r="Q900" t="s">
        <v>2060</v>
      </c>
    </row>
    <row r="901" spans="1:17" x14ac:dyDescent="0.3">
      <c r="A901" t="s">
        <v>17</v>
      </c>
      <c r="B901" t="str">
        <f>"600552"</f>
        <v>600552</v>
      </c>
      <c r="C901" t="s">
        <v>2061</v>
      </c>
      <c r="D901" t="s">
        <v>102</v>
      </c>
      <c r="E901">
        <v>104847658</v>
      </c>
      <c r="F901">
        <v>63824618</v>
      </c>
      <c r="G901">
        <v>29599296</v>
      </c>
      <c r="H901">
        <v>39757988</v>
      </c>
      <c r="I901">
        <v>11909917</v>
      </c>
      <c r="J901">
        <v>59577495</v>
      </c>
      <c r="K901">
        <v>67530752</v>
      </c>
      <c r="L901">
        <v>12030197</v>
      </c>
      <c r="M901">
        <v>21756077</v>
      </c>
      <c r="N901">
        <v>52072598</v>
      </c>
      <c r="O901">
        <v>60911387</v>
      </c>
      <c r="P901">
        <v>169</v>
      </c>
      <c r="Q901" t="s">
        <v>2062</v>
      </c>
    </row>
    <row r="902" spans="1:17" x14ac:dyDescent="0.3">
      <c r="A902" t="s">
        <v>17</v>
      </c>
      <c r="B902" t="str">
        <f>"603308"</f>
        <v>603308</v>
      </c>
      <c r="C902" t="s">
        <v>2063</v>
      </c>
      <c r="D902" t="s">
        <v>164</v>
      </c>
      <c r="E902">
        <v>104160697</v>
      </c>
      <c r="F902">
        <v>63783791</v>
      </c>
      <c r="G902">
        <v>-87356948</v>
      </c>
      <c r="H902">
        <v>87902233</v>
      </c>
      <c r="I902">
        <v>34904273</v>
      </c>
      <c r="J902">
        <v>-37591650</v>
      </c>
      <c r="K902">
        <v>46826456</v>
      </c>
      <c r="L902">
        <v>76667965</v>
      </c>
      <c r="M902">
        <v>-58649483</v>
      </c>
      <c r="N902">
        <v>24700976</v>
      </c>
      <c r="P902">
        <v>233</v>
      </c>
      <c r="Q902" t="s">
        <v>2064</v>
      </c>
    </row>
    <row r="903" spans="1:17" x14ac:dyDescent="0.3">
      <c r="A903" t="s">
        <v>17</v>
      </c>
      <c r="B903" t="str">
        <f>"600740"</f>
        <v>600740</v>
      </c>
      <c r="C903" t="s">
        <v>2065</v>
      </c>
      <c r="D903" t="s">
        <v>427</v>
      </c>
      <c r="E903">
        <v>103536307</v>
      </c>
      <c r="F903">
        <v>147709637</v>
      </c>
      <c r="G903">
        <v>42728811</v>
      </c>
      <c r="H903">
        <v>133402061</v>
      </c>
      <c r="I903">
        <v>54911888</v>
      </c>
      <c r="J903">
        <v>86555081</v>
      </c>
      <c r="K903">
        <v>-218159845</v>
      </c>
      <c r="L903">
        <v>-353600917</v>
      </c>
      <c r="M903">
        <v>219457911</v>
      </c>
      <c r="N903">
        <v>47731212</v>
      </c>
      <c r="O903">
        <v>71866365</v>
      </c>
      <c r="P903">
        <v>331</v>
      </c>
      <c r="Q903" t="s">
        <v>2066</v>
      </c>
    </row>
    <row r="904" spans="1:17" x14ac:dyDescent="0.3">
      <c r="A904" t="s">
        <v>33</v>
      </c>
      <c r="B904" t="str">
        <f>"000688"</f>
        <v>000688</v>
      </c>
      <c r="C904" t="s">
        <v>2067</v>
      </c>
      <c r="D904" t="s">
        <v>702</v>
      </c>
      <c r="E904">
        <v>103432306</v>
      </c>
      <c r="F904">
        <v>167013959</v>
      </c>
      <c r="G904">
        <v>12045029</v>
      </c>
      <c r="H904">
        <v>83584532</v>
      </c>
      <c r="I904">
        <v>111030286</v>
      </c>
      <c r="J904">
        <v>32841923</v>
      </c>
      <c r="K904">
        <v>101627031</v>
      </c>
      <c r="L904">
        <v>47294943</v>
      </c>
      <c r="M904">
        <v>30023498</v>
      </c>
      <c r="N904">
        <v>52564367</v>
      </c>
      <c r="O904">
        <v>-7576295</v>
      </c>
      <c r="P904">
        <v>197</v>
      </c>
      <c r="Q904" t="s">
        <v>2068</v>
      </c>
    </row>
    <row r="905" spans="1:17" x14ac:dyDescent="0.3">
      <c r="A905" t="s">
        <v>33</v>
      </c>
      <c r="B905" t="str">
        <f>"300573"</f>
        <v>300573</v>
      </c>
      <c r="C905" t="s">
        <v>2069</v>
      </c>
      <c r="D905" t="s">
        <v>590</v>
      </c>
      <c r="E905">
        <v>103314894</v>
      </c>
      <c r="F905">
        <v>47323461</v>
      </c>
      <c r="G905">
        <v>2305122</v>
      </c>
      <c r="H905">
        <v>12609534</v>
      </c>
      <c r="I905">
        <v>8767989</v>
      </c>
      <c r="J905">
        <v>13757991</v>
      </c>
      <c r="K905">
        <v>10201680</v>
      </c>
      <c r="P905">
        <v>315</v>
      </c>
      <c r="Q905" t="s">
        <v>2070</v>
      </c>
    </row>
    <row r="906" spans="1:17" x14ac:dyDescent="0.3">
      <c r="A906" t="s">
        <v>33</v>
      </c>
      <c r="B906" t="str">
        <f>"002067"</f>
        <v>002067</v>
      </c>
      <c r="C906" t="s">
        <v>2071</v>
      </c>
      <c r="D906" t="s">
        <v>514</v>
      </c>
      <c r="E906">
        <v>103247690</v>
      </c>
      <c r="F906">
        <v>-43757216</v>
      </c>
      <c r="G906">
        <v>-62195655</v>
      </c>
      <c r="H906">
        <v>405343961</v>
      </c>
      <c r="I906">
        <v>116143923</v>
      </c>
      <c r="J906">
        <v>-251948440</v>
      </c>
      <c r="K906">
        <v>-40740245</v>
      </c>
      <c r="L906">
        <v>34866668</v>
      </c>
      <c r="M906">
        <v>174717973</v>
      </c>
      <c r="N906">
        <v>76191517</v>
      </c>
      <c r="O906">
        <v>-127360035</v>
      </c>
      <c r="P906">
        <v>173</v>
      </c>
      <c r="Q906" t="s">
        <v>2072</v>
      </c>
    </row>
    <row r="907" spans="1:17" x14ac:dyDescent="0.3">
      <c r="A907" t="s">
        <v>17</v>
      </c>
      <c r="B907" t="str">
        <f>"603219"</f>
        <v>603219</v>
      </c>
      <c r="C907" t="s">
        <v>2073</v>
      </c>
      <c r="D907" t="s">
        <v>1402</v>
      </c>
      <c r="E907">
        <v>103047822</v>
      </c>
      <c r="P907">
        <v>23</v>
      </c>
      <c r="Q907" t="s">
        <v>2074</v>
      </c>
    </row>
    <row r="908" spans="1:17" x14ac:dyDescent="0.3">
      <c r="A908" t="s">
        <v>17</v>
      </c>
      <c r="B908" t="str">
        <f>"603012"</f>
        <v>603012</v>
      </c>
      <c r="C908" t="s">
        <v>2075</v>
      </c>
      <c r="D908" t="s">
        <v>1132</v>
      </c>
      <c r="E908">
        <v>102993577</v>
      </c>
      <c r="F908">
        <v>-56735531</v>
      </c>
      <c r="G908">
        <v>-15828956</v>
      </c>
      <c r="H908">
        <v>-14124352</v>
      </c>
      <c r="I908">
        <v>-55420699</v>
      </c>
      <c r="J908">
        <v>1041513</v>
      </c>
      <c r="K908">
        <v>5220833</v>
      </c>
      <c r="L908">
        <v>-55053286</v>
      </c>
      <c r="M908">
        <v>-67901007</v>
      </c>
      <c r="P908">
        <v>135</v>
      </c>
      <c r="Q908" t="s">
        <v>2076</v>
      </c>
    </row>
    <row r="909" spans="1:17" x14ac:dyDescent="0.3">
      <c r="A909" t="s">
        <v>17</v>
      </c>
      <c r="B909" t="str">
        <f>"603003"</f>
        <v>603003</v>
      </c>
      <c r="C909" t="s">
        <v>2077</v>
      </c>
      <c r="D909" t="s">
        <v>508</v>
      </c>
      <c r="E909">
        <v>102139972</v>
      </c>
      <c r="F909">
        <v>-471784314</v>
      </c>
      <c r="G909">
        <v>-69466125</v>
      </c>
      <c r="H909">
        <v>-268813824</v>
      </c>
      <c r="I909">
        <v>210014317</v>
      </c>
      <c r="J909">
        <v>-209309065</v>
      </c>
      <c r="K909">
        <v>806557658</v>
      </c>
      <c r="L909">
        <v>-26965392</v>
      </c>
      <c r="M909">
        <v>24637788</v>
      </c>
      <c r="N909">
        <v>-103576138</v>
      </c>
      <c r="O909">
        <v>-308459494</v>
      </c>
      <c r="P909">
        <v>88</v>
      </c>
      <c r="Q909" t="s">
        <v>2078</v>
      </c>
    </row>
    <row r="910" spans="1:17" x14ac:dyDescent="0.3">
      <c r="A910" t="s">
        <v>33</v>
      </c>
      <c r="B910" t="str">
        <f>"000012"</f>
        <v>000012</v>
      </c>
      <c r="C910" t="s">
        <v>2079</v>
      </c>
      <c r="D910" t="s">
        <v>1025</v>
      </c>
      <c r="E910">
        <v>102057062</v>
      </c>
      <c r="F910">
        <v>341291798</v>
      </c>
      <c r="G910">
        <v>-11126768</v>
      </c>
      <c r="H910">
        <v>136317362</v>
      </c>
      <c r="I910">
        <v>60223706</v>
      </c>
      <c r="J910">
        <v>435937189</v>
      </c>
      <c r="K910">
        <v>319915324</v>
      </c>
      <c r="L910">
        <v>37738405</v>
      </c>
      <c r="M910">
        <v>90191987</v>
      </c>
      <c r="N910">
        <v>289618073</v>
      </c>
      <c r="O910">
        <v>257286802</v>
      </c>
      <c r="P910">
        <v>409</v>
      </c>
      <c r="Q910" t="s">
        <v>2080</v>
      </c>
    </row>
    <row r="911" spans="1:17" x14ac:dyDescent="0.3">
      <c r="A911" t="s">
        <v>17</v>
      </c>
      <c r="B911" t="str">
        <f>"605183"</f>
        <v>605183</v>
      </c>
      <c r="C911" t="s">
        <v>2081</v>
      </c>
      <c r="D911" t="s">
        <v>2082</v>
      </c>
      <c r="E911">
        <v>101999725</v>
      </c>
      <c r="F911">
        <v>105793529</v>
      </c>
      <c r="G911">
        <v>50603686</v>
      </c>
      <c r="H911">
        <v>33721078</v>
      </c>
      <c r="I911">
        <v>27801140</v>
      </c>
      <c r="P911">
        <v>63</v>
      </c>
      <c r="Q911" t="s">
        <v>2083</v>
      </c>
    </row>
    <row r="912" spans="1:17" x14ac:dyDescent="0.3">
      <c r="A912" t="s">
        <v>17</v>
      </c>
      <c r="B912" t="str">
        <f>"605006"</f>
        <v>605006</v>
      </c>
      <c r="C912" t="s">
        <v>2084</v>
      </c>
      <c r="D912" t="s">
        <v>410</v>
      </c>
      <c r="E912">
        <v>101624133</v>
      </c>
      <c r="F912">
        <v>20624142</v>
      </c>
      <c r="G912">
        <v>2673382</v>
      </c>
      <c r="P912">
        <v>121</v>
      </c>
      <c r="Q912" t="s">
        <v>2085</v>
      </c>
    </row>
    <row r="913" spans="1:17" x14ac:dyDescent="0.3">
      <c r="A913" t="s">
        <v>33</v>
      </c>
      <c r="B913" t="str">
        <f>"300867"</f>
        <v>300867</v>
      </c>
      <c r="C913" t="s">
        <v>2086</v>
      </c>
      <c r="D913" t="s">
        <v>897</v>
      </c>
      <c r="E913">
        <v>101286557</v>
      </c>
      <c r="F913">
        <v>29213442</v>
      </c>
      <c r="G913">
        <v>70227061</v>
      </c>
      <c r="P913">
        <v>103</v>
      </c>
      <c r="Q913" t="s">
        <v>2087</v>
      </c>
    </row>
    <row r="914" spans="1:17" x14ac:dyDescent="0.3">
      <c r="A914" t="s">
        <v>17</v>
      </c>
      <c r="B914" t="str">
        <f>"600521"</f>
        <v>600521</v>
      </c>
      <c r="C914" t="s">
        <v>2088</v>
      </c>
      <c r="D914" t="s">
        <v>590</v>
      </c>
      <c r="E914">
        <v>101134515</v>
      </c>
      <c r="F914">
        <v>64672580</v>
      </c>
      <c r="G914">
        <v>355186656</v>
      </c>
      <c r="H914">
        <v>232411982</v>
      </c>
      <c r="I914">
        <v>-261602610</v>
      </c>
      <c r="J914">
        <v>-132037785</v>
      </c>
      <c r="K914">
        <v>-5027532</v>
      </c>
      <c r="L914">
        <v>-47222796</v>
      </c>
      <c r="M914">
        <v>23076585</v>
      </c>
      <c r="N914">
        <v>79900700</v>
      </c>
      <c r="O914">
        <v>71115322</v>
      </c>
      <c r="P914">
        <v>964</v>
      </c>
      <c r="Q914" t="s">
        <v>2089</v>
      </c>
    </row>
    <row r="915" spans="1:17" x14ac:dyDescent="0.3">
      <c r="A915" t="s">
        <v>33</v>
      </c>
      <c r="B915" t="str">
        <f>"002595"</f>
        <v>002595</v>
      </c>
      <c r="C915" t="s">
        <v>2090</v>
      </c>
      <c r="D915" t="s">
        <v>1895</v>
      </c>
      <c r="E915">
        <v>101080583</v>
      </c>
      <c r="F915">
        <v>-312020365</v>
      </c>
      <c r="G915">
        <v>117138841</v>
      </c>
      <c r="H915">
        <v>-79147195</v>
      </c>
      <c r="I915">
        <v>127680287</v>
      </c>
      <c r="J915">
        <v>221031216</v>
      </c>
      <c r="K915">
        <v>202137502</v>
      </c>
      <c r="L915">
        <v>144548386</v>
      </c>
      <c r="M915">
        <v>85800754</v>
      </c>
      <c r="N915">
        <v>37694788</v>
      </c>
      <c r="O915">
        <v>34666838</v>
      </c>
      <c r="P915">
        <v>4171</v>
      </c>
      <c r="Q915" t="s">
        <v>2091</v>
      </c>
    </row>
    <row r="916" spans="1:17" x14ac:dyDescent="0.3">
      <c r="A916" t="s">
        <v>17</v>
      </c>
      <c r="B916" t="str">
        <f>"600811"</f>
        <v>600811</v>
      </c>
      <c r="C916" t="s">
        <v>2092</v>
      </c>
      <c r="D916" t="s">
        <v>523</v>
      </c>
      <c r="E916">
        <v>100975931</v>
      </c>
      <c r="F916">
        <v>216199517</v>
      </c>
      <c r="G916">
        <v>33735501</v>
      </c>
      <c r="H916">
        <v>928661048</v>
      </c>
      <c r="I916">
        <v>378112702</v>
      </c>
      <c r="J916">
        <v>-387013823</v>
      </c>
      <c r="K916">
        <v>-487397901</v>
      </c>
      <c r="L916">
        <v>3837090</v>
      </c>
      <c r="M916">
        <v>308699215</v>
      </c>
      <c r="N916">
        <v>97570547</v>
      </c>
      <c r="O916">
        <v>34238486</v>
      </c>
      <c r="P916">
        <v>205</v>
      </c>
      <c r="Q916" t="s">
        <v>2093</v>
      </c>
    </row>
    <row r="917" spans="1:17" x14ac:dyDescent="0.3">
      <c r="A917" t="s">
        <v>33</v>
      </c>
      <c r="B917" t="str">
        <f>"002548"</f>
        <v>002548</v>
      </c>
      <c r="C917" t="s">
        <v>2094</v>
      </c>
      <c r="D917" t="s">
        <v>1825</v>
      </c>
      <c r="E917">
        <v>100913104</v>
      </c>
      <c r="F917">
        <v>-257500350</v>
      </c>
      <c r="G917">
        <v>-209404975</v>
      </c>
      <c r="H917">
        <v>-56415064</v>
      </c>
      <c r="I917">
        <v>-121464983</v>
      </c>
      <c r="J917">
        <v>-75720659</v>
      </c>
      <c r="K917">
        <v>-130828091</v>
      </c>
      <c r="L917">
        <v>-59120282</v>
      </c>
      <c r="M917">
        <v>-72737332</v>
      </c>
      <c r="N917">
        <v>-54303029</v>
      </c>
      <c r="O917">
        <v>-36588860</v>
      </c>
      <c r="P917">
        <v>260</v>
      </c>
      <c r="Q917" t="s">
        <v>2095</v>
      </c>
    </row>
    <row r="918" spans="1:17" x14ac:dyDescent="0.3">
      <c r="A918" t="s">
        <v>33</v>
      </c>
      <c r="B918" t="str">
        <f>"000417"</f>
        <v>000417</v>
      </c>
      <c r="C918" t="s">
        <v>2096</v>
      </c>
      <c r="D918" t="s">
        <v>989</v>
      </c>
      <c r="E918">
        <v>100599024</v>
      </c>
      <c r="F918">
        <v>55625427</v>
      </c>
      <c r="G918">
        <v>-383270629</v>
      </c>
      <c r="H918">
        <v>-17578590</v>
      </c>
      <c r="I918">
        <v>264616576</v>
      </c>
      <c r="J918">
        <v>114406006</v>
      </c>
      <c r="K918">
        <v>-11588168</v>
      </c>
      <c r="L918">
        <v>130877414</v>
      </c>
      <c r="M918">
        <v>291980898</v>
      </c>
      <c r="N918">
        <v>323214807</v>
      </c>
      <c r="O918">
        <v>46419219</v>
      </c>
      <c r="P918">
        <v>145</v>
      </c>
      <c r="Q918" t="s">
        <v>2097</v>
      </c>
    </row>
    <row r="919" spans="1:17" x14ac:dyDescent="0.3">
      <c r="A919" t="s">
        <v>33</v>
      </c>
      <c r="B919" t="str">
        <f>"300613"</f>
        <v>300613</v>
      </c>
      <c r="C919" t="s">
        <v>2098</v>
      </c>
      <c r="D919" t="s">
        <v>1277</v>
      </c>
      <c r="E919">
        <v>98992719</v>
      </c>
      <c r="F919">
        <v>-130176492</v>
      </c>
      <c r="G919">
        <v>30418214</v>
      </c>
      <c r="H919">
        <v>10604619</v>
      </c>
      <c r="I919">
        <v>41984211</v>
      </c>
      <c r="J919">
        <v>-70074</v>
      </c>
      <c r="K919">
        <v>18339258</v>
      </c>
      <c r="P919">
        <v>355</v>
      </c>
      <c r="Q919" t="s">
        <v>2099</v>
      </c>
    </row>
    <row r="920" spans="1:17" x14ac:dyDescent="0.3">
      <c r="A920" t="s">
        <v>33</v>
      </c>
      <c r="B920" t="str">
        <f>"300064"</f>
        <v>300064</v>
      </c>
      <c r="C920" t="s">
        <v>2100</v>
      </c>
      <c r="D920" t="s">
        <v>1219</v>
      </c>
      <c r="E920">
        <v>98891131</v>
      </c>
      <c r="F920">
        <v>-4567575</v>
      </c>
      <c r="G920">
        <v>12525666</v>
      </c>
      <c r="H920">
        <v>-128322379</v>
      </c>
      <c r="I920">
        <v>-164858908</v>
      </c>
      <c r="J920">
        <v>-9049555</v>
      </c>
      <c r="K920">
        <v>18512274</v>
      </c>
      <c r="L920">
        <v>33469934</v>
      </c>
      <c r="M920">
        <v>6895723</v>
      </c>
      <c r="N920">
        <v>-23549578</v>
      </c>
      <c r="O920">
        <v>54212011</v>
      </c>
      <c r="P920">
        <v>77</v>
      </c>
      <c r="Q920" t="s">
        <v>2101</v>
      </c>
    </row>
    <row r="921" spans="1:17" x14ac:dyDescent="0.3">
      <c r="A921" t="s">
        <v>17</v>
      </c>
      <c r="B921" t="str">
        <f>"600202"</f>
        <v>600202</v>
      </c>
      <c r="C921" t="s">
        <v>2102</v>
      </c>
      <c r="D921" t="s">
        <v>2103</v>
      </c>
      <c r="E921">
        <v>97903024</v>
      </c>
      <c r="F921">
        <v>-134063225</v>
      </c>
      <c r="G921">
        <v>-72191059</v>
      </c>
      <c r="H921">
        <v>140237837</v>
      </c>
      <c r="I921">
        <v>47926036</v>
      </c>
      <c r="J921">
        <v>71354346</v>
      </c>
      <c r="K921">
        <v>119139909</v>
      </c>
      <c r="L921">
        <v>6204541</v>
      </c>
      <c r="M921">
        <v>75409494</v>
      </c>
      <c r="N921">
        <v>114641765</v>
      </c>
      <c r="O921">
        <v>-40582572</v>
      </c>
      <c r="P921">
        <v>76</v>
      </c>
      <c r="Q921" t="s">
        <v>2104</v>
      </c>
    </row>
    <row r="922" spans="1:17" x14ac:dyDescent="0.3">
      <c r="A922" t="s">
        <v>17</v>
      </c>
      <c r="B922" t="str">
        <f>"688553"</f>
        <v>688553</v>
      </c>
      <c r="C922" t="s">
        <v>2105</v>
      </c>
      <c r="D922" t="s">
        <v>590</v>
      </c>
      <c r="E922">
        <v>97691552</v>
      </c>
      <c r="F922">
        <v>142677889</v>
      </c>
      <c r="G922">
        <v>60406188</v>
      </c>
      <c r="P922">
        <v>30</v>
      </c>
      <c r="Q922" t="s">
        <v>2106</v>
      </c>
    </row>
    <row r="923" spans="1:17" x14ac:dyDescent="0.3">
      <c r="A923" t="s">
        <v>17</v>
      </c>
      <c r="B923" t="str">
        <f>"688139"</f>
        <v>688139</v>
      </c>
      <c r="C923" t="s">
        <v>2107</v>
      </c>
      <c r="D923" t="s">
        <v>111</v>
      </c>
      <c r="E923">
        <v>97673286</v>
      </c>
      <c r="F923">
        <v>124170918</v>
      </c>
      <c r="G923">
        <v>43320200</v>
      </c>
      <c r="H923">
        <v>45696589</v>
      </c>
      <c r="P923">
        <v>349</v>
      </c>
      <c r="Q923" t="s">
        <v>2108</v>
      </c>
    </row>
    <row r="924" spans="1:17" x14ac:dyDescent="0.3">
      <c r="A924" t="s">
        <v>33</v>
      </c>
      <c r="B924" t="str">
        <f>"300132"</f>
        <v>300132</v>
      </c>
      <c r="C924" t="s">
        <v>2109</v>
      </c>
      <c r="D924" t="s">
        <v>2110</v>
      </c>
      <c r="E924">
        <v>97211444</v>
      </c>
      <c r="F924">
        <v>100781348</v>
      </c>
      <c r="G924">
        <v>202075951</v>
      </c>
      <c r="H924">
        <v>-5289577</v>
      </c>
      <c r="I924">
        <v>79564435</v>
      </c>
      <c r="J924">
        <v>19732844</v>
      </c>
      <c r="K924">
        <v>265608188</v>
      </c>
      <c r="L924">
        <v>19779602</v>
      </c>
      <c r="M924">
        <v>8915291</v>
      </c>
      <c r="N924">
        <v>-39275331</v>
      </c>
      <c r="O924">
        <v>52913873</v>
      </c>
      <c r="P924">
        <v>399</v>
      </c>
      <c r="Q924" t="s">
        <v>2111</v>
      </c>
    </row>
    <row r="925" spans="1:17" x14ac:dyDescent="0.3">
      <c r="A925" t="s">
        <v>17</v>
      </c>
      <c r="B925" t="str">
        <f>"605337"</f>
        <v>605337</v>
      </c>
      <c r="C925" t="s">
        <v>2112</v>
      </c>
      <c r="D925" t="s">
        <v>1187</v>
      </c>
      <c r="E925">
        <v>97084422</v>
      </c>
      <c r="F925">
        <v>65051226</v>
      </c>
      <c r="G925">
        <v>-8853519</v>
      </c>
      <c r="P925">
        <v>146</v>
      </c>
      <c r="Q925" t="s">
        <v>2113</v>
      </c>
    </row>
    <row r="926" spans="1:17" x14ac:dyDescent="0.3">
      <c r="A926" t="s">
        <v>33</v>
      </c>
      <c r="B926" t="str">
        <f>"002752"</f>
        <v>002752</v>
      </c>
      <c r="C926" t="s">
        <v>2114</v>
      </c>
      <c r="D926" t="s">
        <v>2115</v>
      </c>
      <c r="E926">
        <v>96716416</v>
      </c>
      <c r="F926">
        <v>-39139004</v>
      </c>
      <c r="G926">
        <v>6251918</v>
      </c>
      <c r="H926">
        <v>1927568</v>
      </c>
      <c r="I926">
        <v>-51957377</v>
      </c>
      <c r="J926">
        <v>87171907</v>
      </c>
      <c r="K926">
        <v>158060504</v>
      </c>
      <c r="L926">
        <v>64729733</v>
      </c>
      <c r="M926">
        <v>23297675</v>
      </c>
      <c r="P926">
        <v>79</v>
      </c>
      <c r="Q926" t="s">
        <v>2116</v>
      </c>
    </row>
    <row r="927" spans="1:17" x14ac:dyDescent="0.3">
      <c r="A927" t="s">
        <v>33</v>
      </c>
      <c r="B927" t="str">
        <f>"003032"</f>
        <v>003032</v>
      </c>
      <c r="C927" t="s">
        <v>2117</v>
      </c>
      <c r="D927" t="s">
        <v>761</v>
      </c>
      <c r="E927">
        <v>96563338</v>
      </c>
      <c r="F927">
        <v>7863343</v>
      </c>
      <c r="G927">
        <v>-96894675</v>
      </c>
      <c r="P927">
        <v>59</v>
      </c>
      <c r="Q927" t="s">
        <v>2118</v>
      </c>
    </row>
    <row r="928" spans="1:17" x14ac:dyDescent="0.3">
      <c r="A928" t="s">
        <v>33</v>
      </c>
      <c r="B928" t="str">
        <f>"300636"</f>
        <v>300636</v>
      </c>
      <c r="C928" t="s">
        <v>2119</v>
      </c>
      <c r="D928" t="s">
        <v>941</v>
      </c>
      <c r="E928">
        <v>96438593</v>
      </c>
      <c r="F928">
        <v>21624541</v>
      </c>
      <c r="G928">
        <v>12518035</v>
      </c>
      <c r="H928">
        <v>-20160183</v>
      </c>
      <c r="I928">
        <v>17832314</v>
      </c>
      <c r="J928">
        <v>-7847273</v>
      </c>
      <c r="K928">
        <v>26018047</v>
      </c>
      <c r="P928">
        <v>136</v>
      </c>
      <c r="Q928" t="s">
        <v>2120</v>
      </c>
    </row>
    <row r="929" spans="1:17" x14ac:dyDescent="0.3">
      <c r="A929" t="s">
        <v>17</v>
      </c>
      <c r="B929" t="str">
        <f>"601003"</f>
        <v>601003</v>
      </c>
      <c r="C929" t="s">
        <v>2121</v>
      </c>
      <c r="D929" t="s">
        <v>131</v>
      </c>
      <c r="E929">
        <v>96045516</v>
      </c>
      <c r="F929">
        <v>11137393</v>
      </c>
      <c r="G929">
        <v>-383773187</v>
      </c>
      <c r="H929">
        <v>1401757218</v>
      </c>
      <c r="I929">
        <v>1291985646</v>
      </c>
      <c r="J929">
        <v>-659285600</v>
      </c>
      <c r="K929">
        <v>493416365</v>
      </c>
      <c r="L929">
        <v>-1283418281</v>
      </c>
      <c r="M929">
        <v>17666257</v>
      </c>
      <c r="N929">
        <v>2277312826</v>
      </c>
      <c r="O929">
        <v>-2823418611</v>
      </c>
      <c r="P929">
        <v>1021</v>
      </c>
      <c r="Q929" t="s">
        <v>2122</v>
      </c>
    </row>
    <row r="930" spans="1:17" x14ac:dyDescent="0.3">
      <c r="A930" t="s">
        <v>33</v>
      </c>
      <c r="B930" t="str">
        <f>"300063"</f>
        <v>300063</v>
      </c>
      <c r="C930" t="s">
        <v>2123</v>
      </c>
      <c r="D930" t="s">
        <v>1125</v>
      </c>
      <c r="E930">
        <v>95959275</v>
      </c>
      <c r="F930">
        <v>-54762224</v>
      </c>
      <c r="G930">
        <v>-34108455</v>
      </c>
      <c r="H930">
        <v>-33515148</v>
      </c>
      <c r="I930">
        <v>-13481641</v>
      </c>
      <c r="J930">
        <v>7529193</v>
      </c>
      <c r="K930">
        <v>43164877</v>
      </c>
      <c r="L930">
        <v>-28291272</v>
      </c>
      <c r="M930">
        <v>-24316248</v>
      </c>
      <c r="N930">
        <v>-21844200</v>
      </c>
      <c r="O930">
        <v>-2570146</v>
      </c>
      <c r="P930">
        <v>109</v>
      </c>
      <c r="Q930" t="s">
        <v>2124</v>
      </c>
    </row>
    <row r="931" spans="1:17" x14ac:dyDescent="0.3">
      <c r="A931" t="s">
        <v>17</v>
      </c>
      <c r="B931" t="str">
        <f>"600037"</f>
        <v>600037</v>
      </c>
      <c r="C931" t="s">
        <v>2125</v>
      </c>
      <c r="D931" t="s">
        <v>1074</v>
      </c>
      <c r="E931">
        <v>95944150</v>
      </c>
      <c r="F931">
        <v>98045186</v>
      </c>
      <c r="G931">
        <v>90366402</v>
      </c>
      <c r="H931">
        <v>121195141</v>
      </c>
      <c r="I931">
        <v>204420227</v>
      </c>
      <c r="J931">
        <v>194010711</v>
      </c>
      <c r="K931">
        <v>260881194</v>
      </c>
      <c r="L931">
        <v>174124328</v>
      </c>
      <c r="M931">
        <v>159224282</v>
      </c>
      <c r="N931">
        <v>159117339</v>
      </c>
      <c r="O931">
        <v>67673936</v>
      </c>
      <c r="P931">
        <v>309</v>
      </c>
      <c r="Q931" t="s">
        <v>2126</v>
      </c>
    </row>
    <row r="932" spans="1:17" x14ac:dyDescent="0.3">
      <c r="A932" t="s">
        <v>33</v>
      </c>
      <c r="B932" t="str">
        <f>"300880"</f>
        <v>300880</v>
      </c>
      <c r="C932" t="s">
        <v>2127</v>
      </c>
      <c r="D932" t="s">
        <v>2128</v>
      </c>
      <c r="E932">
        <v>95869754</v>
      </c>
      <c r="F932">
        <v>-35949688</v>
      </c>
      <c r="G932">
        <v>-11474820</v>
      </c>
      <c r="P932">
        <v>55</v>
      </c>
      <c r="Q932" t="s">
        <v>2129</v>
      </c>
    </row>
    <row r="933" spans="1:17" x14ac:dyDescent="0.3">
      <c r="A933" t="s">
        <v>17</v>
      </c>
      <c r="B933" t="str">
        <f>"600798"</f>
        <v>600798</v>
      </c>
      <c r="C933" t="s">
        <v>2130</v>
      </c>
      <c r="D933" t="s">
        <v>55</v>
      </c>
      <c r="E933">
        <v>95805579</v>
      </c>
      <c r="F933">
        <v>133965003</v>
      </c>
      <c r="G933">
        <v>164381629</v>
      </c>
      <c r="H933">
        <v>125233300</v>
      </c>
      <c r="I933">
        <v>133823803</v>
      </c>
      <c r="J933">
        <v>173934368</v>
      </c>
      <c r="K933">
        <v>96858179</v>
      </c>
      <c r="L933">
        <v>54978100</v>
      </c>
      <c r="M933">
        <v>57760697</v>
      </c>
      <c r="N933">
        <v>94023353</v>
      </c>
      <c r="O933">
        <v>84167015</v>
      </c>
      <c r="P933">
        <v>142</v>
      </c>
      <c r="Q933" t="s">
        <v>2131</v>
      </c>
    </row>
    <row r="934" spans="1:17" x14ac:dyDescent="0.3">
      <c r="A934" t="s">
        <v>33</v>
      </c>
      <c r="B934" t="str">
        <f>"002536"</f>
        <v>002536</v>
      </c>
      <c r="C934" t="s">
        <v>2132</v>
      </c>
      <c r="D934" t="s">
        <v>858</v>
      </c>
      <c r="E934">
        <v>95655732</v>
      </c>
      <c r="F934">
        <v>-39752056</v>
      </c>
      <c r="G934">
        <v>73192963</v>
      </c>
      <c r="H934">
        <v>144104375</v>
      </c>
      <c r="I934">
        <v>63490483</v>
      </c>
      <c r="J934">
        <v>70329752</v>
      </c>
      <c r="K934">
        <v>9433312</v>
      </c>
      <c r="L934">
        <v>44956270</v>
      </c>
      <c r="M934">
        <v>4449176</v>
      </c>
      <c r="N934">
        <v>15507229</v>
      </c>
      <c r="O934">
        <v>-54809</v>
      </c>
      <c r="P934">
        <v>254</v>
      </c>
      <c r="Q934" t="s">
        <v>2133</v>
      </c>
    </row>
    <row r="935" spans="1:17" x14ac:dyDescent="0.3">
      <c r="A935" t="s">
        <v>33</v>
      </c>
      <c r="B935" t="str">
        <f>"000758"</f>
        <v>000758</v>
      </c>
      <c r="C935" t="s">
        <v>2134</v>
      </c>
      <c r="D935" t="s">
        <v>702</v>
      </c>
      <c r="E935">
        <v>95358446</v>
      </c>
      <c r="F935">
        <v>2352874104</v>
      </c>
      <c r="G935">
        <v>-381592526</v>
      </c>
      <c r="H935">
        <v>-166912402</v>
      </c>
      <c r="I935">
        <v>2530298885</v>
      </c>
      <c r="J935">
        <v>-803766874</v>
      </c>
      <c r="K935">
        <v>-572611690</v>
      </c>
      <c r="L935">
        <v>322689928</v>
      </c>
      <c r="M935">
        <v>-163147273</v>
      </c>
      <c r="N935">
        <v>-455043913</v>
      </c>
      <c r="O935">
        <v>-493704378</v>
      </c>
      <c r="P935">
        <v>177</v>
      </c>
      <c r="Q935" t="s">
        <v>2135</v>
      </c>
    </row>
    <row r="936" spans="1:17" x14ac:dyDescent="0.3">
      <c r="A936" t="s">
        <v>17</v>
      </c>
      <c r="B936" t="str">
        <f>"605138"</f>
        <v>605138</v>
      </c>
      <c r="C936" t="s">
        <v>2136</v>
      </c>
      <c r="D936" t="s">
        <v>581</v>
      </c>
      <c r="E936">
        <v>95356679</v>
      </c>
      <c r="P936">
        <v>27</v>
      </c>
      <c r="Q936" t="s">
        <v>2137</v>
      </c>
    </row>
    <row r="937" spans="1:17" x14ac:dyDescent="0.3">
      <c r="A937" t="s">
        <v>33</v>
      </c>
      <c r="B937" t="str">
        <f>"300951"</f>
        <v>300951</v>
      </c>
      <c r="C937" t="s">
        <v>2138</v>
      </c>
      <c r="D937" t="s">
        <v>226</v>
      </c>
      <c r="E937">
        <v>94744863</v>
      </c>
      <c r="F937">
        <v>113152959</v>
      </c>
      <c r="G937">
        <v>81217094</v>
      </c>
      <c r="P937">
        <v>67</v>
      </c>
      <c r="Q937" t="s">
        <v>2139</v>
      </c>
    </row>
    <row r="938" spans="1:17" x14ac:dyDescent="0.3">
      <c r="A938" t="s">
        <v>33</v>
      </c>
      <c r="B938" t="str">
        <f>"002515"</f>
        <v>002515</v>
      </c>
      <c r="C938" t="s">
        <v>2140</v>
      </c>
      <c r="D938" t="s">
        <v>740</v>
      </c>
      <c r="E938">
        <v>94367890</v>
      </c>
      <c r="F938">
        <v>100099246</v>
      </c>
      <c r="G938">
        <v>-40194231</v>
      </c>
      <c r="H938">
        <v>25921794</v>
      </c>
      <c r="I938">
        <v>-34087751</v>
      </c>
      <c r="J938">
        <v>4558710</v>
      </c>
      <c r="K938">
        <v>52030688</v>
      </c>
      <c r="L938">
        <v>48577514</v>
      </c>
      <c r="M938">
        <v>7809913</v>
      </c>
      <c r="N938">
        <v>39690082</v>
      </c>
      <c r="O938">
        <v>24196538</v>
      </c>
      <c r="P938">
        <v>296</v>
      </c>
      <c r="Q938" t="s">
        <v>2141</v>
      </c>
    </row>
    <row r="939" spans="1:17" x14ac:dyDescent="0.3">
      <c r="A939" t="s">
        <v>17</v>
      </c>
      <c r="B939" t="str">
        <f>"603217"</f>
        <v>603217</v>
      </c>
      <c r="C939" t="s">
        <v>2142</v>
      </c>
      <c r="D939" t="s">
        <v>418</v>
      </c>
      <c r="E939">
        <v>94222120</v>
      </c>
      <c r="F939">
        <v>50312359</v>
      </c>
      <c r="G939">
        <v>39646439</v>
      </c>
      <c r="H939">
        <v>22062200</v>
      </c>
      <c r="I939">
        <v>28020000</v>
      </c>
      <c r="P939">
        <v>71</v>
      </c>
      <c r="Q939" t="s">
        <v>2143</v>
      </c>
    </row>
    <row r="940" spans="1:17" x14ac:dyDescent="0.3">
      <c r="A940" t="s">
        <v>33</v>
      </c>
      <c r="B940" t="str">
        <f>"002206"</f>
        <v>002206</v>
      </c>
      <c r="C940" t="s">
        <v>2144</v>
      </c>
      <c r="D940" t="s">
        <v>2145</v>
      </c>
      <c r="E940">
        <v>94013275</v>
      </c>
      <c r="F940">
        <v>164962251</v>
      </c>
      <c r="G940">
        <v>-220170104</v>
      </c>
      <c r="H940">
        <v>78773132</v>
      </c>
      <c r="I940">
        <v>91573892</v>
      </c>
      <c r="J940">
        <v>76300156</v>
      </c>
      <c r="K940">
        <v>81779847</v>
      </c>
      <c r="L940">
        <v>77023170</v>
      </c>
      <c r="M940">
        <v>28396471</v>
      </c>
      <c r="N940">
        <v>-53228182</v>
      </c>
      <c r="O940">
        <v>-28882801</v>
      </c>
      <c r="P940">
        <v>369</v>
      </c>
      <c r="Q940" t="s">
        <v>2146</v>
      </c>
    </row>
    <row r="941" spans="1:17" x14ac:dyDescent="0.3">
      <c r="A941" t="s">
        <v>17</v>
      </c>
      <c r="B941" t="str">
        <f>"603203"</f>
        <v>603203</v>
      </c>
      <c r="C941" t="s">
        <v>2147</v>
      </c>
      <c r="D941" t="s">
        <v>2148</v>
      </c>
      <c r="E941">
        <v>93929404</v>
      </c>
      <c r="F941">
        <v>39784326</v>
      </c>
      <c r="G941">
        <v>25591111</v>
      </c>
      <c r="H941">
        <v>39070658</v>
      </c>
      <c r="I941">
        <v>4413866</v>
      </c>
      <c r="J941">
        <v>18571656</v>
      </c>
      <c r="K941">
        <v>19376138</v>
      </c>
      <c r="P941">
        <v>2649</v>
      </c>
      <c r="Q941" t="s">
        <v>2149</v>
      </c>
    </row>
    <row r="942" spans="1:17" x14ac:dyDescent="0.3">
      <c r="A942" t="s">
        <v>33</v>
      </c>
      <c r="B942" t="str">
        <f>"002783"</f>
        <v>002783</v>
      </c>
      <c r="C942" t="s">
        <v>2150</v>
      </c>
      <c r="D942" t="s">
        <v>1474</v>
      </c>
      <c r="E942">
        <v>93861510</v>
      </c>
      <c r="F942">
        <v>-77519543</v>
      </c>
      <c r="G942">
        <v>-40111245</v>
      </c>
      <c r="H942">
        <v>21710449</v>
      </c>
      <c r="I942">
        <v>19809131</v>
      </c>
      <c r="J942">
        <v>-58429130</v>
      </c>
      <c r="K942">
        <v>-16222912</v>
      </c>
      <c r="L942">
        <v>1354400</v>
      </c>
      <c r="M942">
        <v>-17192500</v>
      </c>
      <c r="P942">
        <v>112</v>
      </c>
      <c r="Q942" t="s">
        <v>2151</v>
      </c>
    </row>
    <row r="943" spans="1:17" x14ac:dyDescent="0.3">
      <c r="A943" t="s">
        <v>17</v>
      </c>
      <c r="B943" t="str">
        <f>"600189"</f>
        <v>600189</v>
      </c>
      <c r="C943" t="s">
        <v>2152</v>
      </c>
      <c r="D943" t="s">
        <v>1187</v>
      </c>
      <c r="E943">
        <v>93653015</v>
      </c>
      <c r="F943">
        <v>-10379187</v>
      </c>
      <c r="G943">
        <v>37995718</v>
      </c>
      <c r="H943">
        <v>-25417588</v>
      </c>
      <c r="I943">
        <v>-89876437</v>
      </c>
      <c r="J943">
        <v>-137684905</v>
      </c>
      <c r="K943">
        <v>-215005039</v>
      </c>
      <c r="L943">
        <v>-155876389</v>
      </c>
      <c r="M943">
        <v>-56586454</v>
      </c>
      <c r="N943">
        <v>-167523124</v>
      </c>
      <c r="O943">
        <v>-139172155</v>
      </c>
      <c r="P943">
        <v>177</v>
      </c>
      <c r="Q943" t="s">
        <v>2153</v>
      </c>
    </row>
    <row r="944" spans="1:17" x14ac:dyDescent="0.3">
      <c r="A944" t="s">
        <v>33</v>
      </c>
      <c r="B944" t="str">
        <f>"002290"</f>
        <v>002290</v>
      </c>
      <c r="C944" t="s">
        <v>2154</v>
      </c>
      <c r="D944" t="s">
        <v>1869</v>
      </c>
      <c r="E944">
        <v>93608821</v>
      </c>
      <c r="F944">
        <v>-28411949</v>
      </c>
      <c r="G944">
        <v>85836446</v>
      </c>
      <c r="H944">
        <v>65022131</v>
      </c>
      <c r="I944">
        <v>52392459</v>
      </c>
      <c r="J944">
        <v>-209164782</v>
      </c>
      <c r="K944">
        <v>-48599940</v>
      </c>
      <c r="L944">
        <v>-29599184</v>
      </c>
      <c r="M944">
        <v>54739210</v>
      </c>
      <c r="N944">
        <v>-57206068</v>
      </c>
      <c r="O944">
        <v>64558045</v>
      </c>
      <c r="P944">
        <v>80</v>
      </c>
      <c r="Q944" t="s">
        <v>2155</v>
      </c>
    </row>
    <row r="945" spans="1:17" x14ac:dyDescent="0.3">
      <c r="A945" t="s">
        <v>17</v>
      </c>
      <c r="B945" t="str">
        <f>"688188"</f>
        <v>688188</v>
      </c>
      <c r="C945" t="s">
        <v>2156</v>
      </c>
      <c r="D945" t="s">
        <v>1571</v>
      </c>
      <c r="E945">
        <v>93567013</v>
      </c>
      <c r="F945">
        <v>100426203</v>
      </c>
      <c r="G945">
        <v>11208873</v>
      </c>
      <c r="H945">
        <v>32963570</v>
      </c>
      <c r="I945">
        <v>16495612</v>
      </c>
      <c r="P945">
        <v>363</v>
      </c>
      <c r="Q945" t="s">
        <v>2157</v>
      </c>
    </row>
    <row r="946" spans="1:17" x14ac:dyDescent="0.3">
      <c r="A946" t="s">
        <v>17</v>
      </c>
      <c r="B946" t="str">
        <f>"688150"</f>
        <v>688150</v>
      </c>
      <c r="C946" t="s">
        <v>2158</v>
      </c>
      <c r="E946">
        <v>93365881</v>
      </c>
      <c r="P946">
        <v>4</v>
      </c>
      <c r="Q946" t="s">
        <v>2159</v>
      </c>
    </row>
    <row r="947" spans="1:17" x14ac:dyDescent="0.3">
      <c r="A947" t="s">
        <v>33</v>
      </c>
      <c r="B947" t="str">
        <f>"002442"</f>
        <v>002442</v>
      </c>
      <c r="C947" t="s">
        <v>2160</v>
      </c>
      <c r="D947" t="s">
        <v>2082</v>
      </c>
      <c r="E947">
        <v>93332220</v>
      </c>
      <c r="F947">
        <v>11952706</v>
      </c>
      <c r="G947">
        <v>-83385392</v>
      </c>
      <c r="H947">
        <v>88601105</v>
      </c>
      <c r="I947">
        <v>172722661</v>
      </c>
      <c r="J947">
        <v>73019622</v>
      </c>
      <c r="K947">
        <v>143686203</v>
      </c>
      <c r="L947">
        <v>79202695</v>
      </c>
      <c r="M947">
        <v>113392252</v>
      </c>
      <c r="N947">
        <v>-118780768</v>
      </c>
      <c r="O947">
        <v>-17266820</v>
      </c>
      <c r="P947">
        <v>105</v>
      </c>
      <c r="Q947" t="s">
        <v>2161</v>
      </c>
    </row>
    <row r="948" spans="1:17" x14ac:dyDescent="0.3">
      <c r="A948" t="s">
        <v>17</v>
      </c>
      <c r="B948" t="str">
        <f>"688220"</f>
        <v>688220</v>
      </c>
      <c r="C948" t="s">
        <v>2162</v>
      </c>
      <c r="D948" t="s">
        <v>1192</v>
      </c>
      <c r="E948">
        <v>92923496</v>
      </c>
      <c r="P948">
        <v>19</v>
      </c>
      <c r="Q948" t="s">
        <v>2163</v>
      </c>
    </row>
    <row r="949" spans="1:17" x14ac:dyDescent="0.3">
      <c r="A949" t="s">
        <v>33</v>
      </c>
      <c r="B949" t="str">
        <f>"002637"</f>
        <v>002637</v>
      </c>
      <c r="C949" t="s">
        <v>2164</v>
      </c>
      <c r="D949" t="s">
        <v>418</v>
      </c>
      <c r="E949">
        <v>92876503</v>
      </c>
      <c r="F949">
        <v>-398339534</v>
      </c>
      <c r="G949">
        <v>-189203107</v>
      </c>
      <c r="H949">
        <v>183446008</v>
      </c>
      <c r="I949">
        <v>-70515699</v>
      </c>
      <c r="J949">
        <v>-389011401</v>
      </c>
      <c r="K949">
        <v>-20413185</v>
      </c>
      <c r="L949">
        <v>-147004591</v>
      </c>
      <c r="M949">
        <v>-148220955</v>
      </c>
      <c r="N949">
        <v>37170595</v>
      </c>
      <c r="O949">
        <v>-67716447</v>
      </c>
      <c r="P949">
        <v>145</v>
      </c>
      <c r="Q949" t="s">
        <v>2165</v>
      </c>
    </row>
    <row r="950" spans="1:17" x14ac:dyDescent="0.3">
      <c r="A950" t="s">
        <v>33</v>
      </c>
      <c r="B950" t="str">
        <f>"300739"</f>
        <v>300739</v>
      </c>
      <c r="C950" t="s">
        <v>2166</v>
      </c>
      <c r="D950" t="s">
        <v>239</v>
      </c>
      <c r="E950">
        <v>92865488</v>
      </c>
      <c r="F950">
        <v>19694422</v>
      </c>
      <c r="G950">
        <v>5460524</v>
      </c>
      <c r="H950">
        <v>43570192</v>
      </c>
      <c r="I950">
        <v>8328983</v>
      </c>
      <c r="J950">
        <v>11642739</v>
      </c>
      <c r="P950">
        <v>170</v>
      </c>
      <c r="Q950" t="s">
        <v>2167</v>
      </c>
    </row>
    <row r="951" spans="1:17" x14ac:dyDescent="0.3">
      <c r="A951" t="s">
        <v>33</v>
      </c>
      <c r="B951" t="str">
        <f>"000863"</f>
        <v>000863</v>
      </c>
      <c r="C951" t="s">
        <v>2168</v>
      </c>
      <c r="D951" t="s">
        <v>167</v>
      </c>
      <c r="E951">
        <v>92830650</v>
      </c>
      <c r="F951">
        <v>209884815</v>
      </c>
      <c r="G951">
        <v>-11608492</v>
      </c>
      <c r="H951">
        <v>309120476</v>
      </c>
      <c r="I951">
        <v>-174635022</v>
      </c>
      <c r="J951">
        <v>-1565308419</v>
      </c>
      <c r="K951">
        <v>89349997</v>
      </c>
      <c r="L951">
        <v>-1396335655</v>
      </c>
      <c r="M951">
        <v>-549212482</v>
      </c>
      <c r="N951">
        <v>-253170549</v>
      </c>
      <c r="O951">
        <v>-209240468</v>
      </c>
      <c r="P951">
        <v>171</v>
      </c>
      <c r="Q951" t="s">
        <v>2169</v>
      </c>
    </row>
    <row r="952" spans="1:17" x14ac:dyDescent="0.3">
      <c r="A952" t="s">
        <v>33</v>
      </c>
      <c r="B952" t="str">
        <f>"002205"</f>
        <v>002205</v>
      </c>
      <c r="C952" t="s">
        <v>2170</v>
      </c>
      <c r="D952" t="s">
        <v>2171</v>
      </c>
      <c r="E952">
        <v>92683489</v>
      </c>
      <c r="F952">
        <v>-69497011</v>
      </c>
      <c r="G952">
        <v>-36398323</v>
      </c>
      <c r="H952">
        <v>-30157012</v>
      </c>
      <c r="I952">
        <v>-142542716</v>
      </c>
      <c r="J952">
        <v>-92253120</v>
      </c>
      <c r="K952">
        <v>-8948290</v>
      </c>
      <c r="L952">
        <v>-44585864</v>
      </c>
      <c r="M952">
        <v>-171082932</v>
      </c>
      <c r="N952">
        <v>9549572</v>
      </c>
      <c r="O952">
        <v>-43547533</v>
      </c>
      <c r="P952">
        <v>86</v>
      </c>
      <c r="Q952" t="s">
        <v>2172</v>
      </c>
    </row>
    <row r="953" spans="1:17" x14ac:dyDescent="0.3">
      <c r="A953" t="s">
        <v>17</v>
      </c>
      <c r="B953" t="str">
        <f>"601200"</f>
        <v>601200</v>
      </c>
      <c r="C953" t="s">
        <v>2173</v>
      </c>
      <c r="D953" t="s">
        <v>897</v>
      </c>
      <c r="E953">
        <v>92453794</v>
      </c>
      <c r="F953">
        <v>-65398635</v>
      </c>
      <c r="G953">
        <v>148178294</v>
      </c>
      <c r="H953">
        <v>64659127</v>
      </c>
      <c r="I953">
        <v>151858021</v>
      </c>
      <c r="J953">
        <v>24732938</v>
      </c>
      <c r="K953">
        <v>39401587</v>
      </c>
      <c r="P953">
        <v>326</v>
      </c>
      <c r="Q953" t="s">
        <v>2174</v>
      </c>
    </row>
    <row r="954" spans="1:17" x14ac:dyDescent="0.3">
      <c r="A954" t="s">
        <v>33</v>
      </c>
      <c r="B954" t="str">
        <f>"300947"</f>
        <v>300947</v>
      </c>
      <c r="C954" t="s">
        <v>2175</v>
      </c>
      <c r="D954" t="s">
        <v>394</v>
      </c>
      <c r="E954">
        <v>92427405</v>
      </c>
      <c r="F954">
        <v>107504503</v>
      </c>
      <c r="G954">
        <v>44205100</v>
      </c>
      <c r="P954">
        <v>28</v>
      </c>
      <c r="Q954" t="s">
        <v>2176</v>
      </c>
    </row>
    <row r="955" spans="1:17" x14ac:dyDescent="0.3">
      <c r="A955" t="s">
        <v>33</v>
      </c>
      <c r="B955" t="str">
        <f>"002905"</f>
        <v>002905</v>
      </c>
      <c r="C955" t="s">
        <v>2177</v>
      </c>
      <c r="D955" t="s">
        <v>1047</v>
      </c>
      <c r="E955">
        <v>92216858</v>
      </c>
      <c r="F955">
        <v>299236758</v>
      </c>
      <c r="G955">
        <v>-152522274</v>
      </c>
      <c r="H955">
        <v>93732440</v>
      </c>
      <c r="I955">
        <v>140546440</v>
      </c>
      <c r="J955">
        <v>66249001</v>
      </c>
      <c r="P955">
        <v>133</v>
      </c>
      <c r="Q955" t="s">
        <v>2178</v>
      </c>
    </row>
    <row r="956" spans="1:17" x14ac:dyDescent="0.3">
      <c r="A956" t="s">
        <v>33</v>
      </c>
      <c r="B956" t="str">
        <f>"301216"</f>
        <v>301216</v>
      </c>
      <c r="C956" t="s">
        <v>2179</v>
      </c>
      <c r="E956">
        <v>92099914</v>
      </c>
      <c r="P956">
        <v>6</v>
      </c>
      <c r="Q956" t="s">
        <v>2180</v>
      </c>
    </row>
    <row r="957" spans="1:17" x14ac:dyDescent="0.3">
      <c r="A957" t="s">
        <v>33</v>
      </c>
      <c r="B957" t="str">
        <f>"002480"</f>
        <v>002480</v>
      </c>
      <c r="C957" t="s">
        <v>2181</v>
      </c>
      <c r="D957" t="s">
        <v>164</v>
      </c>
      <c r="E957">
        <v>91996810</v>
      </c>
      <c r="F957">
        <v>-411798377</v>
      </c>
      <c r="G957">
        <v>-125546114</v>
      </c>
      <c r="H957">
        <v>-367578974</v>
      </c>
      <c r="I957">
        <v>-142441761</v>
      </c>
      <c r="J957">
        <v>-66548489</v>
      </c>
      <c r="K957">
        <v>138869084</v>
      </c>
      <c r="L957">
        <v>-69111691</v>
      </c>
      <c r="M957">
        <v>-33655673</v>
      </c>
      <c r="N957">
        <v>-72106689</v>
      </c>
      <c r="O957">
        <v>109284543</v>
      </c>
      <c r="P957">
        <v>107</v>
      </c>
      <c r="Q957" t="s">
        <v>2182</v>
      </c>
    </row>
    <row r="958" spans="1:17" x14ac:dyDescent="0.3">
      <c r="A958" t="s">
        <v>33</v>
      </c>
      <c r="B958" t="str">
        <f>"002550"</f>
        <v>002550</v>
      </c>
      <c r="C958" t="s">
        <v>2183</v>
      </c>
      <c r="D958" t="s">
        <v>590</v>
      </c>
      <c r="E958">
        <v>91973049</v>
      </c>
      <c r="F958">
        <v>-95833609</v>
      </c>
      <c r="G958">
        <v>-11938805</v>
      </c>
      <c r="H958">
        <v>79670054</v>
      </c>
      <c r="I958">
        <v>5755611</v>
      </c>
      <c r="J958">
        <v>4592607</v>
      </c>
      <c r="K958">
        <v>77933315</v>
      </c>
      <c r="L958">
        <v>72874162</v>
      </c>
      <c r="M958">
        <v>47716331</v>
      </c>
      <c r="N958">
        <v>57726152</v>
      </c>
      <c r="O958">
        <v>63118097</v>
      </c>
      <c r="P958">
        <v>172</v>
      </c>
      <c r="Q958" t="s">
        <v>2184</v>
      </c>
    </row>
    <row r="959" spans="1:17" x14ac:dyDescent="0.3">
      <c r="A959" t="s">
        <v>17</v>
      </c>
      <c r="B959" t="str">
        <f>"601279"</f>
        <v>601279</v>
      </c>
      <c r="C959" t="s">
        <v>2185</v>
      </c>
      <c r="D959" t="s">
        <v>1419</v>
      </c>
      <c r="E959">
        <v>91892295</v>
      </c>
      <c r="F959">
        <v>248696068</v>
      </c>
      <c r="G959">
        <v>353655446</v>
      </c>
      <c r="P959">
        <v>43</v>
      </c>
      <c r="Q959" t="s">
        <v>2186</v>
      </c>
    </row>
    <row r="960" spans="1:17" x14ac:dyDescent="0.3">
      <c r="A960" t="s">
        <v>17</v>
      </c>
      <c r="B960" t="str">
        <f>"600668"</f>
        <v>600668</v>
      </c>
      <c r="C960" t="s">
        <v>2187</v>
      </c>
      <c r="D960" t="s">
        <v>523</v>
      </c>
      <c r="E960">
        <v>91648304</v>
      </c>
      <c r="F960">
        <v>63356746</v>
      </c>
      <c r="G960">
        <v>-27090801</v>
      </c>
      <c r="H960">
        <v>87642074</v>
      </c>
      <c r="I960">
        <v>13967176</v>
      </c>
      <c r="J960">
        <v>317755</v>
      </c>
      <c r="K960">
        <v>21139124</v>
      </c>
      <c r="L960">
        <v>-87062643</v>
      </c>
      <c r="M960">
        <v>29735803</v>
      </c>
      <c r="N960">
        <v>4617507</v>
      </c>
      <c r="O960">
        <v>-16712268</v>
      </c>
      <c r="P960">
        <v>343</v>
      </c>
      <c r="Q960" t="s">
        <v>2188</v>
      </c>
    </row>
    <row r="961" spans="1:17" x14ac:dyDescent="0.3">
      <c r="A961" t="s">
        <v>33</v>
      </c>
      <c r="B961" t="str">
        <f>"002986"</f>
        <v>002986</v>
      </c>
      <c r="C961" t="s">
        <v>2189</v>
      </c>
      <c r="D961" t="s">
        <v>732</v>
      </c>
      <c r="E961">
        <v>91501439</v>
      </c>
      <c r="F961">
        <v>-7223680</v>
      </c>
      <c r="G961">
        <v>-60539979</v>
      </c>
      <c r="H961">
        <v>9766562</v>
      </c>
      <c r="P961">
        <v>58</v>
      </c>
      <c r="Q961" t="s">
        <v>2190</v>
      </c>
    </row>
    <row r="962" spans="1:17" x14ac:dyDescent="0.3">
      <c r="A962" t="s">
        <v>33</v>
      </c>
      <c r="B962" t="str">
        <f>"000897"</f>
        <v>000897</v>
      </c>
      <c r="C962" t="s">
        <v>2191</v>
      </c>
      <c r="D962" t="s">
        <v>167</v>
      </c>
      <c r="E962">
        <v>90730355</v>
      </c>
      <c r="F962">
        <v>260697436</v>
      </c>
      <c r="G962">
        <v>148805444</v>
      </c>
      <c r="H962">
        <v>-27020727</v>
      </c>
      <c r="I962">
        <v>-6246481</v>
      </c>
      <c r="J962">
        <v>-70607505</v>
      </c>
      <c r="K962">
        <v>58185348</v>
      </c>
      <c r="L962">
        <v>-3417494</v>
      </c>
      <c r="M962">
        <v>78805117</v>
      </c>
      <c r="N962">
        <v>-138787898</v>
      </c>
      <c r="O962">
        <v>-464236927</v>
      </c>
      <c r="P962">
        <v>170</v>
      </c>
      <c r="Q962" t="s">
        <v>2192</v>
      </c>
    </row>
    <row r="963" spans="1:17" x14ac:dyDescent="0.3">
      <c r="A963" t="s">
        <v>33</v>
      </c>
      <c r="B963" t="str">
        <f>"300303"</f>
        <v>300303</v>
      </c>
      <c r="C963" t="s">
        <v>2193</v>
      </c>
      <c r="D963" t="s">
        <v>1299</v>
      </c>
      <c r="E963">
        <v>90569557</v>
      </c>
      <c r="F963">
        <v>98556011</v>
      </c>
      <c r="G963">
        <v>230441526</v>
      </c>
      <c r="H963">
        <v>74658254</v>
      </c>
      <c r="I963">
        <v>-3671585</v>
      </c>
      <c r="J963">
        <v>94897467</v>
      </c>
      <c r="K963">
        <v>37627093</v>
      </c>
      <c r="L963">
        <v>24204902</v>
      </c>
      <c r="M963">
        <v>43764219</v>
      </c>
      <c r="N963">
        <v>23105535</v>
      </c>
      <c r="O963">
        <v>6004533</v>
      </c>
      <c r="P963">
        <v>256</v>
      </c>
      <c r="Q963" t="s">
        <v>2194</v>
      </c>
    </row>
    <row r="964" spans="1:17" x14ac:dyDescent="0.3">
      <c r="A964" t="s">
        <v>17</v>
      </c>
      <c r="B964" t="str">
        <f>"600754"</f>
        <v>600754</v>
      </c>
      <c r="C964" t="s">
        <v>2195</v>
      </c>
      <c r="D964" t="s">
        <v>2043</v>
      </c>
      <c r="E964">
        <v>90522636</v>
      </c>
      <c r="F964">
        <v>-496203676</v>
      </c>
      <c r="G964">
        <v>-1350010318</v>
      </c>
      <c r="H964">
        <v>52239327</v>
      </c>
      <c r="I964">
        <v>246581797</v>
      </c>
      <c r="J964">
        <v>419335445</v>
      </c>
      <c r="K964">
        <v>230316219</v>
      </c>
      <c r="L964">
        <v>60799709</v>
      </c>
      <c r="M964">
        <v>40106539</v>
      </c>
      <c r="N964">
        <v>63523433</v>
      </c>
      <c r="O964">
        <v>85921614</v>
      </c>
      <c r="P964">
        <v>668</v>
      </c>
      <c r="Q964" t="s">
        <v>2196</v>
      </c>
    </row>
    <row r="965" spans="1:17" x14ac:dyDescent="0.3">
      <c r="A965" t="s">
        <v>17</v>
      </c>
      <c r="B965" t="str">
        <f>"603882"</f>
        <v>603882</v>
      </c>
      <c r="C965" t="s">
        <v>2197</v>
      </c>
      <c r="D965" t="s">
        <v>2198</v>
      </c>
      <c r="E965">
        <v>90285682</v>
      </c>
      <c r="F965">
        <v>160605600</v>
      </c>
      <c r="G965">
        <v>-117839591</v>
      </c>
      <c r="H965">
        <v>-11539587</v>
      </c>
      <c r="I965">
        <v>-39775754</v>
      </c>
      <c r="J965">
        <v>-45271637</v>
      </c>
      <c r="P965">
        <v>1844</v>
      </c>
      <c r="Q965" t="s">
        <v>2199</v>
      </c>
    </row>
    <row r="966" spans="1:17" x14ac:dyDescent="0.3">
      <c r="A966" t="s">
        <v>17</v>
      </c>
      <c r="B966" t="str">
        <f>"688200"</f>
        <v>688200</v>
      </c>
      <c r="C966" t="s">
        <v>2200</v>
      </c>
      <c r="D966" t="s">
        <v>2201</v>
      </c>
      <c r="E966">
        <v>90024045</v>
      </c>
      <c r="F966">
        <v>21799020</v>
      </c>
      <c r="G966">
        <v>9437102</v>
      </c>
      <c r="H966">
        <v>14263595</v>
      </c>
      <c r="P966">
        <v>291</v>
      </c>
      <c r="Q966" t="s">
        <v>2202</v>
      </c>
    </row>
    <row r="967" spans="1:17" x14ac:dyDescent="0.3">
      <c r="A967" t="s">
        <v>33</v>
      </c>
      <c r="B967" t="str">
        <f>"002833"</f>
        <v>002833</v>
      </c>
      <c r="C967" t="s">
        <v>2203</v>
      </c>
      <c r="D967" t="s">
        <v>1895</v>
      </c>
      <c r="E967">
        <v>89938821</v>
      </c>
      <c r="F967">
        <v>72246876</v>
      </c>
      <c r="G967">
        <v>3416335</v>
      </c>
      <c r="H967">
        <v>53046967</v>
      </c>
      <c r="I967">
        <v>58317886</v>
      </c>
      <c r="J967">
        <v>58510568</v>
      </c>
      <c r="K967">
        <v>35509896</v>
      </c>
      <c r="P967">
        <v>2869</v>
      </c>
      <c r="Q967" t="s">
        <v>2204</v>
      </c>
    </row>
    <row r="968" spans="1:17" x14ac:dyDescent="0.3">
      <c r="A968" t="s">
        <v>33</v>
      </c>
      <c r="B968" t="str">
        <f>"002940"</f>
        <v>002940</v>
      </c>
      <c r="C968" t="s">
        <v>2205</v>
      </c>
      <c r="D968" t="s">
        <v>590</v>
      </c>
      <c r="E968">
        <v>89918249</v>
      </c>
      <c r="F968">
        <v>52662780</v>
      </c>
      <c r="G968">
        <v>103085671</v>
      </c>
      <c r="H968">
        <v>51268440</v>
      </c>
      <c r="I968">
        <v>34265803</v>
      </c>
      <c r="P968">
        <v>148</v>
      </c>
      <c r="Q968" t="s">
        <v>2206</v>
      </c>
    </row>
    <row r="969" spans="1:17" x14ac:dyDescent="0.3">
      <c r="A969" t="s">
        <v>33</v>
      </c>
      <c r="B969" t="str">
        <f>"300821"</f>
        <v>300821</v>
      </c>
      <c r="C969" t="s">
        <v>2207</v>
      </c>
      <c r="D969" t="s">
        <v>729</v>
      </c>
      <c r="E969">
        <v>89694838</v>
      </c>
      <c r="F969">
        <v>67667861</v>
      </c>
      <c r="G969">
        <v>20933718</v>
      </c>
      <c r="H969">
        <v>126660412</v>
      </c>
      <c r="P969">
        <v>159</v>
      </c>
      <c r="Q969" t="s">
        <v>2208</v>
      </c>
    </row>
    <row r="970" spans="1:17" x14ac:dyDescent="0.3">
      <c r="A970" t="s">
        <v>33</v>
      </c>
      <c r="B970" t="str">
        <f>"002182"</f>
        <v>002182</v>
      </c>
      <c r="C970" t="s">
        <v>2209</v>
      </c>
      <c r="D970" t="s">
        <v>720</v>
      </c>
      <c r="E970">
        <v>89639048</v>
      </c>
      <c r="F970">
        <v>110252828</v>
      </c>
      <c r="G970">
        <v>74510775</v>
      </c>
      <c r="H970">
        <v>86955184</v>
      </c>
      <c r="I970">
        <v>10969812</v>
      </c>
      <c r="J970">
        <v>9314929</v>
      </c>
      <c r="K970">
        <v>80274980</v>
      </c>
      <c r="L970">
        <v>90457278</v>
      </c>
      <c r="M970">
        <v>144084842</v>
      </c>
      <c r="N970">
        <v>60054618</v>
      </c>
      <c r="O970">
        <v>62754652</v>
      </c>
      <c r="P970">
        <v>372</v>
      </c>
      <c r="Q970" t="s">
        <v>2210</v>
      </c>
    </row>
    <row r="971" spans="1:17" x14ac:dyDescent="0.3">
      <c r="A971" t="s">
        <v>33</v>
      </c>
      <c r="B971" t="str">
        <f>"300033"</f>
        <v>300033</v>
      </c>
      <c r="C971" t="s">
        <v>2211</v>
      </c>
      <c r="D971" t="s">
        <v>807</v>
      </c>
      <c r="E971">
        <v>89428593</v>
      </c>
      <c r="F971">
        <v>189428529</v>
      </c>
      <c r="G971">
        <v>209174141</v>
      </c>
      <c r="H971">
        <v>145044354</v>
      </c>
      <c r="I971">
        <v>67350385</v>
      </c>
      <c r="J971">
        <v>133116637</v>
      </c>
      <c r="K971">
        <v>182287192</v>
      </c>
      <c r="L971">
        <v>112757825</v>
      </c>
      <c r="M971">
        <v>-12426269</v>
      </c>
      <c r="N971">
        <v>-737472</v>
      </c>
      <c r="O971">
        <v>-17245335</v>
      </c>
      <c r="P971">
        <v>2726</v>
      </c>
      <c r="Q971" t="s">
        <v>2212</v>
      </c>
    </row>
    <row r="972" spans="1:17" x14ac:dyDescent="0.3">
      <c r="A972" t="s">
        <v>17</v>
      </c>
      <c r="B972" t="str">
        <f>"603626"</f>
        <v>603626</v>
      </c>
      <c r="C972" t="s">
        <v>2213</v>
      </c>
      <c r="D972" t="s">
        <v>226</v>
      </c>
      <c r="E972">
        <v>89161236</v>
      </c>
      <c r="F972">
        <v>2526366</v>
      </c>
      <c r="G972">
        <v>80315965</v>
      </c>
      <c r="H972">
        <v>98592060</v>
      </c>
      <c r="I972">
        <v>64291294</v>
      </c>
      <c r="J972">
        <v>82418026</v>
      </c>
      <c r="K972">
        <v>102101309</v>
      </c>
      <c r="P972">
        <v>173</v>
      </c>
      <c r="Q972" t="s">
        <v>2214</v>
      </c>
    </row>
    <row r="973" spans="1:17" x14ac:dyDescent="0.3">
      <c r="A973" t="s">
        <v>33</v>
      </c>
      <c r="B973" t="str">
        <f>"002012"</f>
        <v>002012</v>
      </c>
      <c r="C973" t="s">
        <v>2215</v>
      </c>
      <c r="D973" t="s">
        <v>1119</v>
      </c>
      <c r="E973">
        <v>89035716</v>
      </c>
      <c r="F973">
        <v>4409129</v>
      </c>
      <c r="G973">
        <v>-110206240</v>
      </c>
      <c r="H973">
        <v>-40110454</v>
      </c>
      <c r="I973">
        <v>-40789774</v>
      </c>
      <c r="J973">
        <v>893371</v>
      </c>
      <c r="K973">
        <v>21947480</v>
      </c>
      <c r="L973">
        <v>-18019874</v>
      </c>
      <c r="M973">
        <v>29666573</v>
      </c>
      <c r="N973">
        <v>-21400455</v>
      </c>
      <c r="O973">
        <v>3295628</v>
      </c>
      <c r="P973">
        <v>131</v>
      </c>
      <c r="Q973" t="s">
        <v>2216</v>
      </c>
    </row>
    <row r="974" spans="1:17" x14ac:dyDescent="0.3">
      <c r="A974" t="s">
        <v>17</v>
      </c>
      <c r="B974" t="str">
        <f>"603719"</f>
        <v>603719</v>
      </c>
      <c r="C974" t="s">
        <v>2217</v>
      </c>
      <c r="D974" t="s">
        <v>1157</v>
      </c>
      <c r="E974">
        <v>88912669</v>
      </c>
      <c r="F974">
        <v>-36089235</v>
      </c>
      <c r="G974">
        <v>59954403</v>
      </c>
      <c r="H974">
        <v>71659368</v>
      </c>
      <c r="P974">
        <v>715</v>
      </c>
      <c r="Q974" t="s">
        <v>2218</v>
      </c>
    </row>
    <row r="975" spans="1:17" x14ac:dyDescent="0.3">
      <c r="A975" t="s">
        <v>33</v>
      </c>
      <c r="B975" t="str">
        <f>"300230"</f>
        <v>300230</v>
      </c>
      <c r="C975" t="s">
        <v>2219</v>
      </c>
      <c r="D975" t="s">
        <v>1483</v>
      </c>
      <c r="E975">
        <v>88859782</v>
      </c>
      <c r="F975">
        <v>58892524</v>
      </c>
      <c r="G975">
        <v>105121986</v>
      </c>
      <c r="H975">
        <v>114053988</v>
      </c>
      <c r="I975">
        <v>66728177</v>
      </c>
      <c r="J975">
        <v>119426683</v>
      </c>
      <c r="K975">
        <v>11136570</v>
      </c>
      <c r="L975">
        <v>5663659</v>
      </c>
      <c r="M975">
        <v>463719</v>
      </c>
      <c r="N975">
        <v>-5810200</v>
      </c>
      <c r="O975">
        <v>7215434</v>
      </c>
      <c r="P975">
        <v>169</v>
      </c>
      <c r="Q975" t="s">
        <v>2220</v>
      </c>
    </row>
    <row r="976" spans="1:17" x14ac:dyDescent="0.3">
      <c r="A976" t="s">
        <v>33</v>
      </c>
      <c r="B976" t="str">
        <f>"300543"</f>
        <v>300543</v>
      </c>
      <c r="C976" t="s">
        <v>2221</v>
      </c>
      <c r="D976" t="s">
        <v>226</v>
      </c>
      <c r="E976">
        <v>88561810</v>
      </c>
      <c r="F976">
        <v>-148231108</v>
      </c>
      <c r="G976">
        <v>83536226</v>
      </c>
      <c r="H976">
        <v>28361723</v>
      </c>
      <c r="I976">
        <v>-37998183</v>
      </c>
      <c r="J976">
        <v>10831488</v>
      </c>
      <c r="K976">
        <v>18885608</v>
      </c>
      <c r="P976">
        <v>152</v>
      </c>
      <c r="Q976" t="s">
        <v>2222</v>
      </c>
    </row>
    <row r="977" spans="1:17" x14ac:dyDescent="0.3">
      <c r="A977" t="s">
        <v>17</v>
      </c>
      <c r="B977" t="str">
        <f>"688110"</f>
        <v>688110</v>
      </c>
      <c r="C977" t="s">
        <v>2223</v>
      </c>
      <c r="D977" t="s">
        <v>1277</v>
      </c>
      <c r="E977">
        <v>88046713</v>
      </c>
      <c r="P977">
        <v>28</v>
      </c>
      <c r="Q977" t="s">
        <v>2224</v>
      </c>
    </row>
    <row r="978" spans="1:17" x14ac:dyDescent="0.3">
      <c r="A978" t="s">
        <v>33</v>
      </c>
      <c r="B978" t="str">
        <f>"002484"</f>
        <v>002484</v>
      </c>
      <c r="C978" t="s">
        <v>2225</v>
      </c>
      <c r="D978" t="s">
        <v>869</v>
      </c>
      <c r="E978">
        <v>87769767</v>
      </c>
      <c r="F978">
        <v>97164612</v>
      </c>
      <c r="G978">
        <v>81081425</v>
      </c>
      <c r="H978">
        <v>18342680</v>
      </c>
      <c r="I978">
        <v>20788818</v>
      </c>
      <c r="J978">
        <v>39580058</v>
      </c>
      <c r="K978">
        <v>33929046</v>
      </c>
      <c r="L978">
        <v>12282505</v>
      </c>
      <c r="M978">
        <v>59772914</v>
      </c>
      <c r="N978">
        <v>11490222</v>
      </c>
      <c r="O978">
        <v>15201713</v>
      </c>
      <c r="P978">
        <v>311</v>
      </c>
      <c r="Q978" t="s">
        <v>2226</v>
      </c>
    </row>
    <row r="979" spans="1:17" x14ac:dyDescent="0.3">
      <c r="A979" t="s">
        <v>33</v>
      </c>
      <c r="B979" t="str">
        <f>"003016"</f>
        <v>003016</v>
      </c>
      <c r="C979" t="s">
        <v>2227</v>
      </c>
      <c r="D979" t="s">
        <v>581</v>
      </c>
      <c r="E979">
        <v>87767520</v>
      </c>
      <c r="F979">
        <v>105977843</v>
      </c>
      <c r="G979">
        <v>65150095</v>
      </c>
      <c r="P979">
        <v>58</v>
      </c>
      <c r="Q979" t="s">
        <v>2228</v>
      </c>
    </row>
    <row r="980" spans="1:17" x14ac:dyDescent="0.3">
      <c r="A980" t="s">
        <v>33</v>
      </c>
      <c r="B980" t="str">
        <f>"002957"</f>
        <v>002957</v>
      </c>
      <c r="C980" t="s">
        <v>2229</v>
      </c>
      <c r="D980" t="s">
        <v>2148</v>
      </c>
      <c r="E980">
        <v>87715380</v>
      </c>
      <c r="F980">
        <v>56258500</v>
      </c>
      <c r="G980">
        <v>279348379</v>
      </c>
      <c r="H980">
        <v>120821000</v>
      </c>
      <c r="I980">
        <v>122213000</v>
      </c>
      <c r="P980">
        <v>182</v>
      </c>
      <c r="Q980" t="s">
        <v>2230</v>
      </c>
    </row>
    <row r="981" spans="1:17" x14ac:dyDescent="0.3">
      <c r="A981" t="s">
        <v>33</v>
      </c>
      <c r="B981" t="str">
        <f>"002969"</f>
        <v>002969</v>
      </c>
      <c r="C981" t="s">
        <v>2231</v>
      </c>
      <c r="D981" t="s">
        <v>2115</v>
      </c>
      <c r="E981">
        <v>87586331</v>
      </c>
      <c r="F981">
        <v>189328856</v>
      </c>
      <c r="G981">
        <v>-103265182</v>
      </c>
      <c r="H981">
        <v>106800819</v>
      </c>
      <c r="P981">
        <v>78</v>
      </c>
      <c r="Q981" t="s">
        <v>2232</v>
      </c>
    </row>
    <row r="982" spans="1:17" x14ac:dyDescent="0.3">
      <c r="A982" t="s">
        <v>33</v>
      </c>
      <c r="B982" t="str">
        <f>"002624"</f>
        <v>002624</v>
      </c>
      <c r="C982" t="s">
        <v>2233</v>
      </c>
      <c r="D982" t="s">
        <v>751</v>
      </c>
      <c r="E982">
        <v>87342428</v>
      </c>
      <c r="F982">
        <v>39079366</v>
      </c>
      <c r="G982">
        <v>571016149</v>
      </c>
      <c r="H982">
        <v>-174932174</v>
      </c>
      <c r="I982">
        <v>-296541033</v>
      </c>
      <c r="J982">
        <v>-25133248</v>
      </c>
      <c r="K982">
        <v>-546957421</v>
      </c>
      <c r="L982">
        <v>-50359969</v>
      </c>
      <c r="M982">
        <v>-14062398</v>
      </c>
      <c r="N982">
        <v>-13511188</v>
      </c>
      <c r="O982">
        <v>17569678</v>
      </c>
      <c r="P982">
        <v>2399</v>
      </c>
      <c r="Q982" t="s">
        <v>2234</v>
      </c>
    </row>
    <row r="983" spans="1:17" x14ac:dyDescent="0.3">
      <c r="A983" t="s">
        <v>33</v>
      </c>
      <c r="B983" t="str">
        <f>"300641"</f>
        <v>300641</v>
      </c>
      <c r="C983" t="s">
        <v>2235</v>
      </c>
      <c r="D983" t="s">
        <v>418</v>
      </c>
      <c r="E983">
        <v>87175225</v>
      </c>
      <c r="F983">
        <v>-1959173</v>
      </c>
      <c r="G983">
        <v>-18091886</v>
      </c>
      <c r="H983">
        <v>-86969830</v>
      </c>
      <c r="I983">
        <v>53564577</v>
      </c>
      <c r="J983">
        <v>4776349</v>
      </c>
      <c r="K983">
        <v>32151287</v>
      </c>
      <c r="P983">
        <v>79</v>
      </c>
      <c r="Q983" t="s">
        <v>2236</v>
      </c>
    </row>
    <row r="984" spans="1:17" x14ac:dyDescent="0.3">
      <c r="A984" t="s">
        <v>33</v>
      </c>
      <c r="B984" t="str">
        <f>"300039"</f>
        <v>300039</v>
      </c>
      <c r="C984" t="s">
        <v>2237</v>
      </c>
      <c r="D984" t="s">
        <v>533</v>
      </c>
      <c r="E984">
        <v>87056121</v>
      </c>
      <c r="F984">
        <v>-21005200</v>
      </c>
      <c r="G984">
        <v>79801254</v>
      </c>
      <c r="H984">
        <v>60675453</v>
      </c>
      <c r="I984">
        <v>15206608</v>
      </c>
      <c r="J984">
        <v>71212745</v>
      </c>
      <c r="K984">
        <v>84122564</v>
      </c>
      <c r="L984">
        <v>4507036</v>
      </c>
      <c r="M984">
        <v>78829790</v>
      </c>
      <c r="N984">
        <v>97960084</v>
      </c>
      <c r="O984">
        <v>75524289</v>
      </c>
      <c r="P984">
        <v>223</v>
      </c>
      <c r="Q984" t="s">
        <v>2238</v>
      </c>
    </row>
    <row r="985" spans="1:17" x14ac:dyDescent="0.3">
      <c r="A985" t="s">
        <v>17</v>
      </c>
      <c r="B985" t="str">
        <f>"600330"</f>
        <v>600330</v>
      </c>
      <c r="C985" t="s">
        <v>2239</v>
      </c>
      <c r="D985" t="s">
        <v>1895</v>
      </c>
      <c r="E985">
        <v>86743852</v>
      </c>
      <c r="F985">
        <v>70505529</v>
      </c>
      <c r="G985">
        <v>-37892059</v>
      </c>
      <c r="H985">
        <v>-134152252</v>
      </c>
      <c r="I985">
        <v>-126447399</v>
      </c>
      <c r="J985">
        <v>7134351</v>
      </c>
      <c r="K985">
        <v>15750374</v>
      </c>
      <c r="L985">
        <v>-60303163</v>
      </c>
      <c r="M985">
        <v>-20711065</v>
      </c>
      <c r="N985">
        <v>-40093068</v>
      </c>
      <c r="O985">
        <v>-43773904</v>
      </c>
      <c r="P985">
        <v>3157</v>
      </c>
      <c r="Q985" t="s">
        <v>2240</v>
      </c>
    </row>
    <row r="986" spans="1:17" x14ac:dyDescent="0.3">
      <c r="A986" t="s">
        <v>33</v>
      </c>
      <c r="B986" t="str">
        <f>"002847"</f>
        <v>002847</v>
      </c>
      <c r="C986" t="s">
        <v>2241</v>
      </c>
      <c r="D986" t="s">
        <v>1157</v>
      </c>
      <c r="E986">
        <v>86671979</v>
      </c>
      <c r="F986">
        <v>28974011</v>
      </c>
      <c r="G986">
        <v>111269773</v>
      </c>
      <c r="H986">
        <v>22474412</v>
      </c>
      <c r="I986">
        <v>-23683929</v>
      </c>
      <c r="J986">
        <v>29191089</v>
      </c>
      <c r="K986">
        <v>34131501</v>
      </c>
      <c r="P986">
        <v>742</v>
      </c>
      <c r="Q986" t="s">
        <v>2242</v>
      </c>
    </row>
    <row r="987" spans="1:17" x14ac:dyDescent="0.3">
      <c r="A987" t="s">
        <v>33</v>
      </c>
      <c r="B987" t="str">
        <f>"300814"</f>
        <v>300814</v>
      </c>
      <c r="C987" t="s">
        <v>2243</v>
      </c>
      <c r="D987" t="s">
        <v>239</v>
      </c>
      <c r="E987">
        <v>86637163</v>
      </c>
      <c r="F987">
        <v>56191457</v>
      </c>
      <c r="G987">
        <v>31028785</v>
      </c>
      <c r="P987">
        <v>14</v>
      </c>
      <c r="Q987" t="s">
        <v>2244</v>
      </c>
    </row>
    <row r="988" spans="1:17" x14ac:dyDescent="0.3">
      <c r="A988" t="s">
        <v>17</v>
      </c>
      <c r="B988" t="str">
        <f>"603002"</f>
        <v>603002</v>
      </c>
      <c r="C988" t="s">
        <v>2245</v>
      </c>
      <c r="D988" t="s">
        <v>1330</v>
      </c>
      <c r="E988">
        <v>86511560</v>
      </c>
      <c r="F988">
        <v>-10848868</v>
      </c>
      <c r="G988">
        <v>-8572167</v>
      </c>
      <c r="H988">
        <v>-107336462</v>
      </c>
      <c r="I988">
        <v>75230700</v>
      </c>
      <c r="J988">
        <v>20544927</v>
      </c>
      <c r="K988">
        <v>-30642061</v>
      </c>
      <c r="L988">
        <v>-37417071</v>
      </c>
      <c r="M988">
        <v>7430697</v>
      </c>
      <c r="N988">
        <v>-37004101</v>
      </c>
      <c r="O988">
        <v>-2639637</v>
      </c>
      <c r="P988">
        <v>117</v>
      </c>
      <c r="Q988" t="s">
        <v>2246</v>
      </c>
    </row>
    <row r="989" spans="1:17" x14ac:dyDescent="0.3">
      <c r="A989" t="s">
        <v>17</v>
      </c>
      <c r="B989" t="str">
        <f>"605366"</f>
        <v>605366</v>
      </c>
      <c r="C989" t="s">
        <v>2247</v>
      </c>
      <c r="D989" t="s">
        <v>418</v>
      </c>
      <c r="E989">
        <v>86398311</v>
      </c>
      <c r="F989">
        <v>26822290</v>
      </c>
      <c r="G989">
        <v>45235820</v>
      </c>
      <c r="H989">
        <v>25034357</v>
      </c>
      <c r="P989">
        <v>59</v>
      </c>
      <c r="Q989" t="s">
        <v>2248</v>
      </c>
    </row>
    <row r="990" spans="1:17" x14ac:dyDescent="0.3">
      <c r="A990" t="s">
        <v>17</v>
      </c>
      <c r="B990" t="str">
        <f>"600285"</f>
        <v>600285</v>
      </c>
      <c r="C990" t="s">
        <v>2249</v>
      </c>
      <c r="D990" t="s">
        <v>533</v>
      </c>
      <c r="E990">
        <v>86358829</v>
      </c>
      <c r="F990">
        <v>225388371</v>
      </c>
      <c r="G990">
        <v>139446429</v>
      </c>
      <c r="H990">
        <v>161360731</v>
      </c>
      <c r="I990">
        <v>137959509</v>
      </c>
      <c r="J990">
        <v>43369023</v>
      </c>
      <c r="K990">
        <v>-13053730</v>
      </c>
      <c r="L990">
        <v>44563183</v>
      </c>
      <c r="M990">
        <v>-1938228</v>
      </c>
      <c r="N990">
        <v>-4826551</v>
      </c>
      <c r="O990">
        <v>-25889324</v>
      </c>
      <c r="P990">
        <v>606</v>
      </c>
      <c r="Q990" t="s">
        <v>2250</v>
      </c>
    </row>
    <row r="991" spans="1:17" x14ac:dyDescent="0.3">
      <c r="A991" t="s">
        <v>33</v>
      </c>
      <c r="B991" t="str">
        <f>"002006"</f>
        <v>002006</v>
      </c>
      <c r="C991" t="s">
        <v>2251</v>
      </c>
      <c r="D991" t="s">
        <v>1895</v>
      </c>
      <c r="E991">
        <v>85967180</v>
      </c>
      <c r="F991">
        <v>13424013</v>
      </c>
      <c r="G991">
        <v>56423167</v>
      </c>
      <c r="H991">
        <v>-32037271</v>
      </c>
      <c r="I991">
        <v>-21562979</v>
      </c>
      <c r="J991">
        <v>-11380007</v>
      </c>
      <c r="K991">
        <v>-70557729</v>
      </c>
      <c r="L991">
        <v>-78516297</v>
      </c>
      <c r="M991">
        <v>-59780344</v>
      </c>
      <c r="N991">
        <v>-14844739</v>
      </c>
      <c r="O991">
        <v>-31422780</v>
      </c>
      <c r="P991">
        <v>127</v>
      </c>
      <c r="Q991" t="s">
        <v>2252</v>
      </c>
    </row>
    <row r="992" spans="1:17" x14ac:dyDescent="0.3">
      <c r="A992" t="s">
        <v>33</v>
      </c>
      <c r="B992" t="str">
        <f>"300533"</f>
        <v>300533</v>
      </c>
      <c r="C992" t="s">
        <v>2253</v>
      </c>
      <c r="D992" t="s">
        <v>751</v>
      </c>
      <c r="E992">
        <v>85958073</v>
      </c>
      <c r="F992">
        <v>-34512596</v>
      </c>
      <c r="G992">
        <v>22020657</v>
      </c>
      <c r="H992">
        <v>22484363</v>
      </c>
      <c r="I992">
        <v>-6256570</v>
      </c>
      <c r="J992">
        <v>-5238431</v>
      </c>
      <c r="K992">
        <v>25094295</v>
      </c>
      <c r="L992">
        <v>43254576</v>
      </c>
      <c r="P992">
        <v>131</v>
      </c>
      <c r="Q992" t="s">
        <v>2254</v>
      </c>
    </row>
    <row r="993" spans="1:17" x14ac:dyDescent="0.3">
      <c r="A993" t="s">
        <v>33</v>
      </c>
      <c r="B993" t="str">
        <f>"002029"</f>
        <v>002029</v>
      </c>
      <c r="C993" t="s">
        <v>2255</v>
      </c>
      <c r="D993" t="s">
        <v>581</v>
      </c>
      <c r="E993">
        <v>85853281</v>
      </c>
      <c r="F993">
        <v>140242519</v>
      </c>
      <c r="G993">
        <v>-6112004</v>
      </c>
      <c r="H993">
        <v>70589805</v>
      </c>
      <c r="I993">
        <v>23397880</v>
      </c>
      <c r="J993">
        <v>162735692</v>
      </c>
      <c r="K993">
        <v>124673853</v>
      </c>
      <c r="L993">
        <v>102440998</v>
      </c>
      <c r="M993">
        <v>129836682</v>
      </c>
      <c r="N993">
        <v>379584554</v>
      </c>
      <c r="O993">
        <v>238326893</v>
      </c>
      <c r="P993">
        <v>217</v>
      </c>
      <c r="Q993" t="s">
        <v>2256</v>
      </c>
    </row>
    <row r="994" spans="1:17" x14ac:dyDescent="0.3">
      <c r="A994" t="s">
        <v>33</v>
      </c>
      <c r="B994" t="str">
        <f>"000990"</f>
        <v>000990</v>
      </c>
      <c r="C994" t="s">
        <v>2257</v>
      </c>
      <c r="D994" t="s">
        <v>301</v>
      </c>
      <c r="E994">
        <v>85797720</v>
      </c>
      <c r="F994">
        <v>219170854</v>
      </c>
      <c r="G994">
        <v>-3821632</v>
      </c>
      <c r="H994">
        <v>95514827</v>
      </c>
      <c r="I994">
        <v>132050880</v>
      </c>
      <c r="J994">
        <v>361941806</v>
      </c>
      <c r="K994">
        <v>-33832360</v>
      </c>
      <c r="L994">
        <v>-133873466</v>
      </c>
      <c r="M994">
        <v>-298429274</v>
      </c>
      <c r="N994">
        <v>18276593</v>
      </c>
      <c r="O994">
        <v>19300791</v>
      </c>
      <c r="P994">
        <v>194</v>
      </c>
      <c r="Q994" t="s">
        <v>2258</v>
      </c>
    </row>
    <row r="995" spans="1:17" x14ac:dyDescent="0.3">
      <c r="A995" t="s">
        <v>33</v>
      </c>
      <c r="B995" t="str">
        <f>"300181"</f>
        <v>300181</v>
      </c>
      <c r="C995" t="s">
        <v>2259</v>
      </c>
      <c r="D995" t="s">
        <v>533</v>
      </c>
      <c r="E995">
        <v>85732513</v>
      </c>
      <c r="F995">
        <v>47608885</v>
      </c>
      <c r="G995">
        <v>-64940</v>
      </c>
      <c r="H995">
        <v>-19562341</v>
      </c>
      <c r="I995">
        <v>-45249895</v>
      </c>
      <c r="J995">
        <v>-57678243</v>
      </c>
      <c r="K995">
        <v>-53599564</v>
      </c>
      <c r="L995">
        <v>-68390347</v>
      </c>
      <c r="M995">
        <v>-15578894</v>
      </c>
      <c r="N995">
        <v>-27751452</v>
      </c>
      <c r="O995">
        <v>-32167585</v>
      </c>
      <c r="P995">
        <v>174</v>
      </c>
      <c r="Q995" t="s">
        <v>2260</v>
      </c>
    </row>
    <row r="996" spans="1:17" x14ac:dyDescent="0.3">
      <c r="A996" t="s">
        <v>33</v>
      </c>
      <c r="B996" t="str">
        <f>"002023"</f>
        <v>002023</v>
      </c>
      <c r="C996" t="s">
        <v>2261</v>
      </c>
      <c r="D996" t="s">
        <v>2262</v>
      </c>
      <c r="E996">
        <v>85711351</v>
      </c>
      <c r="F996">
        <v>50785517</v>
      </c>
      <c r="G996">
        <v>-24092777</v>
      </c>
      <c r="H996">
        <v>25576548</v>
      </c>
      <c r="I996">
        <v>32888151</v>
      </c>
      <c r="J996">
        <v>-28358992</v>
      </c>
      <c r="K996">
        <v>-9686621</v>
      </c>
      <c r="L996">
        <v>-62724628</v>
      </c>
      <c r="M996">
        <v>21917941</v>
      </c>
      <c r="N996">
        <v>2908869</v>
      </c>
      <c r="O996">
        <v>-1533115</v>
      </c>
      <c r="P996">
        <v>580</v>
      </c>
      <c r="Q996" t="s">
        <v>2263</v>
      </c>
    </row>
    <row r="997" spans="1:17" x14ac:dyDescent="0.3">
      <c r="A997" t="s">
        <v>17</v>
      </c>
      <c r="B997" t="str">
        <f>"600410"</f>
        <v>600410</v>
      </c>
      <c r="C997" t="s">
        <v>2264</v>
      </c>
      <c r="D997" t="s">
        <v>508</v>
      </c>
      <c r="E997">
        <v>85688135</v>
      </c>
      <c r="F997">
        <v>171503844</v>
      </c>
      <c r="G997">
        <v>32947376</v>
      </c>
      <c r="H997">
        <v>-39883810</v>
      </c>
      <c r="I997">
        <v>-69568822</v>
      </c>
      <c r="J997">
        <v>-761251048</v>
      </c>
      <c r="K997">
        <v>-328313735</v>
      </c>
      <c r="L997">
        <v>-15563742</v>
      </c>
      <c r="M997">
        <v>4967731</v>
      </c>
      <c r="N997">
        <v>-166826497</v>
      </c>
      <c r="O997">
        <v>-105051596</v>
      </c>
      <c r="P997">
        <v>514</v>
      </c>
      <c r="Q997" t="s">
        <v>2265</v>
      </c>
    </row>
    <row r="998" spans="1:17" x14ac:dyDescent="0.3">
      <c r="A998" t="s">
        <v>17</v>
      </c>
      <c r="B998" t="str">
        <f>"600601"</f>
        <v>600601</v>
      </c>
      <c r="C998" t="s">
        <v>2266</v>
      </c>
      <c r="D998" t="s">
        <v>239</v>
      </c>
      <c r="E998">
        <v>85529971</v>
      </c>
      <c r="F998">
        <v>-101396413</v>
      </c>
      <c r="G998">
        <v>88299870</v>
      </c>
      <c r="H998">
        <v>7350656</v>
      </c>
      <c r="I998">
        <v>-155051173</v>
      </c>
      <c r="J998">
        <v>-313587344</v>
      </c>
      <c r="K998">
        <v>-316380980</v>
      </c>
      <c r="L998">
        <v>-363208679</v>
      </c>
      <c r="M998">
        <v>-80223110</v>
      </c>
      <c r="N998">
        <v>27306566</v>
      </c>
      <c r="O998">
        <v>-224845202</v>
      </c>
      <c r="P998">
        <v>228</v>
      </c>
      <c r="Q998" t="s">
        <v>2267</v>
      </c>
    </row>
    <row r="999" spans="1:17" x14ac:dyDescent="0.3">
      <c r="A999" t="s">
        <v>33</v>
      </c>
      <c r="B999" t="str">
        <f>"002611"</f>
        <v>002611</v>
      </c>
      <c r="C999" t="s">
        <v>2268</v>
      </c>
      <c r="D999" t="s">
        <v>2269</v>
      </c>
      <c r="E999">
        <v>85523349</v>
      </c>
      <c r="F999">
        <v>57536377</v>
      </c>
      <c r="G999">
        <v>-85471623</v>
      </c>
      <c r="H999">
        <v>419627202</v>
      </c>
      <c r="I999">
        <v>304888128</v>
      </c>
      <c r="J999">
        <v>46498590</v>
      </c>
      <c r="K999">
        <v>64257131</v>
      </c>
      <c r="L999">
        <v>38740386</v>
      </c>
      <c r="M999">
        <v>7974567</v>
      </c>
      <c r="N999">
        <v>2615344</v>
      </c>
      <c r="O999">
        <v>-7424939</v>
      </c>
      <c r="P999">
        <v>208</v>
      </c>
      <c r="Q999" t="s">
        <v>2270</v>
      </c>
    </row>
    <row r="1000" spans="1:17" x14ac:dyDescent="0.3">
      <c r="A1000" t="s">
        <v>33</v>
      </c>
      <c r="B1000" t="str">
        <f>"002681"</f>
        <v>002681</v>
      </c>
      <c r="C1000" t="s">
        <v>2271</v>
      </c>
      <c r="D1000" t="s">
        <v>226</v>
      </c>
      <c r="E1000">
        <v>85480402</v>
      </c>
      <c r="F1000">
        <v>110260563</v>
      </c>
      <c r="G1000">
        <v>233765551</v>
      </c>
      <c r="H1000">
        <v>128037362</v>
      </c>
      <c r="I1000">
        <v>432491563</v>
      </c>
      <c r="J1000">
        <v>31346721</v>
      </c>
      <c r="K1000">
        <v>36935215</v>
      </c>
      <c r="L1000">
        <v>21451827</v>
      </c>
      <c r="M1000">
        <v>14692102</v>
      </c>
      <c r="N1000">
        <v>29180789</v>
      </c>
      <c r="O1000">
        <v>8625266</v>
      </c>
      <c r="P1000">
        <v>216</v>
      </c>
      <c r="Q1000" t="s">
        <v>2272</v>
      </c>
    </row>
    <row r="1001" spans="1:17" x14ac:dyDescent="0.3">
      <c r="A1001" t="s">
        <v>33</v>
      </c>
      <c r="B1001" t="str">
        <f>"300215"</f>
        <v>300215</v>
      </c>
      <c r="C1001" t="s">
        <v>2273</v>
      </c>
      <c r="D1001" t="s">
        <v>2274</v>
      </c>
      <c r="E1001">
        <v>85452726</v>
      </c>
      <c r="F1001">
        <v>95794712</v>
      </c>
      <c r="G1001">
        <v>36066710</v>
      </c>
      <c r="H1001">
        <v>110386331</v>
      </c>
      <c r="I1001">
        <v>81266760</v>
      </c>
      <c r="J1001">
        <v>81048234</v>
      </c>
      <c r="K1001">
        <v>61888884</v>
      </c>
      <c r="L1001">
        <v>12208910</v>
      </c>
      <c r="M1001">
        <v>40810264</v>
      </c>
      <c r="N1001">
        <v>61767651</v>
      </c>
      <c r="O1001">
        <v>53056109</v>
      </c>
      <c r="P1001">
        <v>178</v>
      </c>
      <c r="Q1001" t="s">
        <v>2275</v>
      </c>
    </row>
    <row r="1002" spans="1:17" x14ac:dyDescent="0.3">
      <c r="A1002" t="s">
        <v>33</v>
      </c>
      <c r="B1002" t="str">
        <f>"300582"</f>
        <v>300582</v>
      </c>
      <c r="C1002" t="s">
        <v>2276</v>
      </c>
      <c r="D1002" t="s">
        <v>1299</v>
      </c>
      <c r="E1002">
        <v>85346475</v>
      </c>
      <c r="F1002">
        <v>-7334950</v>
      </c>
      <c r="G1002">
        <v>5944541</v>
      </c>
      <c r="H1002">
        <v>36421306</v>
      </c>
      <c r="I1002">
        <v>54768619</v>
      </c>
      <c r="J1002">
        <v>-43917285</v>
      </c>
      <c r="K1002">
        <v>9049200</v>
      </c>
      <c r="P1002">
        <v>152</v>
      </c>
      <c r="Q1002" t="s">
        <v>2277</v>
      </c>
    </row>
    <row r="1003" spans="1:17" x14ac:dyDescent="0.3">
      <c r="A1003" t="s">
        <v>17</v>
      </c>
      <c r="B1003" t="str">
        <f>"688788"</f>
        <v>688788</v>
      </c>
      <c r="C1003" t="s">
        <v>2278</v>
      </c>
      <c r="D1003" t="s">
        <v>617</v>
      </c>
      <c r="E1003">
        <v>85096600</v>
      </c>
      <c r="F1003">
        <v>-53315714</v>
      </c>
      <c r="G1003">
        <v>111419000</v>
      </c>
      <c r="H1003">
        <v>4966500</v>
      </c>
      <c r="P1003">
        <v>57</v>
      </c>
      <c r="Q1003" t="s">
        <v>2279</v>
      </c>
    </row>
    <row r="1004" spans="1:17" x14ac:dyDescent="0.3">
      <c r="A1004" t="s">
        <v>33</v>
      </c>
      <c r="B1004" t="str">
        <f>"301071"</f>
        <v>301071</v>
      </c>
      <c r="C1004" t="s">
        <v>2280</v>
      </c>
      <c r="D1004" t="s">
        <v>1219</v>
      </c>
      <c r="E1004">
        <v>84984042</v>
      </c>
      <c r="G1004">
        <v>-1136068</v>
      </c>
      <c r="P1004">
        <v>76</v>
      </c>
      <c r="Q1004" t="s">
        <v>2281</v>
      </c>
    </row>
    <row r="1005" spans="1:17" x14ac:dyDescent="0.3">
      <c r="A1005" t="s">
        <v>17</v>
      </c>
      <c r="B1005" t="str">
        <f>"600318"</f>
        <v>600318</v>
      </c>
      <c r="C1005" t="s">
        <v>2282</v>
      </c>
      <c r="D1005" t="s">
        <v>114</v>
      </c>
      <c r="E1005">
        <v>84507610</v>
      </c>
      <c r="F1005">
        <v>-67205341</v>
      </c>
      <c r="G1005">
        <v>11506383</v>
      </c>
      <c r="H1005">
        <v>-20293933</v>
      </c>
      <c r="I1005">
        <v>233100630</v>
      </c>
      <c r="J1005">
        <v>-243028896</v>
      </c>
      <c r="K1005">
        <v>105764179</v>
      </c>
      <c r="L1005">
        <v>-16554544</v>
      </c>
      <c r="M1005">
        <v>196331026</v>
      </c>
      <c r="N1005">
        <v>4120789</v>
      </c>
      <c r="O1005">
        <v>172788044</v>
      </c>
      <c r="P1005">
        <v>104</v>
      </c>
      <c r="Q1005" t="s">
        <v>2283</v>
      </c>
    </row>
    <row r="1006" spans="1:17" x14ac:dyDescent="0.3">
      <c r="A1006" t="s">
        <v>33</v>
      </c>
      <c r="B1006" t="str">
        <f>"000676"</f>
        <v>000676</v>
      </c>
      <c r="C1006" t="s">
        <v>2284</v>
      </c>
      <c r="D1006" t="s">
        <v>1125</v>
      </c>
      <c r="E1006">
        <v>84420881</v>
      </c>
      <c r="F1006">
        <v>-56093106</v>
      </c>
      <c r="G1006">
        <v>-48053780</v>
      </c>
      <c r="H1006">
        <v>17110342</v>
      </c>
      <c r="I1006">
        <v>-106850044</v>
      </c>
      <c r="J1006">
        <v>-115237205</v>
      </c>
      <c r="K1006">
        <v>-28791083</v>
      </c>
      <c r="L1006">
        <v>40899656</v>
      </c>
      <c r="M1006">
        <v>-24519844</v>
      </c>
      <c r="N1006">
        <v>-28141160</v>
      </c>
      <c r="O1006">
        <v>107227240</v>
      </c>
      <c r="P1006">
        <v>215</v>
      </c>
      <c r="Q1006" t="s">
        <v>2285</v>
      </c>
    </row>
    <row r="1007" spans="1:17" x14ac:dyDescent="0.3">
      <c r="A1007" t="s">
        <v>33</v>
      </c>
      <c r="B1007" t="str">
        <f>"300257"</f>
        <v>300257</v>
      </c>
      <c r="C1007" t="s">
        <v>2286</v>
      </c>
      <c r="D1007" t="s">
        <v>1033</v>
      </c>
      <c r="E1007">
        <v>84194198</v>
      </c>
      <c r="F1007">
        <v>6044529</v>
      </c>
      <c r="G1007">
        <v>17689861</v>
      </c>
      <c r="H1007">
        <v>-15393765</v>
      </c>
      <c r="I1007">
        <v>9629628</v>
      </c>
      <c r="J1007">
        <v>23453020</v>
      </c>
      <c r="K1007">
        <v>12451920</v>
      </c>
      <c r="L1007">
        <v>-42108495</v>
      </c>
      <c r="M1007">
        <v>95265064</v>
      </c>
      <c r="N1007">
        <v>-978074</v>
      </c>
      <c r="O1007">
        <v>82038977</v>
      </c>
      <c r="P1007">
        <v>148</v>
      </c>
      <c r="Q1007" t="s">
        <v>2287</v>
      </c>
    </row>
    <row r="1008" spans="1:17" x14ac:dyDescent="0.3">
      <c r="A1008" t="s">
        <v>33</v>
      </c>
      <c r="B1008" t="str">
        <f>"002270"</f>
        <v>002270</v>
      </c>
      <c r="C1008" t="s">
        <v>2288</v>
      </c>
      <c r="D1008" t="s">
        <v>298</v>
      </c>
      <c r="E1008">
        <v>83902633</v>
      </c>
      <c r="F1008">
        <v>39859368</v>
      </c>
      <c r="G1008">
        <v>36888709</v>
      </c>
      <c r="H1008">
        <v>-101843284</v>
      </c>
      <c r="I1008">
        <v>30089564</v>
      </c>
      <c r="J1008">
        <v>-105391537</v>
      </c>
      <c r="K1008">
        <v>3696901</v>
      </c>
      <c r="L1008">
        <v>9060521</v>
      </c>
      <c r="M1008">
        <v>-9379939</v>
      </c>
      <c r="N1008">
        <v>8822736</v>
      </c>
      <c r="O1008">
        <v>-10206630</v>
      </c>
      <c r="P1008">
        <v>160</v>
      </c>
      <c r="Q1008" t="s">
        <v>2289</v>
      </c>
    </row>
    <row r="1009" spans="1:17" x14ac:dyDescent="0.3">
      <c r="A1009" t="s">
        <v>33</v>
      </c>
      <c r="B1009" t="str">
        <f>"002983"</f>
        <v>002983</v>
      </c>
      <c r="C1009" t="s">
        <v>2290</v>
      </c>
      <c r="D1009" t="s">
        <v>1299</v>
      </c>
      <c r="E1009">
        <v>83845919</v>
      </c>
      <c r="F1009">
        <v>3179472</v>
      </c>
      <c r="G1009">
        <v>52221858</v>
      </c>
      <c r="H1009">
        <v>13757475</v>
      </c>
      <c r="P1009">
        <v>109</v>
      </c>
      <c r="Q1009" t="s">
        <v>2291</v>
      </c>
    </row>
    <row r="1010" spans="1:17" x14ac:dyDescent="0.3">
      <c r="A1010" t="s">
        <v>17</v>
      </c>
      <c r="B1010" t="str">
        <f>"603587"</f>
        <v>603587</v>
      </c>
      <c r="C1010" t="s">
        <v>2292</v>
      </c>
      <c r="D1010" t="s">
        <v>581</v>
      </c>
      <c r="E1010">
        <v>83772557</v>
      </c>
      <c r="F1010">
        <v>180726649</v>
      </c>
      <c r="G1010">
        <v>144915103</v>
      </c>
      <c r="H1010">
        <v>184744686</v>
      </c>
      <c r="I1010">
        <v>142698072</v>
      </c>
      <c r="J1010">
        <v>105487026</v>
      </c>
      <c r="P1010">
        <v>1011</v>
      </c>
      <c r="Q1010" t="s">
        <v>2293</v>
      </c>
    </row>
    <row r="1011" spans="1:17" x14ac:dyDescent="0.3">
      <c r="A1011" t="s">
        <v>17</v>
      </c>
      <c r="B1011" t="str">
        <f>"605188"</f>
        <v>605188</v>
      </c>
      <c r="C1011" t="s">
        <v>2294</v>
      </c>
      <c r="D1011" t="s">
        <v>279</v>
      </c>
      <c r="E1011">
        <v>83453589</v>
      </c>
      <c r="F1011">
        <v>103408799</v>
      </c>
      <c r="G1011">
        <v>123727135</v>
      </c>
      <c r="H1011">
        <v>147366363</v>
      </c>
      <c r="P1011">
        <v>43</v>
      </c>
      <c r="Q1011" t="s">
        <v>2295</v>
      </c>
    </row>
    <row r="1012" spans="1:17" x14ac:dyDescent="0.3">
      <c r="A1012" t="s">
        <v>17</v>
      </c>
      <c r="B1012" t="str">
        <f>"603685"</f>
        <v>603685</v>
      </c>
      <c r="C1012" t="s">
        <v>2296</v>
      </c>
      <c r="D1012" t="s">
        <v>1299</v>
      </c>
      <c r="E1012">
        <v>83386886</v>
      </c>
      <c r="F1012">
        <v>2745056</v>
      </c>
      <c r="G1012">
        <v>-16690173</v>
      </c>
      <c r="H1012">
        <v>-2639407</v>
      </c>
      <c r="I1012">
        <v>7765221</v>
      </c>
      <c r="J1012">
        <v>11374725</v>
      </c>
      <c r="P1012">
        <v>102</v>
      </c>
      <c r="Q1012" t="s">
        <v>2297</v>
      </c>
    </row>
    <row r="1013" spans="1:17" x14ac:dyDescent="0.3">
      <c r="A1013" t="s">
        <v>17</v>
      </c>
      <c r="B1013" t="str">
        <f>"601330"</f>
        <v>601330</v>
      </c>
      <c r="C1013" t="s">
        <v>2298</v>
      </c>
      <c r="D1013" t="s">
        <v>897</v>
      </c>
      <c r="E1013">
        <v>83324685</v>
      </c>
      <c r="F1013">
        <v>21004669</v>
      </c>
      <c r="G1013">
        <v>12634490</v>
      </c>
      <c r="H1013">
        <v>-149748420</v>
      </c>
      <c r="I1013">
        <v>-53239823</v>
      </c>
      <c r="J1013">
        <v>-89807614</v>
      </c>
      <c r="P1013">
        <v>234</v>
      </c>
      <c r="Q1013" t="s">
        <v>2299</v>
      </c>
    </row>
    <row r="1014" spans="1:17" x14ac:dyDescent="0.3">
      <c r="A1014" t="s">
        <v>33</v>
      </c>
      <c r="B1014" t="str">
        <f>"003039"</f>
        <v>003039</v>
      </c>
      <c r="C1014" t="s">
        <v>2300</v>
      </c>
      <c r="D1014" t="s">
        <v>932</v>
      </c>
      <c r="E1014">
        <v>83213120</v>
      </c>
      <c r="F1014">
        <v>120902598</v>
      </c>
      <c r="G1014">
        <v>63393051</v>
      </c>
      <c r="P1014">
        <v>64</v>
      </c>
      <c r="Q1014" t="s">
        <v>2301</v>
      </c>
    </row>
    <row r="1015" spans="1:17" x14ac:dyDescent="0.3">
      <c r="A1015" t="s">
        <v>33</v>
      </c>
      <c r="B1015" t="str">
        <f>"002337"</f>
        <v>002337</v>
      </c>
      <c r="C1015" t="s">
        <v>2302</v>
      </c>
      <c r="D1015" t="s">
        <v>1895</v>
      </c>
      <c r="E1015">
        <v>83078276</v>
      </c>
      <c r="F1015">
        <v>-49711045</v>
      </c>
      <c r="G1015">
        <v>20892031</v>
      </c>
      <c r="H1015">
        <v>46294115</v>
      </c>
      <c r="I1015">
        <v>-39243913</v>
      </c>
      <c r="J1015">
        <v>56067181</v>
      </c>
      <c r="K1015">
        <v>3180445</v>
      </c>
      <c r="L1015">
        <v>-90303049</v>
      </c>
      <c r="M1015">
        <v>-93515862</v>
      </c>
      <c r="N1015">
        <v>31729178</v>
      </c>
      <c r="O1015">
        <v>11339228</v>
      </c>
      <c r="P1015">
        <v>92</v>
      </c>
      <c r="Q1015" t="s">
        <v>2303</v>
      </c>
    </row>
    <row r="1016" spans="1:17" x14ac:dyDescent="0.3">
      <c r="A1016" t="s">
        <v>17</v>
      </c>
      <c r="B1016" t="str">
        <f>"688278"</f>
        <v>688278</v>
      </c>
      <c r="C1016" t="s">
        <v>2304</v>
      </c>
      <c r="D1016" t="s">
        <v>756</v>
      </c>
      <c r="E1016">
        <v>82949426</v>
      </c>
      <c r="F1016">
        <v>55859651</v>
      </c>
      <c r="G1016">
        <v>13032237</v>
      </c>
      <c r="H1016">
        <v>18031740</v>
      </c>
      <c r="P1016">
        <v>154</v>
      </c>
      <c r="Q1016" t="s">
        <v>2305</v>
      </c>
    </row>
    <row r="1017" spans="1:17" x14ac:dyDescent="0.3">
      <c r="A1017" t="s">
        <v>33</v>
      </c>
      <c r="B1017" t="str">
        <f>"002743"</f>
        <v>002743</v>
      </c>
      <c r="C1017" t="s">
        <v>2306</v>
      </c>
      <c r="D1017" t="s">
        <v>2307</v>
      </c>
      <c r="E1017">
        <v>82896510</v>
      </c>
      <c r="F1017">
        <v>-271094124</v>
      </c>
      <c r="G1017">
        <v>-65572183</v>
      </c>
      <c r="H1017">
        <v>31465893</v>
      </c>
      <c r="I1017">
        <v>-129028652</v>
      </c>
      <c r="J1017">
        <v>-176338824</v>
      </c>
      <c r="K1017">
        <v>-68250783</v>
      </c>
      <c r="L1017">
        <v>-180410718</v>
      </c>
      <c r="M1017">
        <v>-76409702</v>
      </c>
      <c r="P1017">
        <v>77</v>
      </c>
      <c r="Q1017" t="s">
        <v>2308</v>
      </c>
    </row>
    <row r="1018" spans="1:17" x14ac:dyDescent="0.3">
      <c r="A1018" t="s">
        <v>33</v>
      </c>
      <c r="B1018" t="str">
        <f>"000892"</f>
        <v>000892</v>
      </c>
      <c r="C1018" t="s">
        <v>2309</v>
      </c>
      <c r="D1018" t="s">
        <v>314</v>
      </c>
      <c r="E1018">
        <v>82783485</v>
      </c>
      <c r="F1018">
        <v>-260961310</v>
      </c>
      <c r="G1018">
        <v>-15186287</v>
      </c>
      <c r="H1018">
        <v>-47223755</v>
      </c>
      <c r="I1018">
        <v>-302935370</v>
      </c>
      <c r="J1018">
        <v>-662123126</v>
      </c>
      <c r="K1018">
        <v>3595401</v>
      </c>
      <c r="L1018">
        <v>-423295</v>
      </c>
      <c r="M1018">
        <v>-518237</v>
      </c>
      <c r="N1018">
        <v>-969595</v>
      </c>
      <c r="O1018">
        <v>-1740427</v>
      </c>
      <c r="P1018">
        <v>109</v>
      </c>
      <c r="Q1018" t="s">
        <v>2310</v>
      </c>
    </row>
    <row r="1019" spans="1:17" x14ac:dyDescent="0.3">
      <c r="A1019" t="s">
        <v>17</v>
      </c>
      <c r="B1019" t="str">
        <f>"603027"</f>
        <v>603027</v>
      </c>
      <c r="C1019" t="s">
        <v>2311</v>
      </c>
      <c r="D1019" t="s">
        <v>669</v>
      </c>
      <c r="E1019">
        <v>82316640</v>
      </c>
      <c r="F1019">
        <v>10808374</v>
      </c>
      <c r="G1019">
        <v>85317003</v>
      </c>
      <c r="H1019">
        <v>43408624</v>
      </c>
      <c r="I1019">
        <v>51728107</v>
      </c>
      <c r="J1019">
        <v>74405981</v>
      </c>
      <c r="K1019">
        <v>1327692</v>
      </c>
      <c r="L1019">
        <v>1411563</v>
      </c>
      <c r="P1019">
        <v>1883</v>
      </c>
      <c r="Q1019" t="s">
        <v>2312</v>
      </c>
    </row>
    <row r="1020" spans="1:17" x14ac:dyDescent="0.3">
      <c r="A1020" t="s">
        <v>17</v>
      </c>
      <c r="B1020" t="str">
        <f>"600535"</f>
        <v>600535</v>
      </c>
      <c r="C1020" t="s">
        <v>2313</v>
      </c>
      <c r="D1020" t="s">
        <v>533</v>
      </c>
      <c r="E1020">
        <v>82228958</v>
      </c>
      <c r="F1020">
        <v>404701533</v>
      </c>
      <c r="G1020">
        <v>33195810</v>
      </c>
      <c r="H1020">
        <v>258034590</v>
      </c>
      <c r="I1020">
        <v>151272627</v>
      </c>
      <c r="J1020">
        <v>-719011923</v>
      </c>
      <c r="K1020">
        <v>137120109</v>
      </c>
      <c r="L1020">
        <v>-24592297</v>
      </c>
      <c r="M1020">
        <v>266140275</v>
      </c>
      <c r="N1020">
        <v>101733984</v>
      </c>
      <c r="O1020">
        <v>195925767</v>
      </c>
      <c r="P1020">
        <v>12549</v>
      </c>
      <c r="Q1020" t="s">
        <v>2314</v>
      </c>
    </row>
    <row r="1021" spans="1:17" x14ac:dyDescent="0.3">
      <c r="A1021" t="s">
        <v>33</v>
      </c>
      <c r="B1021" t="str">
        <f>"002038"</f>
        <v>002038</v>
      </c>
      <c r="C1021" t="s">
        <v>2315</v>
      </c>
      <c r="D1021" t="s">
        <v>756</v>
      </c>
      <c r="E1021">
        <v>81984125</v>
      </c>
      <c r="F1021">
        <v>77482059</v>
      </c>
      <c r="G1021">
        <v>41129600</v>
      </c>
      <c r="H1021">
        <v>210979583</v>
      </c>
      <c r="I1021">
        <v>155814085</v>
      </c>
      <c r="J1021">
        <v>84745825</v>
      </c>
      <c r="K1021">
        <v>66509967</v>
      </c>
      <c r="L1021">
        <v>166821452</v>
      </c>
      <c r="M1021">
        <v>96065101</v>
      </c>
      <c r="N1021">
        <v>-24669272</v>
      </c>
      <c r="O1021">
        <v>65048742</v>
      </c>
      <c r="P1021">
        <v>5163</v>
      </c>
      <c r="Q1021" t="s">
        <v>2316</v>
      </c>
    </row>
    <row r="1022" spans="1:17" x14ac:dyDescent="0.3">
      <c r="A1022" t="s">
        <v>33</v>
      </c>
      <c r="B1022" t="str">
        <f>"002790"</f>
        <v>002790</v>
      </c>
      <c r="C1022" t="s">
        <v>2317</v>
      </c>
      <c r="D1022" t="s">
        <v>1710</v>
      </c>
      <c r="E1022">
        <v>81720918</v>
      </c>
      <c r="F1022">
        <v>46008240</v>
      </c>
      <c r="G1022">
        <v>50199455</v>
      </c>
      <c r="H1022">
        <v>39117927</v>
      </c>
      <c r="I1022">
        <v>9621134</v>
      </c>
      <c r="J1022">
        <v>40318554</v>
      </c>
      <c r="K1022">
        <v>33169621</v>
      </c>
      <c r="L1022">
        <v>33459577</v>
      </c>
      <c r="P1022">
        <v>138</v>
      </c>
      <c r="Q1022" t="s">
        <v>2318</v>
      </c>
    </row>
    <row r="1023" spans="1:17" x14ac:dyDescent="0.3">
      <c r="A1023" t="s">
        <v>17</v>
      </c>
      <c r="B1023" t="str">
        <f>"603896"</f>
        <v>603896</v>
      </c>
      <c r="C1023" t="s">
        <v>2319</v>
      </c>
      <c r="D1023" t="s">
        <v>533</v>
      </c>
      <c r="E1023">
        <v>81311501</v>
      </c>
      <c r="F1023">
        <v>67862777</v>
      </c>
      <c r="G1023">
        <v>39968739</v>
      </c>
      <c r="H1023">
        <v>68458963</v>
      </c>
      <c r="I1023">
        <v>54408681</v>
      </c>
      <c r="J1023">
        <v>33796232</v>
      </c>
      <c r="K1023">
        <v>28811346</v>
      </c>
      <c r="P1023">
        <v>230</v>
      </c>
      <c r="Q1023" t="s">
        <v>2320</v>
      </c>
    </row>
    <row r="1024" spans="1:17" x14ac:dyDescent="0.3">
      <c r="A1024" t="s">
        <v>33</v>
      </c>
      <c r="B1024" t="str">
        <f>"002520"</f>
        <v>002520</v>
      </c>
      <c r="C1024" t="s">
        <v>2321</v>
      </c>
      <c r="D1024" t="s">
        <v>1910</v>
      </c>
      <c r="E1024">
        <v>81204640</v>
      </c>
      <c r="F1024">
        <v>104994884</v>
      </c>
      <c r="G1024">
        <v>-11442906</v>
      </c>
      <c r="H1024">
        <v>12217063</v>
      </c>
      <c r="I1024">
        <v>-49092279</v>
      </c>
      <c r="J1024">
        <v>-24334444</v>
      </c>
      <c r="K1024">
        <v>-47890053</v>
      </c>
      <c r="L1024">
        <v>-8551557</v>
      </c>
      <c r="M1024">
        <v>7084828</v>
      </c>
      <c r="N1024">
        <v>-11817412</v>
      </c>
      <c r="O1024">
        <v>-3985867</v>
      </c>
      <c r="P1024">
        <v>99</v>
      </c>
      <c r="Q1024" t="s">
        <v>2322</v>
      </c>
    </row>
    <row r="1025" spans="1:17" x14ac:dyDescent="0.3">
      <c r="A1025" t="s">
        <v>17</v>
      </c>
      <c r="B1025" t="str">
        <f>"600127"</f>
        <v>600127</v>
      </c>
      <c r="C1025" t="s">
        <v>2323</v>
      </c>
      <c r="D1025" t="s">
        <v>358</v>
      </c>
      <c r="E1025">
        <v>81073280</v>
      </c>
      <c r="F1025">
        <v>806314</v>
      </c>
      <c r="G1025">
        <v>39630730</v>
      </c>
      <c r="H1025">
        <v>186361733</v>
      </c>
      <c r="I1025">
        <v>54998765</v>
      </c>
      <c r="J1025">
        <v>-29044590</v>
      </c>
      <c r="K1025">
        <v>41385742</v>
      </c>
      <c r="L1025">
        <v>11247235</v>
      </c>
      <c r="M1025">
        <v>9100558</v>
      </c>
      <c r="N1025">
        <v>47626735</v>
      </c>
      <c r="O1025">
        <v>45340818</v>
      </c>
      <c r="P1025">
        <v>231</v>
      </c>
      <c r="Q1025" t="s">
        <v>2324</v>
      </c>
    </row>
    <row r="1026" spans="1:17" x14ac:dyDescent="0.3">
      <c r="A1026" t="s">
        <v>33</v>
      </c>
      <c r="B1026" t="str">
        <f>"002469"</f>
        <v>002469</v>
      </c>
      <c r="C1026" t="s">
        <v>2325</v>
      </c>
      <c r="D1026" t="s">
        <v>1461</v>
      </c>
      <c r="E1026">
        <v>81017723</v>
      </c>
      <c r="F1026">
        <v>96179950</v>
      </c>
      <c r="G1026">
        <v>-18192970</v>
      </c>
      <c r="H1026">
        <v>-73867203</v>
      </c>
      <c r="I1026">
        <v>-13696304</v>
      </c>
      <c r="J1026">
        <v>-75557139</v>
      </c>
      <c r="K1026">
        <v>41267325</v>
      </c>
      <c r="L1026">
        <v>118050355</v>
      </c>
      <c r="M1026">
        <v>12083087</v>
      </c>
      <c r="N1026">
        <v>-53430534</v>
      </c>
      <c r="O1026">
        <v>-75717995</v>
      </c>
      <c r="P1026">
        <v>126</v>
      </c>
      <c r="Q1026" t="s">
        <v>2326</v>
      </c>
    </row>
    <row r="1027" spans="1:17" x14ac:dyDescent="0.3">
      <c r="A1027" t="s">
        <v>33</v>
      </c>
      <c r="B1027" t="str">
        <f>"301026"</f>
        <v>301026</v>
      </c>
      <c r="C1027" t="s">
        <v>2327</v>
      </c>
      <c r="D1027" t="s">
        <v>720</v>
      </c>
      <c r="E1027">
        <v>81004784</v>
      </c>
      <c r="F1027">
        <v>231735326</v>
      </c>
      <c r="G1027">
        <v>26747014</v>
      </c>
      <c r="P1027">
        <v>41</v>
      </c>
      <c r="Q1027" t="s">
        <v>2328</v>
      </c>
    </row>
    <row r="1028" spans="1:17" x14ac:dyDescent="0.3">
      <c r="A1028" t="s">
        <v>33</v>
      </c>
      <c r="B1028" t="str">
        <f>"002663"</f>
        <v>002663</v>
      </c>
      <c r="C1028" t="s">
        <v>2329</v>
      </c>
      <c r="D1028" t="s">
        <v>2330</v>
      </c>
      <c r="E1028">
        <v>80528333</v>
      </c>
      <c r="F1028">
        <v>-145886783</v>
      </c>
      <c r="G1028">
        <v>-334888234</v>
      </c>
      <c r="H1028">
        <v>-116525159</v>
      </c>
      <c r="I1028">
        <v>-352508295</v>
      </c>
      <c r="J1028">
        <v>-278906434</v>
      </c>
      <c r="K1028">
        <v>-216571404</v>
      </c>
      <c r="L1028">
        <v>-559784439</v>
      </c>
      <c r="M1028">
        <v>-244526417</v>
      </c>
      <c r="N1028">
        <v>-236838995</v>
      </c>
      <c r="O1028">
        <v>-140820093</v>
      </c>
      <c r="P1028">
        <v>95</v>
      </c>
      <c r="Q1028" t="s">
        <v>2331</v>
      </c>
    </row>
    <row r="1029" spans="1:17" x14ac:dyDescent="0.3">
      <c r="A1029" t="s">
        <v>17</v>
      </c>
      <c r="B1029" t="str">
        <f>"603982"</f>
        <v>603982</v>
      </c>
      <c r="C1029" t="s">
        <v>2332</v>
      </c>
      <c r="D1029" t="s">
        <v>858</v>
      </c>
      <c r="E1029">
        <v>80354467</v>
      </c>
      <c r="F1029">
        <v>-2363510</v>
      </c>
      <c r="G1029">
        <v>33512969</v>
      </c>
      <c r="H1029">
        <v>-29640073</v>
      </c>
      <c r="I1029">
        <v>-34682100</v>
      </c>
      <c r="P1029">
        <v>122</v>
      </c>
      <c r="Q1029" t="s">
        <v>2333</v>
      </c>
    </row>
    <row r="1030" spans="1:17" x14ac:dyDescent="0.3">
      <c r="A1030" t="s">
        <v>33</v>
      </c>
      <c r="B1030" t="str">
        <f>"000862"</f>
        <v>000862</v>
      </c>
      <c r="C1030" t="s">
        <v>2334</v>
      </c>
      <c r="D1030" t="s">
        <v>367</v>
      </c>
      <c r="E1030">
        <v>80336937</v>
      </c>
      <c r="F1030">
        <v>79216755</v>
      </c>
      <c r="G1030">
        <v>35988851</v>
      </c>
      <c r="H1030">
        <v>80740059</v>
      </c>
      <c r="I1030">
        <v>44507393</v>
      </c>
      <c r="J1030">
        <v>21349091</v>
      </c>
      <c r="K1030">
        <v>131227199</v>
      </c>
      <c r="L1030">
        <v>175671712</v>
      </c>
      <c r="M1030">
        <v>1613238</v>
      </c>
      <c r="N1030">
        <v>32722240</v>
      </c>
      <c r="O1030">
        <v>-21245860</v>
      </c>
      <c r="P1030">
        <v>171</v>
      </c>
      <c r="Q1030" t="s">
        <v>2335</v>
      </c>
    </row>
    <row r="1031" spans="1:17" x14ac:dyDescent="0.3">
      <c r="A1031" t="s">
        <v>33</v>
      </c>
      <c r="B1031" t="str">
        <f>"000848"</f>
        <v>000848</v>
      </c>
      <c r="C1031" t="s">
        <v>2336</v>
      </c>
      <c r="D1031" t="s">
        <v>1187</v>
      </c>
      <c r="E1031">
        <v>80312831</v>
      </c>
      <c r="F1031">
        <v>120280304</v>
      </c>
      <c r="G1031">
        <v>-166247510</v>
      </c>
      <c r="H1031">
        <v>-106480255</v>
      </c>
      <c r="I1031">
        <v>26783807</v>
      </c>
      <c r="J1031">
        <v>-417949906</v>
      </c>
      <c r="K1031">
        <v>-9984325</v>
      </c>
      <c r="L1031">
        <v>249929311</v>
      </c>
      <c r="M1031">
        <v>123210945</v>
      </c>
      <c r="N1031">
        <v>128428200</v>
      </c>
      <c r="O1031">
        <v>-1815606</v>
      </c>
      <c r="P1031">
        <v>41203</v>
      </c>
      <c r="Q1031" t="s">
        <v>2337</v>
      </c>
    </row>
    <row r="1032" spans="1:17" x14ac:dyDescent="0.3">
      <c r="A1032" t="s">
        <v>17</v>
      </c>
      <c r="B1032" t="str">
        <f>"688336"</f>
        <v>688336</v>
      </c>
      <c r="C1032" t="s">
        <v>2338</v>
      </c>
      <c r="D1032" t="s">
        <v>756</v>
      </c>
      <c r="E1032">
        <v>80208154</v>
      </c>
      <c r="F1032">
        <v>-83420037</v>
      </c>
      <c r="G1032">
        <v>1000800</v>
      </c>
      <c r="H1032">
        <v>46211500</v>
      </c>
      <c r="P1032">
        <v>52</v>
      </c>
      <c r="Q1032" t="s">
        <v>2339</v>
      </c>
    </row>
    <row r="1033" spans="1:17" x14ac:dyDescent="0.3">
      <c r="A1033" t="s">
        <v>33</v>
      </c>
      <c r="B1033" t="str">
        <f>"002382"</f>
        <v>002382</v>
      </c>
      <c r="C1033" t="s">
        <v>2340</v>
      </c>
      <c r="D1033" t="s">
        <v>903</v>
      </c>
      <c r="E1033">
        <v>79891133</v>
      </c>
      <c r="F1033">
        <v>1116751582</v>
      </c>
      <c r="G1033">
        <v>134407774</v>
      </c>
      <c r="H1033">
        <v>94001970</v>
      </c>
      <c r="I1033">
        <v>60172361</v>
      </c>
      <c r="J1033">
        <v>42409360</v>
      </c>
      <c r="K1033">
        <v>61906359</v>
      </c>
      <c r="L1033">
        <v>49000266</v>
      </c>
      <c r="M1033">
        <v>-65598348</v>
      </c>
      <c r="N1033">
        <v>-32451297</v>
      </c>
      <c r="O1033">
        <v>-5666459</v>
      </c>
      <c r="P1033">
        <v>849</v>
      </c>
      <c r="Q1033" t="s">
        <v>2341</v>
      </c>
    </row>
    <row r="1034" spans="1:17" x14ac:dyDescent="0.3">
      <c r="A1034" t="s">
        <v>33</v>
      </c>
      <c r="B1034" t="str">
        <f>"300080"</f>
        <v>300080</v>
      </c>
      <c r="C1034" t="s">
        <v>2342</v>
      </c>
      <c r="D1034" t="s">
        <v>1219</v>
      </c>
      <c r="E1034">
        <v>79749824</v>
      </c>
      <c r="F1034">
        <v>61375068</v>
      </c>
      <c r="G1034">
        <v>-72285647</v>
      </c>
      <c r="H1034">
        <v>43573742</v>
      </c>
      <c r="I1034">
        <v>-6123190</v>
      </c>
      <c r="J1034">
        <v>-98443212</v>
      </c>
      <c r="K1034">
        <v>-73445759</v>
      </c>
      <c r="L1034">
        <v>-80358961</v>
      </c>
      <c r="M1034">
        <v>-11324001</v>
      </c>
      <c r="N1034">
        <v>34208039</v>
      </c>
      <c r="O1034">
        <v>-41450371</v>
      </c>
      <c r="P1034">
        <v>111</v>
      </c>
      <c r="Q1034" t="s">
        <v>2343</v>
      </c>
    </row>
    <row r="1035" spans="1:17" x14ac:dyDescent="0.3">
      <c r="A1035" t="s">
        <v>33</v>
      </c>
      <c r="B1035" t="str">
        <f>"300712"</f>
        <v>300712</v>
      </c>
      <c r="C1035" t="s">
        <v>2344</v>
      </c>
      <c r="D1035" t="s">
        <v>1454</v>
      </c>
      <c r="E1035">
        <v>79543751</v>
      </c>
      <c r="F1035">
        <v>81750745</v>
      </c>
      <c r="G1035">
        <v>-150120304</v>
      </c>
      <c r="H1035">
        <v>-220597971</v>
      </c>
      <c r="I1035">
        <v>-104859914</v>
      </c>
      <c r="J1035">
        <v>-51121778</v>
      </c>
      <c r="P1035">
        <v>125</v>
      </c>
      <c r="Q1035" t="s">
        <v>2345</v>
      </c>
    </row>
    <row r="1036" spans="1:17" x14ac:dyDescent="0.3">
      <c r="A1036" t="s">
        <v>33</v>
      </c>
      <c r="B1036" t="str">
        <f>"002545"</f>
        <v>002545</v>
      </c>
      <c r="C1036" t="s">
        <v>2346</v>
      </c>
      <c r="D1036" t="s">
        <v>2307</v>
      </c>
      <c r="E1036">
        <v>79398811</v>
      </c>
      <c r="F1036">
        <v>-241245524</v>
      </c>
      <c r="G1036">
        <v>124414275</v>
      </c>
      <c r="H1036">
        <v>15433981</v>
      </c>
      <c r="I1036">
        <v>-76119980</v>
      </c>
      <c r="J1036">
        <v>-101100463</v>
      </c>
      <c r="K1036">
        <v>183312377</v>
      </c>
      <c r="L1036">
        <v>-67556045</v>
      </c>
      <c r="M1036">
        <v>-98309857</v>
      </c>
      <c r="N1036">
        <v>3801776</v>
      </c>
      <c r="O1036">
        <v>143072279</v>
      </c>
      <c r="P1036">
        <v>138</v>
      </c>
      <c r="Q1036" t="s">
        <v>2347</v>
      </c>
    </row>
    <row r="1037" spans="1:17" x14ac:dyDescent="0.3">
      <c r="A1037" t="s">
        <v>17</v>
      </c>
      <c r="B1037" t="str">
        <f>"605339"</f>
        <v>605339</v>
      </c>
      <c r="C1037" t="s">
        <v>2348</v>
      </c>
      <c r="D1037" t="s">
        <v>1356</v>
      </c>
      <c r="E1037">
        <v>79207225</v>
      </c>
      <c r="F1037">
        <v>26654347</v>
      </c>
      <c r="G1037">
        <v>2158104</v>
      </c>
      <c r="P1037">
        <v>66</v>
      </c>
      <c r="Q1037" t="s">
        <v>2349</v>
      </c>
    </row>
    <row r="1038" spans="1:17" x14ac:dyDescent="0.3">
      <c r="A1038" t="s">
        <v>17</v>
      </c>
      <c r="B1038" t="str">
        <f>"600557"</f>
        <v>600557</v>
      </c>
      <c r="C1038" t="s">
        <v>2350</v>
      </c>
      <c r="D1038" t="s">
        <v>533</v>
      </c>
      <c r="E1038">
        <v>79139905</v>
      </c>
      <c r="F1038">
        <v>-26924257</v>
      </c>
      <c r="G1038">
        <v>157513322</v>
      </c>
      <c r="H1038">
        <v>117860065</v>
      </c>
      <c r="I1038">
        <v>195452255</v>
      </c>
      <c r="J1038">
        <v>9739697</v>
      </c>
      <c r="K1038">
        <v>137589323</v>
      </c>
      <c r="L1038">
        <v>137637241</v>
      </c>
      <c r="M1038">
        <v>78737915</v>
      </c>
      <c r="N1038">
        <v>48821966</v>
      </c>
      <c r="O1038">
        <v>40271189</v>
      </c>
      <c r="P1038">
        <v>427</v>
      </c>
      <c r="Q1038" t="s">
        <v>2351</v>
      </c>
    </row>
    <row r="1039" spans="1:17" x14ac:dyDescent="0.3">
      <c r="A1039" t="s">
        <v>33</v>
      </c>
      <c r="B1039" t="str">
        <f>"002485"</f>
        <v>002485</v>
      </c>
      <c r="C1039" t="s">
        <v>2352</v>
      </c>
      <c r="D1039" t="s">
        <v>581</v>
      </c>
      <c r="E1039">
        <v>78854809</v>
      </c>
      <c r="F1039">
        <v>-82348917</v>
      </c>
      <c r="G1039">
        <v>-139401532</v>
      </c>
      <c r="H1039">
        <v>-24711103</v>
      </c>
      <c r="I1039">
        <v>-76872180</v>
      </c>
      <c r="J1039">
        <v>30350265</v>
      </c>
      <c r="K1039">
        <v>94125444</v>
      </c>
      <c r="L1039">
        <v>32975168</v>
      </c>
      <c r="M1039">
        <v>-38279020</v>
      </c>
      <c r="N1039">
        <v>-13022597</v>
      </c>
      <c r="O1039">
        <v>6712025</v>
      </c>
      <c r="P1039">
        <v>80</v>
      </c>
      <c r="Q1039" t="s">
        <v>2353</v>
      </c>
    </row>
    <row r="1040" spans="1:17" x14ac:dyDescent="0.3">
      <c r="A1040" t="s">
        <v>17</v>
      </c>
      <c r="B1040" t="str">
        <f>"600329"</f>
        <v>600329</v>
      </c>
      <c r="C1040" t="s">
        <v>2354</v>
      </c>
      <c r="D1040" t="s">
        <v>533</v>
      </c>
      <c r="E1040">
        <v>78818814</v>
      </c>
      <c r="F1040">
        <v>112964906</v>
      </c>
      <c r="G1040">
        <v>138077047</v>
      </c>
      <c r="H1040">
        <v>114995184</v>
      </c>
      <c r="I1040">
        <v>178493986</v>
      </c>
      <c r="J1040">
        <v>1481746</v>
      </c>
      <c r="K1040">
        <v>118507189</v>
      </c>
      <c r="L1040">
        <v>152802196</v>
      </c>
      <c r="M1040">
        <v>15570487</v>
      </c>
      <c r="N1040">
        <v>71360743</v>
      </c>
      <c r="O1040">
        <v>38836919</v>
      </c>
      <c r="P1040">
        <v>553</v>
      </c>
      <c r="Q1040" t="s">
        <v>2355</v>
      </c>
    </row>
    <row r="1041" spans="1:17" x14ac:dyDescent="0.3">
      <c r="A1041" t="s">
        <v>17</v>
      </c>
      <c r="B1041" t="str">
        <f>"603798"</f>
        <v>603798</v>
      </c>
      <c r="C1041" t="s">
        <v>2356</v>
      </c>
      <c r="D1041" t="s">
        <v>732</v>
      </c>
      <c r="E1041">
        <v>78789893</v>
      </c>
      <c r="F1041">
        <v>159441889</v>
      </c>
      <c r="G1041">
        <v>58067125</v>
      </c>
      <c r="H1041">
        <v>100838430</v>
      </c>
      <c r="I1041">
        <v>75989283</v>
      </c>
      <c r="J1041">
        <v>66269327</v>
      </c>
      <c r="K1041">
        <v>64893593</v>
      </c>
      <c r="L1041">
        <v>24358002</v>
      </c>
      <c r="P1041">
        <v>141</v>
      </c>
      <c r="Q1041" t="s">
        <v>2357</v>
      </c>
    </row>
    <row r="1042" spans="1:17" x14ac:dyDescent="0.3">
      <c r="A1042" t="s">
        <v>33</v>
      </c>
      <c r="B1042" t="str">
        <f>"002426"</f>
        <v>002426</v>
      </c>
      <c r="C1042" t="s">
        <v>2358</v>
      </c>
      <c r="D1042" t="s">
        <v>164</v>
      </c>
      <c r="E1042">
        <v>78758102</v>
      </c>
      <c r="F1042">
        <v>68764589</v>
      </c>
      <c r="G1042">
        <v>249470073</v>
      </c>
      <c r="H1042">
        <v>252475587</v>
      </c>
      <c r="I1042">
        <v>-290044873</v>
      </c>
      <c r="J1042">
        <v>-514275013</v>
      </c>
      <c r="K1042">
        <v>-179243413</v>
      </c>
      <c r="L1042">
        <v>-177339237</v>
      </c>
      <c r="M1042">
        <v>59290051</v>
      </c>
      <c r="N1042">
        <v>-25900328</v>
      </c>
      <c r="O1042">
        <v>86767835</v>
      </c>
      <c r="P1042">
        <v>207</v>
      </c>
      <c r="Q1042" t="s">
        <v>2359</v>
      </c>
    </row>
    <row r="1043" spans="1:17" x14ac:dyDescent="0.3">
      <c r="A1043" t="s">
        <v>17</v>
      </c>
      <c r="B1043" t="str">
        <f>"603358"</f>
        <v>603358</v>
      </c>
      <c r="C1043" t="s">
        <v>2360</v>
      </c>
      <c r="D1043" t="s">
        <v>1419</v>
      </c>
      <c r="E1043">
        <v>78490158</v>
      </c>
      <c r="F1043">
        <v>143477978</v>
      </c>
      <c r="G1043">
        <v>81660333</v>
      </c>
      <c r="H1043">
        <v>-17172504</v>
      </c>
      <c r="I1043">
        <v>18966309</v>
      </c>
      <c r="J1043">
        <v>-112908315</v>
      </c>
      <c r="K1043">
        <v>65119658</v>
      </c>
      <c r="P1043">
        <v>131</v>
      </c>
      <c r="Q1043" t="s">
        <v>2361</v>
      </c>
    </row>
    <row r="1044" spans="1:17" x14ac:dyDescent="0.3">
      <c r="A1044" t="s">
        <v>33</v>
      </c>
      <c r="B1044" t="str">
        <f>"000403"</f>
        <v>000403</v>
      </c>
      <c r="C1044" t="s">
        <v>2362</v>
      </c>
      <c r="D1044" t="s">
        <v>954</v>
      </c>
      <c r="E1044">
        <v>78037892</v>
      </c>
      <c r="F1044">
        <v>27098832</v>
      </c>
      <c r="G1044">
        <v>47466391</v>
      </c>
      <c r="H1044">
        <v>-16856412</v>
      </c>
      <c r="I1044">
        <v>-11144558</v>
      </c>
      <c r="J1044">
        <v>-26323211</v>
      </c>
      <c r="K1044">
        <v>35207746</v>
      </c>
      <c r="L1044">
        <v>36398980</v>
      </c>
      <c r="M1044">
        <v>14176360</v>
      </c>
      <c r="N1044">
        <v>22603572</v>
      </c>
      <c r="O1044">
        <v>9564175</v>
      </c>
      <c r="P1044">
        <v>294</v>
      </c>
      <c r="Q1044" t="s">
        <v>2363</v>
      </c>
    </row>
    <row r="1045" spans="1:17" x14ac:dyDescent="0.3">
      <c r="A1045" t="s">
        <v>17</v>
      </c>
      <c r="B1045" t="str">
        <f>"601010"</f>
        <v>601010</v>
      </c>
      <c r="C1045" t="s">
        <v>2364</v>
      </c>
      <c r="D1045" t="s">
        <v>526</v>
      </c>
      <c r="E1045">
        <v>78010121</v>
      </c>
      <c r="F1045">
        <v>128150663</v>
      </c>
      <c r="G1045">
        <v>-211663970</v>
      </c>
      <c r="H1045">
        <v>87827777</v>
      </c>
      <c r="I1045">
        <v>91708073</v>
      </c>
      <c r="J1045">
        <v>114684727</v>
      </c>
      <c r="K1045">
        <v>188586635</v>
      </c>
      <c r="L1045">
        <v>91560882</v>
      </c>
      <c r="M1045">
        <v>-40749443</v>
      </c>
      <c r="N1045">
        <v>69750849</v>
      </c>
      <c r="O1045">
        <v>-48244584</v>
      </c>
      <c r="P1045">
        <v>94</v>
      </c>
      <c r="Q1045" t="s">
        <v>2365</v>
      </c>
    </row>
    <row r="1046" spans="1:17" x14ac:dyDescent="0.3">
      <c r="A1046" t="s">
        <v>17</v>
      </c>
      <c r="B1046" t="str">
        <f>"603567"</f>
        <v>603567</v>
      </c>
      <c r="C1046" t="s">
        <v>2366</v>
      </c>
      <c r="D1046" t="s">
        <v>533</v>
      </c>
      <c r="E1046">
        <v>77223705</v>
      </c>
      <c r="F1046">
        <v>-351162847</v>
      </c>
      <c r="G1046">
        <v>82680227</v>
      </c>
      <c r="H1046">
        <v>-7371786</v>
      </c>
      <c r="I1046">
        <v>4481346</v>
      </c>
      <c r="J1046">
        <v>95253466</v>
      </c>
      <c r="K1046">
        <v>-284338568</v>
      </c>
      <c r="L1046">
        <v>-114886758</v>
      </c>
      <c r="M1046">
        <v>-56692949</v>
      </c>
      <c r="P1046">
        <v>134</v>
      </c>
      <c r="Q1046" t="s">
        <v>2367</v>
      </c>
    </row>
    <row r="1047" spans="1:17" x14ac:dyDescent="0.3">
      <c r="A1047" t="s">
        <v>33</v>
      </c>
      <c r="B1047" t="str">
        <f>"002381"</f>
        <v>002381</v>
      </c>
      <c r="C1047" t="s">
        <v>2368</v>
      </c>
      <c r="D1047" t="s">
        <v>2369</v>
      </c>
      <c r="E1047">
        <v>77212751</v>
      </c>
      <c r="F1047">
        <v>61713544</v>
      </c>
      <c r="G1047">
        <v>65277226</v>
      </c>
      <c r="H1047">
        <v>24396148</v>
      </c>
      <c r="I1047">
        <v>80893404</v>
      </c>
      <c r="J1047">
        <v>39633820</v>
      </c>
      <c r="K1047">
        <v>-18440113</v>
      </c>
      <c r="L1047">
        <v>40665154</v>
      </c>
      <c r="M1047">
        <v>30815598</v>
      </c>
      <c r="N1047">
        <v>39195235</v>
      </c>
      <c r="O1047">
        <v>-16003279</v>
      </c>
      <c r="P1047">
        <v>276</v>
      </c>
      <c r="Q1047" t="s">
        <v>2370</v>
      </c>
    </row>
    <row r="1048" spans="1:17" x14ac:dyDescent="0.3">
      <c r="A1048" t="s">
        <v>33</v>
      </c>
      <c r="B1048" t="str">
        <f>"300879"</f>
        <v>300879</v>
      </c>
      <c r="C1048" t="s">
        <v>2371</v>
      </c>
      <c r="D1048" t="s">
        <v>1895</v>
      </c>
      <c r="E1048">
        <v>77143588</v>
      </c>
      <c r="F1048">
        <v>-89833276</v>
      </c>
      <c r="G1048">
        <v>106493879</v>
      </c>
      <c r="P1048">
        <v>52</v>
      </c>
      <c r="Q1048" t="s">
        <v>2372</v>
      </c>
    </row>
    <row r="1049" spans="1:17" x14ac:dyDescent="0.3">
      <c r="A1049" t="s">
        <v>17</v>
      </c>
      <c r="B1049" t="str">
        <f>"603283"</f>
        <v>603283</v>
      </c>
      <c r="C1049" t="s">
        <v>2373</v>
      </c>
      <c r="D1049" t="s">
        <v>2148</v>
      </c>
      <c r="E1049">
        <v>76969159</v>
      </c>
      <c r="F1049">
        <v>366440424</v>
      </c>
      <c r="G1049">
        <v>63778968</v>
      </c>
      <c r="H1049">
        <v>123046020</v>
      </c>
      <c r="I1049">
        <v>74261319</v>
      </c>
      <c r="J1049">
        <v>-76921696</v>
      </c>
      <c r="P1049">
        <v>216</v>
      </c>
      <c r="Q1049" t="s">
        <v>2374</v>
      </c>
    </row>
    <row r="1050" spans="1:17" x14ac:dyDescent="0.3">
      <c r="A1050" t="s">
        <v>17</v>
      </c>
      <c r="B1050" t="str">
        <f>"603603"</f>
        <v>603603</v>
      </c>
      <c r="C1050" t="s">
        <v>2375</v>
      </c>
      <c r="D1050" t="s">
        <v>932</v>
      </c>
      <c r="E1050">
        <v>76778788</v>
      </c>
      <c r="F1050">
        <v>158677201</v>
      </c>
      <c r="G1050">
        <v>138246654</v>
      </c>
      <c r="H1050">
        <v>-88181751</v>
      </c>
      <c r="I1050">
        <v>-213044690</v>
      </c>
      <c r="J1050">
        <v>-45622447</v>
      </c>
      <c r="K1050">
        <v>-267064459</v>
      </c>
      <c r="P1050">
        <v>118</v>
      </c>
      <c r="Q1050" t="s">
        <v>2376</v>
      </c>
    </row>
    <row r="1051" spans="1:17" x14ac:dyDescent="0.3">
      <c r="A1051" t="s">
        <v>33</v>
      </c>
      <c r="B1051" t="str">
        <f>"002316"</f>
        <v>002316</v>
      </c>
      <c r="C1051" t="s">
        <v>2377</v>
      </c>
      <c r="D1051" t="s">
        <v>1387</v>
      </c>
      <c r="E1051">
        <v>76757824</v>
      </c>
      <c r="F1051">
        <v>-122044555</v>
      </c>
      <c r="G1051">
        <v>-34519674</v>
      </c>
      <c r="H1051">
        <v>48663286</v>
      </c>
      <c r="I1051">
        <v>141889068</v>
      </c>
      <c r="J1051">
        <v>-94012422</v>
      </c>
      <c r="K1051">
        <v>-69510025</v>
      </c>
      <c r="L1051">
        <v>-3216817</v>
      </c>
      <c r="M1051">
        <v>9806390</v>
      </c>
      <c r="N1051">
        <v>-59955325</v>
      </c>
      <c r="O1051">
        <v>-12501291</v>
      </c>
      <c r="P1051">
        <v>229</v>
      </c>
      <c r="Q1051" t="s">
        <v>2378</v>
      </c>
    </row>
    <row r="1052" spans="1:17" x14ac:dyDescent="0.3">
      <c r="A1052" t="s">
        <v>17</v>
      </c>
      <c r="B1052" t="str">
        <f>"688106"</f>
        <v>688106</v>
      </c>
      <c r="C1052" t="s">
        <v>2379</v>
      </c>
      <c r="D1052" t="s">
        <v>1330</v>
      </c>
      <c r="E1052">
        <v>76436494</v>
      </c>
      <c r="F1052">
        <v>68516013</v>
      </c>
      <c r="G1052">
        <v>34259634</v>
      </c>
      <c r="H1052">
        <v>93001706</v>
      </c>
      <c r="P1052">
        <v>136</v>
      </c>
      <c r="Q1052" t="s">
        <v>2380</v>
      </c>
    </row>
    <row r="1053" spans="1:17" x14ac:dyDescent="0.3">
      <c r="A1053" t="s">
        <v>33</v>
      </c>
      <c r="B1053" t="str">
        <f>"002612"</f>
        <v>002612</v>
      </c>
      <c r="C1053" t="s">
        <v>2381</v>
      </c>
      <c r="D1053" t="s">
        <v>581</v>
      </c>
      <c r="E1053">
        <v>75607269</v>
      </c>
      <c r="F1053">
        <v>178095397</v>
      </c>
      <c r="G1053">
        <v>208554895</v>
      </c>
      <c r="H1053">
        <v>159720255</v>
      </c>
      <c r="I1053">
        <v>84662398</v>
      </c>
      <c r="J1053">
        <v>68956868</v>
      </c>
      <c r="K1053">
        <v>63561478</v>
      </c>
      <c r="L1053">
        <v>119188483</v>
      </c>
      <c r="M1053">
        <v>45922471</v>
      </c>
      <c r="N1053">
        <v>29023378</v>
      </c>
      <c r="O1053">
        <v>42611528</v>
      </c>
      <c r="P1053">
        <v>370</v>
      </c>
      <c r="Q1053" t="s">
        <v>2382</v>
      </c>
    </row>
    <row r="1054" spans="1:17" x14ac:dyDescent="0.3">
      <c r="A1054" t="s">
        <v>17</v>
      </c>
      <c r="B1054" t="str">
        <f>"603215"</f>
        <v>603215</v>
      </c>
      <c r="C1054" t="s">
        <v>2383</v>
      </c>
      <c r="E1054">
        <v>75510675</v>
      </c>
      <c r="P1054">
        <v>13</v>
      </c>
      <c r="Q1054" t="s">
        <v>2384</v>
      </c>
    </row>
    <row r="1055" spans="1:17" x14ac:dyDescent="0.3">
      <c r="A1055" t="s">
        <v>33</v>
      </c>
      <c r="B1055" t="str">
        <f>"301180"</f>
        <v>301180</v>
      </c>
      <c r="C1055" t="s">
        <v>2385</v>
      </c>
      <c r="D1055" t="s">
        <v>226</v>
      </c>
      <c r="E1055">
        <v>75227105</v>
      </c>
      <c r="P1055">
        <v>15</v>
      </c>
      <c r="Q1055" t="s">
        <v>2386</v>
      </c>
    </row>
    <row r="1056" spans="1:17" x14ac:dyDescent="0.3">
      <c r="A1056" t="s">
        <v>17</v>
      </c>
      <c r="B1056" t="str">
        <f>"603127"</f>
        <v>603127</v>
      </c>
      <c r="C1056" t="s">
        <v>2387</v>
      </c>
      <c r="D1056" t="s">
        <v>846</v>
      </c>
      <c r="E1056">
        <v>74906349</v>
      </c>
      <c r="F1056">
        <v>34482083</v>
      </c>
      <c r="G1056">
        <v>34315183</v>
      </c>
      <c r="H1056">
        <v>16246366</v>
      </c>
      <c r="I1056">
        <v>7002166</v>
      </c>
      <c r="J1056">
        <v>-5839970</v>
      </c>
      <c r="P1056">
        <v>1812</v>
      </c>
      <c r="Q1056" t="s">
        <v>2388</v>
      </c>
    </row>
    <row r="1057" spans="1:17" x14ac:dyDescent="0.3">
      <c r="A1057" t="s">
        <v>17</v>
      </c>
      <c r="B1057" t="str">
        <f>"603601"</f>
        <v>603601</v>
      </c>
      <c r="C1057" t="s">
        <v>2389</v>
      </c>
      <c r="D1057" t="s">
        <v>410</v>
      </c>
      <c r="E1057">
        <v>74764764</v>
      </c>
      <c r="F1057">
        <v>25316476</v>
      </c>
      <c r="G1057">
        <v>70762143</v>
      </c>
      <c r="H1057">
        <v>64713262</v>
      </c>
      <c r="I1057">
        <v>-13961402</v>
      </c>
      <c r="J1057">
        <v>21112552</v>
      </c>
      <c r="K1057">
        <v>13061343</v>
      </c>
      <c r="L1057">
        <v>-936162</v>
      </c>
      <c r="M1057">
        <v>10973130</v>
      </c>
      <c r="P1057">
        <v>500</v>
      </c>
      <c r="Q1057" t="s">
        <v>2390</v>
      </c>
    </row>
    <row r="1058" spans="1:17" x14ac:dyDescent="0.3">
      <c r="A1058" t="s">
        <v>33</v>
      </c>
      <c r="B1058" t="str">
        <f>"002884"</f>
        <v>002884</v>
      </c>
      <c r="C1058" t="s">
        <v>2391</v>
      </c>
      <c r="D1058" t="s">
        <v>1033</v>
      </c>
      <c r="E1058">
        <v>74719451</v>
      </c>
      <c r="F1058">
        <v>25178559</v>
      </c>
      <c r="G1058">
        <v>23976729</v>
      </c>
      <c r="H1058">
        <v>66732402</v>
      </c>
      <c r="I1058">
        <v>4394590</v>
      </c>
      <c r="J1058">
        <v>-2125600</v>
      </c>
      <c r="K1058">
        <v>8234000</v>
      </c>
      <c r="P1058">
        <v>995</v>
      </c>
      <c r="Q1058" t="s">
        <v>2392</v>
      </c>
    </row>
    <row r="1059" spans="1:17" x14ac:dyDescent="0.3">
      <c r="A1059" t="s">
        <v>17</v>
      </c>
      <c r="B1059" t="str">
        <f>"603558"</f>
        <v>603558</v>
      </c>
      <c r="C1059" t="s">
        <v>2393</v>
      </c>
      <c r="D1059" t="s">
        <v>693</v>
      </c>
      <c r="E1059">
        <v>74475982</v>
      </c>
      <c r="F1059">
        <v>32311464</v>
      </c>
      <c r="G1059">
        <v>73895875</v>
      </c>
      <c r="H1059">
        <v>20106311</v>
      </c>
      <c r="I1059">
        <v>34516853</v>
      </c>
      <c r="J1059">
        <v>31068856</v>
      </c>
      <c r="K1059">
        <v>169496119</v>
      </c>
      <c r="L1059">
        <v>6704361</v>
      </c>
      <c r="M1059">
        <v>26814855</v>
      </c>
      <c r="P1059">
        <v>136</v>
      </c>
      <c r="Q1059" t="s">
        <v>2394</v>
      </c>
    </row>
    <row r="1060" spans="1:17" x14ac:dyDescent="0.3">
      <c r="A1060" t="s">
        <v>33</v>
      </c>
      <c r="B1060" t="str">
        <f>"002196"</f>
        <v>002196</v>
      </c>
      <c r="C1060" t="s">
        <v>2395</v>
      </c>
      <c r="D1060" t="s">
        <v>1091</v>
      </c>
      <c r="E1060">
        <v>74275037</v>
      </c>
      <c r="F1060">
        <v>79745732</v>
      </c>
      <c r="G1060">
        <v>17055338</v>
      </c>
      <c r="H1060">
        <v>16973819</v>
      </c>
      <c r="I1060">
        <v>-91854770</v>
      </c>
      <c r="J1060">
        <v>2622376</v>
      </c>
      <c r="K1060">
        <v>-15619781</v>
      </c>
      <c r="L1060">
        <v>938665</v>
      </c>
      <c r="M1060">
        <v>-10672091</v>
      </c>
      <c r="N1060">
        <v>19575816</v>
      </c>
      <c r="O1060">
        <v>-331412</v>
      </c>
      <c r="P1060">
        <v>163</v>
      </c>
      <c r="Q1060" t="s">
        <v>2396</v>
      </c>
    </row>
    <row r="1061" spans="1:17" x14ac:dyDescent="0.3">
      <c r="A1061" t="s">
        <v>33</v>
      </c>
      <c r="B1061" t="str">
        <f>"300917"</f>
        <v>300917</v>
      </c>
      <c r="C1061" t="s">
        <v>2397</v>
      </c>
      <c r="D1061" t="s">
        <v>2398</v>
      </c>
      <c r="E1061">
        <v>74012866</v>
      </c>
      <c r="F1061">
        <v>-28361094</v>
      </c>
      <c r="G1061">
        <v>-42470333</v>
      </c>
      <c r="P1061">
        <v>80</v>
      </c>
      <c r="Q1061" t="s">
        <v>2399</v>
      </c>
    </row>
    <row r="1062" spans="1:17" x14ac:dyDescent="0.3">
      <c r="A1062" t="s">
        <v>33</v>
      </c>
      <c r="B1062" t="str">
        <f>"300174"</f>
        <v>300174</v>
      </c>
      <c r="C1062" t="s">
        <v>2400</v>
      </c>
      <c r="D1062" t="s">
        <v>418</v>
      </c>
      <c r="E1062">
        <v>73982076</v>
      </c>
      <c r="F1062">
        <v>21609763</v>
      </c>
      <c r="G1062">
        <v>18244203</v>
      </c>
      <c r="H1062">
        <v>17229773</v>
      </c>
      <c r="I1062">
        <v>33238545</v>
      </c>
      <c r="J1062">
        <v>-14180368</v>
      </c>
      <c r="K1062">
        <v>20506584</v>
      </c>
      <c r="L1062">
        <v>570878</v>
      </c>
      <c r="M1062">
        <v>-4327142</v>
      </c>
      <c r="N1062">
        <v>-7108356</v>
      </c>
      <c r="O1062">
        <v>-20283149</v>
      </c>
      <c r="P1062">
        <v>90</v>
      </c>
      <c r="Q1062" t="s">
        <v>2401</v>
      </c>
    </row>
    <row r="1063" spans="1:17" x14ac:dyDescent="0.3">
      <c r="A1063" t="s">
        <v>33</v>
      </c>
      <c r="B1063" t="str">
        <f>"300280"</f>
        <v>300280</v>
      </c>
      <c r="C1063" t="s">
        <v>2402</v>
      </c>
      <c r="D1063" t="s">
        <v>377</v>
      </c>
      <c r="E1063">
        <v>73724431</v>
      </c>
      <c r="F1063">
        <v>7611095</v>
      </c>
      <c r="G1063">
        <v>41393596</v>
      </c>
      <c r="H1063">
        <v>12270073</v>
      </c>
      <c r="I1063">
        <v>-16547940</v>
      </c>
      <c r="J1063">
        <v>-8415603</v>
      </c>
      <c r="K1063">
        <v>14252133</v>
      </c>
      <c r="L1063">
        <v>9828858</v>
      </c>
      <c r="M1063">
        <v>22238013</v>
      </c>
      <c r="N1063">
        <v>11047087</v>
      </c>
      <c r="O1063">
        <v>18901892</v>
      </c>
      <c r="P1063">
        <v>144</v>
      </c>
      <c r="Q1063" t="s">
        <v>2403</v>
      </c>
    </row>
    <row r="1064" spans="1:17" x14ac:dyDescent="0.3">
      <c r="A1064" t="s">
        <v>33</v>
      </c>
      <c r="B1064" t="str">
        <f>"002965"</f>
        <v>002965</v>
      </c>
      <c r="C1064" t="s">
        <v>2404</v>
      </c>
      <c r="D1064" t="s">
        <v>164</v>
      </c>
      <c r="E1064">
        <v>73711815</v>
      </c>
      <c r="F1064">
        <v>78221889</v>
      </c>
      <c r="G1064">
        <v>60503412</v>
      </c>
      <c r="H1064">
        <v>33825377</v>
      </c>
      <c r="P1064">
        <v>400</v>
      </c>
      <c r="Q1064" t="s">
        <v>2405</v>
      </c>
    </row>
    <row r="1065" spans="1:17" x14ac:dyDescent="0.3">
      <c r="A1065" t="s">
        <v>17</v>
      </c>
      <c r="B1065" t="str">
        <f>"601007"</f>
        <v>601007</v>
      </c>
      <c r="C1065" t="s">
        <v>2406</v>
      </c>
      <c r="D1065" t="s">
        <v>2043</v>
      </c>
      <c r="E1065">
        <v>73610705</v>
      </c>
      <c r="F1065">
        <v>85379003</v>
      </c>
      <c r="G1065">
        <v>59321040</v>
      </c>
      <c r="H1065">
        <v>-22354635</v>
      </c>
      <c r="I1065">
        <v>32018546</v>
      </c>
      <c r="J1065">
        <v>58103906</v>
      </c>
      <c r="K1065">
        <v>-6275001</v>
      </c>
      <c r="L1065">
        <v>1320572</v>
      </c>
      <c r="M1065">
        <v>8751194</v>
      </c>
      <c r="N1065">
        <v>3513395</v>
      </c>
      <c r="O1065">
        <v>7438090</v>
      </c>
      <c r="P1065">
        <v>111</v>
      </c>
      <c r="Q1065" t="s">
        <v>2407</v>
      </c>
    </row>
    <row r="1066" spans="1:17" x14ac:dyDescent="0.3">
      <c r="A1066" t="s">
        <v>33</v>
      </c>
      <c r="B1066" t="str">
        <f>"003043"</f>
        <v>003043</v>
      </c>
      <c r="C1066" t="s">
        <v>2408</v>
      </c>
      <c r="D1066" t="s">
        <v>2201</v>
      </c>
      <c r="E1066">
        <v>73543089</v>
      </c>
      <c r="F1066">
        <v>13248734</v>
      </c>
      <c r="G1066">
        <v>30170467</v>
      </c>
      <c r="P1066">
        <v>46</v>
      </c>
      <c r="Q1066" t="s">
        <v>2409</v>
      </c>
    </row>
    <row r="1067" spans="1:17" x14ac:dyDescent="0.3">
      <c r="A1067" t="s">
        <v>33</v>
      </c>
      <c r="B1067" t="str">
        <f>"300340"</f>
        <v>300340</v>
      </c>
      <c r="C1067" t="s">
        <v>2410</v>
      </c>
      <c r="D1067" t="s">
        <v>795</v>
      </c>
      <c r="E1067">
        <v>73357459</v>
      </c>
      <c r="F1067">
        <v>-89914141</v>
      </c>
      <c r="G1067">
        <v>-89061532</v>
      </c>
      <c r="H1067">
        <v>15306167</v>
      </c>
      <c r="I1067">
        <v>-117999436</v>
      </c>
      <c r="J1067">
        <v>-29442268</v>
      </c>
      <c r="K1067">
        <v>-32475735</v>
      </c>
      <c r="L1067">
        <v>-12449210</v>
      </c>
      <c r="M1067">
        <v>3934942</v>
      </c>
      <c r="N1067">
        <v>-30759291</v>
      </c>
      <c r="O1067">
        <v>-5768404</v>
      </c>
      <c r="P1067">
        <v>96</v>
      </c>
      <c r="Q1067" t="s">
        <v>2411</v>
      </c>
    </row>
    <row r="1068" spans="1:17" x14ac:dyDescent="0.3">
      <c r="A1068" t="s">
        <v>17</v>
      </c>
      <c r="B1068" t="str">
        <f>"603355"</f>
        <v>603355</v>
      </c>
      <c r="C1068" t="s">
        <v>2412</v>
      </c>
      <c r="D1068" t="s">
        <v>1402</v>
      </c>
      <c r="E1068">
        <v>73316545</v>
      </c>
      <c r="F1068">
        <v>-300903280</v>
      </c>
      <c r="G1068">
        <v>237617322</v>
      </c>
      <c r="H1068">
        <v>438447967</v>
      </c>
      <c r="I1068">
        <v>62900314</v>
      </c>
      <c r="J1068">
        <v>-46747208</v>
      </c>
      <c r="K1068">
        <v>73754573</v>
      </c>
      <c r="L1068">
        <v>115558283</v>
      </c>
      <c r="M1068">
        <v>64870069</v>
      </c>
      <c r="P1068">
        <v>557</v>
      </c>
      <c r="Q1068" t="s">
        <v>2413</v>
      </c>
    </row>
    <row r="1069" spans="1:17" x14ac:dyDescent="0.3">
      <c r="A1069" t="s">
        <v>33</v>
      </c>
      <c r="B1069" t="str">
        <f>"002677"</f>
        <v>002677</v>
      </c>
      <c r="C1069" t="s">
        <v>2414</v>
      </c>
      <c r="D1069" t="s">
        <v>1852</v>
      </c>
      <c r="E1069">
        <v>73279539</v>
      </c>
      <c r="F1069">
        <v>19254259</v>
      </c>
      <c r="G1069">
        <v>-113867893</v>
      </c>
      <c r="H1069">
        <v>41717813</v>
      </c>
      <c r="I1069">
        <v>24900697</v>
      </c>
      <c r="J1069">
        <v>48215497</v>
      </c>
      <c r="K1069">
        <v>-28167301</v>
      </c>
      <c r="L1069">
        <v>-56734897</v>
      </c>
      <c r="M1069">
        <v>-35716340</v>
      </c>
      <c r="N1069">
        <v>-252152645</v>
      </c>
      <c r="O1069">
        <v>-37883413</v>
      </c>
      <c r="P1069">
        <v>4536</v>
      </c>
      <c r="Q1069" t="s">
        <v>2415</v>
      </c>
    </row>
    <row r="1070" spans="1:17" x14ac:dyDescent="0.3">
      <c r="A1070" t="s">
        <v>33</v>
      </c>
      <c r="B1070" t="str">
        <f>"002870"</f>
        <v>002870</v>
      </c>
      <c r="C1070" t="s">
        <v>2416</v>
      </c>
      <c r="D1070" t="s">
        <v>2417</v>
      </c>
      <c r="E1070">
        <v>73132980</v>
      </c>
      <c r="F1070">
        <v>22327754</v>
      </c>
      <c r="G1070">
        <v>41900582</v>
      </c>
      <c r="H1070">
        <v>-24946975</v>
      </c>
      <c r="I1070">
        <v>-33077231</v>
      </c>
      <c r="J1070">
        <v>-4862189</v>
      </c>
      <c r="K1070">
        <v>-32670122</v>
      </c>
      <c r="P1070">
        <v>91</v>
      </c>
      <c r="Q1070" t="s">
        <v>2418</v>
      </c>
    </row>
    <row r="1071" spans="1:17" x14ac:dyDescent="0.3">
      <c r="A1071" t="s">
        <v>33</v>
      </c>
      <c r="B1071" t="str">
        <f>"002984"</f>
        <v>002984</v>
      </c>
      <c r="C1071" t="s">
        <v>2419</v>
      </c>
      <c r="D1071" t="s">
        <v>1618</v>
      </c>
      <c r="E1071">
        <v>72789322</v>
      </c>
      <c r="F1071">
        <v>88767293</v>
      </c>
      <c r="G1071">
        <v>428756437</v>
      </c>
      <c r="P1071">
        <v>203</v>
      </c>
      <c r="Q1071" t="s">
        <v>2420</v>
      </c>
    </row>
    <row r="1072" spans="1:17" x14ac:dyDescent="0.3">
      <c r="A1072" t="s">
        <v>17</v>
      </c>
      <c r="B1072" t="str">
        <f>"688105"</f>
        <v>688105</v>
      </c>
      <c r="C1072" t="s">
        <v>2421</v>
      </c>
      <c r="D1072" t="s">
        <v>221</v>
      </c>
      <c r="E1072">
        <v>72730459</v>
      </c>
      <c r="P1072">
        <v>51</v>
      </c>
      <c r="Q1072" t="s">
        <v>2422</v>
      </c>
    </row>
    <row r="1073" spans="1:17" x14ac:dyDescent="0.3">
      <c r="A1073" t="s">
        <v>17</v>
      </c>
      <c r="B1073" t="str">
        <f>"605018"</f>
        <v>605018</v>
      </c>
      <c r="C1073" t="s">
        <v>2423</v>
      </c>
      <c r="D1073" t="s">
        <v>1419</v>
      </c>
      <c r="E1073">
        <v>72695815</v>
      </c>
      <c r="F1073">
        <v>15334589</v>
      </c>
      <c r="G1073">
        <v>97105434</v>
      </c>
      <c r="P1073">
        <v>48</v>
      </c>
      <c r="Q1073" t="s">
        <v>2424</v>
      </c>
    </row>
    <row r="1074" spans="1:17" x14ac:dyDescent="0.3">
      <c r="A1074" t="s">
        <v>17</v>
      </c>
      <c r="B1074" t="str">
        <f>"605179"</f>
        <v>605179</v>
      </c>
      <c r="C1074" t="s">
        <v>2425</v>
      </c>
      <c r="D1074" t="s">
        <v>918</v>
      </c>
      <c r="E1074">
        <v>72684557</v>
      </c>
      <c r="F1074">
        <v>-11037511</v>
      </c>
      <c r="G1074">
        <v>-126200800</v>
      </c>
      <c r="P1074">
        <v>84</v>
      </c>
      <c r="Q1074" t="s">
        <v>2426</v>
      </c>
    </row>
    <row r="1075" spans="1:17" x14ac:dyDescent="0.3">
      <c r="A1075" t="s">
        <v>33</v>
      </c>
      <c r="B1075" t="str">
        <f>"002645"</f>
        <v>002645</v>
      </c>
      <c r="C1075" t="s">
        <v>2427</v>
      </c>
      <c r="D1075" t="s">
        <v>1763</v>
      </c>
      <c r="E1075">
        <v>72565555</v>
      </c>
      <c r="F1075">
        <v>73842280</v>
      </c>
      <c r="G1075">
        <v>-34036262</v>
      </c>
      <c r="H1075">
        <v>-7710788</v>
      </c>
      <c r="I1075">
        <v>-24738504</v>
      </c>
      <c r="J1075">
        <v>39926034</v>
      </c>
      <c r="K1075">
        <v>-19147636</v>
      </c>
      <c r="L1075">
        <v>-5445096</v>
      </c>
      <c r="M1075">
        <v>-30419856</v>
      </c>
      <c r="N1075">
        <v>11924541</v>
      </c>
      <c r="O1075">
        <v>-37785623</v>
      </c>
      <c r="P1075">
        <v>204</v>
      </c>
      <c r="Q1075" t="s">
        <v>2428</v>
      </c>
    </row>
    <row r="1076" spans="1:17" x14ac:dyDescent="0.3">
      <c r="A1076" t="s">
        <v>33</v>
      </c>
      <c r="B1076" t="str">
        <f>"300054"</f>
        <v>300054</v>
      </c>
      <c r="C1076" t="s">
        <v>2429</v>
      </c>
      <c r="D1076" t="s">
        <v>1330</v>
      </c>
      <c r="E1076">
        <v>72485956</v>
      </c>
      <c r="F1076">
        <v>-63783859</v>
      </c>
      <c r="G1076">
        <v>32616044</v>
      </c>
      <c r="H1076">
        <v>32986720</v>
      </c>
      <c r="I1076">
        <v>3486600</v>
      </c>
      <c r="J1076">
        <v>59954978</v>
      </c>
      <c r="K1076">
        <v>70678288</v>
      </c>
      <c r="L1076">
        <v>42932587</v>
      </c>
      <c r="M1076">
        <v>34989805</v>
      </c>
      <c r="N1076">
        <v>27684237</v>
      </c>
      <c r="O1076">
        <v>16083694</v>
      </c>
      <c r="P1076">
        <v>367</v>
      </c>
      <c r="Q1076" t="s">
        <v>2430</v>
      </c>
    </row>
    <row r="1077" spans="1:17" x14ac:dyDescent="0.3">
      <c r="A1077" t="s">
        <v>33</v>
      </c>
      <c r="B1077" t="str">
        <f>"300752"</f>
        <v>300752</v>
      </c>
      <c r="C1077" t="s">
        <v>2431</v>
      </c>
      <c r="D1077" t="s">
        <v>1299</v>
      </c>
      <c r="E1077">
        <v>72301025</v>
      </c>
      <c r="F1077">
        <v>35882190</v>
      </c>
      <c r="G1077">
        <v>35358349</v>
      </c>
      <c r="H1077">
        <v>100081850</v>
      </c>
      <c r="I1077">
        <v>29675120</v>
      </c>
      <c r="P1077">
        <v>140</v>
      </c>
      <c r="Q1077" t="s">
        <v>2432</v>
      </c>
    </row>
    <row r="1078" spans="1:17" x14ac:dyDescent="0.3">
      <c r="A1078" t="s">
        <v>33</v>
      </c>
      <c r="B1078" t="str">
        <f>"300496"</f>
        <v>300496</v>
      </c>
      <c r="C1078" t="s">
        <v>2433</v>
      </c>
      <c r="D1078" t="s">
        <v>508</v>
      </c>
      <c r="E1078">
        <v>72260398</v>
      </c>
      <c r="F1078">
        <v>56965695</v>
      </c>
      <c r="G1078">
        <v>61874306</v>
      </c>
      <c r="H1078">
        <v>24601270</v>
      </c>
      <c r="I1078">
        <v>36658275</v>
      </c>
      <c r="J1078">
        <v>-9130956</v>
      </c>
      <c r="K1078">
        <v>3793504</v>
      </c>
      <c r="L1078">
        <v>-19678307</v>
      </c>
      <c r="M1078">
        <v>-12581115</v>
      </c>
      <c r="P1078">
        <v>1141</v>
      </c>
      <c r="Q1078" t="s">
        <v>2434</v>
      </c>
    </row>
    <row r="1079" spans="1:17" x14ac:dyDescent="0.3">
      <c r="A1079" t="s">
        <v>33</v>
      </c>
      <c r="B1079" t="str">
        <f>"301149"</f>
        <v>301149</v>
      </c>
      <c r="C1079" t="s">
        <v>2435</v>
      </c>
      <c r="D1079" t="s">
        <v>418</v>
      </c>
      <c r="E1079">
        <v>72094942</v>
      </c>
      <c r="P1079">
        <v>17</v>
      </c>
      <c r="Q1079" t="s">
        <v>2436</v>
      </c>
    </row>
    <row r="1080" spans="1:17" x14ac:dyDescent="0.3">
      <c r="A1080" t="s">
        <v>17</v>
      </c>
      <c r="B1080" t="str">
        <f>"688099"</f>
        <v>688099</v>
      </c>
      <c r="C1080" t="s">
        <v>2437</v>
      </c>
      <c r="D1080" t="s">
        <v>1277</v>
      </c>
      <c r="E1080">
        <v>71866232</v>
      </c>
      <c r="F1080">
        <v>89416026</v>
      </c>
      <c r="G1080">
        <v>52393193</v>
      </c>
      <c r="H1080">
        <v>-40130400</v>
      </c>
      <c r="I1080">
        <v>32312000</v>
      </c>
      <c r="P1080">
        <v>301</v>
      </c>
      <c r="Q1080" t="s">
        <v>2438</v>
      </c>
    </row>
    <row r="1081" spans="1:17" x14ac:dyDescent="0.3">
      <c r="A1081" t="s">
        <v>17</v>
      </c>
      <c r="B1081" t="str">
        <f>"601890"</f>
        <v>601890</v>
      </c>
      <c r="C1081" t="s">
        <v>2439</v>
      </c>
      <c r="D1081" t="s">
        <v>248</v>
      </c>
      <c r="E1081">
        <v>71598455</v>
      </c>
      <c r="F1081">
        <v>57109587</v>
      </c>
      <c r="G1081">
        <v>63442183</v>
      </c>
      <c r="H1081">
        <v>-72634170</v>
      </c>
      <c r="I1081">
        <v>-4236977</v>
      </c>
      <c r="J1081">
        <v>-78750899</v>
      </c>
      <c r="K1081">
        <v>57345128</v>
      </c>
      <c r="L1081">
        <v>-28824531</v>
      </c>
      <c r="M1081">
        <v>40165777</v>
      </c>
      <c r="N1081">
        <v>-40368880</v>
      </c>
      <c r="O1081">
        <v>-218142256</v>
      </c>
      <c r="P1081">
        <v>144</v>
      </c>
      <c r="Q1081" t="s">
        <v>2440</v>
      </c>
    </row>
    <row r="1082" spans="1:17" x14ac:dyDescent="0.3">
      <c r="A1082" t="s">
        <v>17</v>
      </c>
      <c r="B1082" t="str">
        <f>"600399"</f>
        <v>600399</v>
      </c>
      <c r="C1082" t="s">
        <v>2441</v>
      </c>
      <c r="D1082" t="s">
        <v>253</v>
      </c>
      <c r="E1082">
        <v>71587727</v>
      </c>
      <c r="F1082">
        <v>-415876838</v>
      </c>
      <c r="G1082">
        <v>-41691272</v>
      </c>
      <c r="H1082">
        <v>-44707290</v>
      </c>
      <c r="I1082">
        <v>-134314160</v>
      </c>
      <c r="J1082">
        <v>67141855</v>
      </c>
      <c r="K1082">
        <v>62924390</v>
      </c>
      <c r="L1082">
        <v>127227809</v>
      </c>
      <c r="M1082">
        <v>75193121</v>
      </c>
      <c r="N1082">
        <v>71279807</v>
      </c>
      <c r="O1082">
        <v>65556122</v>
      </c>
      <c r="P1082">
        <v>256</v>
      </c>
      <c r="Q1082" t="s">
        <v>2442</v>
      </c>
    </row>
    <row r="1083" spans="1:17" x14ac:dyDescent="0.3">
      <c r="A1083" t="s">
        <v>17</v>
      </c>
      <c r="B1083" t="str">
        <f>"600169"</f>
        <v>600169</v>
      </c>
      <c r="C1083" t="s">
        <v>2443</v>
      </c>
      <c r="D1083" t="s">
        <v>1132</v>
      </c>
      <c r="E1083">
        <v>71435673</v>
      </c>
      <c r="F1083">
        <v>94309502</v>
      </c>
      <c r="G1083">
        <v>362764375</v>
      </c>
      <c r="H1083">
        <v>660649591</v>
      </c>
      <c r="I1083">
        <v>-211599976</v>
      </c>
      <c r="J1083">
        <v>31568999</v>
      </c>
      <c r="K1083">
        <v>-629865425</v>
      </c>
      <c r="L1083">
        <v>-330407377</v>
      </c>
      <c r="M1083">
        <v>-441468729</v>
      </c>
      <c r="N1083">
        <v>-590261632</v>
      </c>
      <c r="O1083">
        <v>-585758055</v>
      </c>
      <c r="P1083">
        <v>133</v>
      </c>
      <c r="Q1083" t="s">
        <v>2444</v>
      </c>
    </row>
    <row r="1084" spans="1:17" x14ac:dyDescent="0.3">
      <c r="A1084" t="s">
        <v>33</v>
      </c>
      <c r="B1084" t="str">
        <f>"002130"</f>
        <v>002130</v>
      </c>
      <c r="C1084" t="s">
        <v>2445</v>
      </c>
      <c r="D1084" t="s">
        <v>499</v>
      </c>
      <c r="E1084">
        <v>71368173</v>
      </c>
      <c r="F1084">
        <v>18912449</v>
      </c>
      <c r="G1084">
        <v>169761787</v>
      </c>
      <c r="H1084">
        <v>88364906</v>
      </c>
      <c r="I1084">
        <v>48583605</v>
      </c>
      <c r="J1084">
        <v>-64804882</v>
      </c>
      <c r="K1084">
        <v>-17239494</v>
      </c>
      <c r="L1084">
        <v>-9037814</v>
      </c>
      <c r="M1084">
        <v>-18355948</v>
      </c>
      <c r="N1084">
        <v>8350412</v>
      </c>
      <c r="O1084">
        <v>-65298619</v>
      </c>
      <c r="P1084">
        <v>266</v>
      </c>
      <c r="Q1084" t="s">
        <v>2446</v>
      </c>
    </row>
    <row r="1085" spans="1:17" x14ac:dyDescent="0.3">
      <c r="A1085" t="s">
        <v>33</v>
      </c>
      <c r="B1085" t="str">
        <f>"300158"</f>
        <v>300158</v>
      </c>
      <c r="C1085" t="s">
        <v>2447</v>
      </c>
      <c r="D1085" t="s">
        <v>590</v>
      </c>
      <c r="E1085">
        <v>71339619</v>
      </c>
      <c r="F1085">
        <v>-216292266</v>
      </c>
      <c r="G1085">
        <v>-18357633</v>
      </c>
      <c r="H1085">
        <v>9428578</v>
      </c>
      <c r="I1085">
        <v>-179362851</v>
      </c>
      <c r="J1085">
        <v>-62939736</v>
      </c>
      <c r="K1085">
        <v>-97588464</v>
      </c>
      <c r="L1085">
        <v>-18053710</v>
      </c>
      <c r="M1085">
        <v>-18981910</v>
      </c>
      <c r="N1085">
        <v>-63240604</v>
      </c>
      <c r="O1085">
        <v>-41143103</v>
      </c>
      <c r="P1085">
        <v>176</v>
      </c>
      <c r="Q1085" t="s">
        <v>2448</v>
      </c>
    </row>
    <row r="1086" spans="1:17" x14ac:dyDescent="0.3">
      <c r="A1086" t="s">
        <v>33</v>
      </c>
      <c r="B1086" t="str">
        <f>"002087"</f>
        <v>002087</v>
      </c>
      <c r="C1086" t="s">
        <v>2449</v>
      </c>
      <c r="D1086" t="s">
        <v>693</v>
      </c>
      <c r="E1086">
        <v>71124508</v>
      </c>
      <c r="F1086">
        <v>277778770</v>
      </c>
      <c r="G1086">
        <v>63388629</v>
      </c>
      <c r="H1086">
        <v>616751113</v>
      </c>
      <c r="I1086">
        <v>198887110</v>
      </c>
      <c r="J1086">
        <v>54593932</v>
      </c>
      <c r="K1086">
        <v>-234870627</v>
      </c>
      <c r="L1086">
        <v>-157120044</v>
      </c>
      <c r="M1086">
        <v>-56322295</v>
      </c>
      <c r="N1086">
        <v>69660255</v>
      </c>
      <c r="O1086">
        <v>111903320</v>
      </c>
      <c r="P1086">
        <v>208</v>
      </c>
      <c r="Q1086" t="s">
        <v>2450</v>
      </c>
    </row>
    <row r="1087" spans="1:17" x14ac:dyDescent="0.3">
      <c r="A1087" t="s">
        <v>17</v>
      </c>
      <c r="B1087" t="str">
        <f>"600488"</f>
        <v>600488</v>
      </c>
      <c r="C1087" t="s">
        <v>2451</v>
      </c>
      <c r="D1087" t="s">
        <v>590</v>
      </c>
      <c r="E1087">
        <v>71001772</v>
      </c>
      <c r="F1087">
        <v>87016987</v>
      </c>
      <c r="G1087">
        <v>25197028</v>
      </c>
      <c r="H1087">
        <v>138790426</v>
      </c>
      <c r="I1087">
        <v>167012572</v>
      </c>
      <c r="J1087">
        <v>34982363</v>
      </c>
      <c r="K1087">
        <v>-33396896</v>
      </c>
      <c r="L1087">
        <v>48165420</v>
      </c>
      <c r="M1087">
        <v>50214210</v>
      </c>
      <c r="N1087">
        <v>-20641256</v>
      </c>
      <c r="O1087">
        <v>-24998942</v>
      </c>
      <c r="P1087">
        <v>98</v>
      </c>
      <c r="Q1087" t="s">
        <v>2452</v>
      </c>
    </row>
    <row r="1088" spans="1:17" x14ac:dyDescent="0.3">
      <c r="A1088" t="s">
        <v>17</v>
      </c>
      <c r="B1088" t="str">
        <f>"600117"</f>
        <v>600117</v>
      </c>
      <c r="C1088" t="s">
        <v>2453</v>
      </c>
      <c r="D1088" t="s">
        <v>253</v>
      </c>
      <c r="E1088">
        <v>70981472</v>
      </c>
      <c r="F1088">
        <v>48146053</v>
      </c>
      <c r="G1088">
        <v>-216636866</v>
      </c>
      <c r="H1088">
        <v>-11680787</v>
      </c>
      <c r="I1088">
        <v>-248816659</v>
      </c>
      <c r="J1088">
        <v>-45681240</v>
      </c>
      <c r="K1088">
        <v>-423312016</v>
      </c>
      <c r="L1088">
        <v>32067427</v>
      </c>
      <c r="M1088">
        <v>-27268661</v>
      </c>
      <c r="N1088">
        <v>-790305</v>
      </c>
      <c r="O1088">
        <v>-25488912</v>
      </c>
      <c r="P1088">
        <v>116</v>
      </c>
      <c r="Q1088" t="s">
        <v>2454</v>
      </c>
    </row>
    <row r="1089" spans="1:17" x14ac:dyDescent="0.3">
      <c r="A1089" t="s">
        <v>33</v>
      </c>
      <c r="B1089" t="str">
        <f>"000010"</f>
        <v>000010</v>
      </c>
      <c r="C1089" t="s">
        <v>2455</v>
      </c>
      <c r="D1089" t="s">
        <v>2330</v>
      </c>
      <c r="E1089">
        <v>70795376</v>
      </c>
      <c r="F1089">
        <v>-40744113</v>
      </c>
      <c r="G1089">
        <v>-175470593</v>
      </c>
      <c r="H1089">
        <v>-60886632</v>
      </c>
      <c r="I1089">
        <v>-83319968</v>
      </c>
      <c r="J1089">
        <v>782482458</v>
      </c>
      <c r="K1089">
        <v>-30120720</v>
      </c>
      <c r="L1089">
        <v>-98768283</v>
      </c>
      <c r="M1089">
        <v>-27991483</v>
      </c>
      <c r="N1089">
        <v>-2898975</v>
      </c>
      <c r="O1089">
        <v>-4254635</v>
      </c>
      <c r="P1089">
        <v>93</v>
      </c>
      <c r="Q1089" t="s">
        <v>2456</v>
      </c>
    </row>
    <row r="1090" spans="1:17" x14ac:dyDescent="0.3">
      <c r="A1090" t="s">
        <v>33</v>
      </c>
      <c r="B1090" t="str">
        <f>"002878"</f>
        <v>002878</v>
      </c>
      <c r="C1090" t="s">
        <v>2457</v>
      </c>
      <c r="D1090" t="s">
        <v>2458</v>
      </c>
      <c r="E1090">
        <v>70685434</v>
      </c>
      <c r="F1090">
        <v>-50658528</v>
      </c>
      <c r="G1090">
        <v>-72020880</v>
      </c>
      <c r="H1090">
        <v>-10771664</v>
      </c>
      <c r="I1090">
        <v>53905952</v>
      </c>
      <c r="J1090">
        <v>22884700</v>
      </c>
      <c r="K1090">
        <v>-9843200</v>
      </c>
      <c r="P1090">
        <v>345</v>
      </c>
      <c r="Q1090" t="s">
        <v>2459</v>
      </c>
    </row>
    <row r="1091" spans="1:17" x14ac:dyDescent="0.3">
      <c r="A1091" t="s">
        <v>17</v>
      </c>
      <c r="B1091" t="str">
        <f>"603101"</f>
        <v>603101</v>
      </c>
      <c r="C1091" t="s">
        <v>2460</v>
      </c>
      <c r="D1091" t="s">
        <v>989</v>
      </c>
      <c r="E1091">
        <v>70663289</v>
      </c>
      <c r="F1091">
        <v>108282365</v>
      </c>
      <c r="G1091">
        <v>-46391123</v>
      </c>
      <c r="H1091">
        <v>172345269</v>
      </c>
      <c r="I1091">
        <v>118695642</v>
      </c>
      <c r="J1091">
        <v>7683508</v>
      </c>
      <c r="K1091">
        <v>-66944073</v>
      </c>
      <c r="L1091">
        <v>65840977</v>
      </c>
      <c r="P1091">
        <v>69</v>
      </c>
      <c r="Q1091" t="s">
        <v>2461</v>
      </c>
    </row>
    <row r="1092" spans="1:17" x14ac:dyDescent="0.3">
      <c r="A1092" t="s">
        <v>33</v>
      </c>
      <c r="B1092" t="str">
        <f>"200020"</f>
        <v>200020</v>
      </c>
      <c r="C1092" t="s">
        <v>2462</v>
      </c>
      <c r="E1092">
        <v>70581462.030000001</v>
      </c>
      <c r="F1092">
        <v>-6071481.6720000003</v>
      </c>
      <c r="G1092">
        <v>8668127.6061000004</v>
      </c>
      <c r="H1092">
        <v>22685102.997299999</v>
      </c>
      <c r="I1092">
        <v>422442.65950000001</v>
      </c>
      <c r="J1092">
        <v>-20873911.272</v>
      </c>
      <c r="K1092">
        <v>-55269942.575900003</v>
      </c>
      <c r="L1092">
        <v>-2706598.75</v>
      </c>
      <c r="M1092">
        <v>-32799469.122000001</v>
      </c>
      <c r="N1092">
        <v>-88750663.871399999</v>
      </c>
      <c r="O1092">
        <v>-111167398.368</v>
      </c>
      <c r="P1092">
        <v>6</v>
      </c>
      <c r="Q1092" t="s">
        <v>2463</v>
      </c>
    </row>
    <row r="1093" spans="1:17" x14ac:dyDescent="0.3">
      <c r="A1093" t="s">
        <v>33</v>
      </c>
      <c r="B1093" t="str">
        <f>"002377"</f>
        <v>002377</v>
      </c>
      <c r="C1093" t="s">
        <v>2464</v>
      </c>
      <c r="D1093" t="s">
        <v>282</v>
      </c>
      <c r="E1093">
        <v>70552273</v>
      </c>
      <c r="F1093">
        <v>-22439292</v>
      </c>
      <c r="G1093">
        <v>-384426833</v>
      </c>
      <c r="H1093">
        <v>-202816927</v>
      </c>
      <c r="I1093">
        <v>-73315287</v>
      </c>
      <c r="J1093">
        <v>-135709904</v>
      </c>
      <c r="K1093">
        <v>-114616440</v>
      </c>
      <c r="L1093">
        <v>-210288095</v>
      </c>
      <c r="M1093">
        <v>-224124606</v>
      </c>
      <c r="N1093">
        <v>-220716473</v>
      </c>
      <c r="O1093">
        <v>-193210604</v>
      </c>
      <c r="P1093">
        <v>95</v>
      </c>
      <c r="Q1093" t="s">
        <v>2465</v>
      </c>
    </row>
    <row r="1094" spans="1:17" x14ac:dyDescent="0.3">
      <c r="A1094" t="s">
        <v>33</v>
      </c>
      <c r="B1094" t="str">
        <f>"300765"</f>
        <v>300765</v>
      </c>
      <c r="C1094" t="s">
        <v>2466</v>
      </c>
      <c r="D1094" t="s">
        <v>941</v>
      </c>
      <c r="E1094">
        <v>70514173</v>
      </c>
      <c r="F1094">
        <v>48579724</v>
      </c>
      <c r="G1094">
        <v>95461024</v>
      </c>
      <c r="H1094">
        <v>54142711</v>
      </c>
      <c r="I1094">
        <v>23277520</v>
      </c>
      <c r="P1094">
        <v>173</v>
      </c>
      <c r="Q1094" t="s">
        <v>2467</v>
      </c>
    </row>
    <row r="1095" spans="1:17" x14ac:dyDescent="0.3">
      <c r="A1095" t="s">
        <v>33</v>
      </c>
      <c r="B1095" t="str">
        <f>"002786"</f>
        <v>002786</v>
      </c>
      <c r="C1095" t="s">
        <v>2468</v>
      </c>
      <c r="D1095" t="s">
        <v>1895</v>
      </c>
      <c r="E1095">
        <v>70483003</v>
      </c>
      <c r="F1095">
        <v>-124630146</v>
      </c>
      <c r="G1095">
        <v>46961183</v>
      </c>
      <c r="H1095">
        <v>1388962</v>
      </c>
      <c r="I1095">
        <v>-38044963</v>
      </c>
      <c r="J1095">
        <v>27013023</v>
      </c>
      <c r="K1095">
        <v>6522689</v>
      </c>
      <c r="L1095">
        <v>23996300</v>
      </c>
      <c r="M1095">
        <v>7839100</v>
      </c>
      <c r="P1095">
        <v>176</v>
      </c>
      <c r="Q1095" t="s">
        <v>2469</v>
      </c>
    </row>
    <row r="1096" spans="1:17" x14ac:dyDescent="0.3">
      <c r="A1096" t="s">
        <v>33</v>
      </c>
      <c r="B1096" t="str">
        <f>"002409"</f>
        <v>002409</v>
      </c>
      <c r="C1096" t="s">
        <v>2470</v>
      </c>
      <c r="D1096" t="s">
        <v>1177</v>
      </c>
      <c r="E1096">
        <v>70068338</v>
      </c>
      <c r="F1096">
        <v>102879657</v>
      </c>
      <c r="G1096">
        <v>73378878</v>
      </c>
      <c r="H1096">
        <v>-29952657</v>
      </c>
      <c r="I1096">
        <v>88577038</v>
      </c>
      <c r="J1096">
        <v>-33997815</v>
      </c>
      <c r="K1096">
        <v>16458666</v>
      </c>
      <c r="L1096">
        <v>-55944191</v>
      </c>
      <c r="M1096">
        <v>38437703</v>
      </c>
      <c r="N1096">
        <v>-11912427</v>
      </c>
      <c r="O1096">
        <v>-13919774</v>
      </c>
      <c r="P1096">
        <v>496</v>
      </c>
      <c r="Q1096" t="s">
        <v>2471</v>
      </c>
    </row>
    <row r="1097" spans="1:17" x14ac:dyDescent="0.3">
      <c r="A1097" t="s">
        <v>33</v>
      </c>
      <c r="B1097" t="str">
        <f>"301118"</f>
        <v>301118</v>
      </c>
      <c r="C1097" t="s">
        <v>2472</v>
      </c>
      <c r="D1097" t="s">
        <v>1022</v>
      </c>
      <c r="E1097">
        <v>70056612</v>
      </c>
      <c r="P1097">
        <v>16</v>
      </c>
      <c r="Q1097" t="s">
        <v>2473</v>
      </c>
    </row>
    <row r="1098" spans="1:17" x14ac:dyDescent="0.3">
      <c r="A1098" t="s">
        <v>17</v>
      </c>
      <c r="B1098" t="str">
        <f>"600260"</f>
        <v>600260</v>
      </c>
      <c r="C1098" t="s">
        <v>2474</v>
      </c>
      <c r="D1098" t="s">
        <v>2475</v>
      </c>
      <c r="E1098">
        <v>69880229</v>
      </c>
      <c r="F1098">
        <v>-225176413</v>
      </c>
      <c r="G1098">
        <v>-44641576</v>
      </c>
      <c r="H1098">
        <v>663478531</v>
      </c>
      <c r="I1098">
        <v>109080265</v>
      </c>
      <c r="J1098">
        <v>-120565014</v>
      </c>
      <c r="K1098">
        <v>-415487912</v>
      </c>
      <c r="L1098">
        <v>-105828584</v>
      </c>
      <c r="M1098">
        <v>-46519969</v>
      </c>
      <c r="N1098">
        <v>-9003453</v>
      </c>
      <c r="O1098">
        <v>-89910637</v>
      </c>
      <c r="P1098">
        <v>467</v>
      </c>
      <c r="Q1098" t="s">
        <v>2476</v>
      </c>
    </row>
    <row r="1099" spans="1:17" x14ac:dyDescent="0.3">
      <c r="A1099" t="s">
        <v>33</v>
      </c>
      <c r="B1099" t="str">
        <f>"002684"</f>
        <v>002684</v>
      </c>
      <c r="C1099" t="s">
        <v>2477</v>
      </c>
      <c r="D1099" t="s">
        <v>2478</v>
      </c>
      <c r="E1099">
        <v>69780120</v>
      </c>
      <c r="F1099">
        <v>71077670</v>
      </c>
      <c r="G1099">
        <v>58127028</v>
      </c>
      <c r="H1099">
        <v>93861080</v>
      </c>
      <c r="I1099">
        <v>-160746636</v>
      </c>
      <c r="J1099">
        <v>-253560455</v>
      </c>
      <c r="K1099">
        <v>29304337</v>
      </c>
      <c r="L1099">
        <v>10235533</v>
      </c>
      <c r="M1099">
        <v>-29318759</v>
      </c>
      <c r="N1099">
        <v>-19154744</v>
      </c>
      <c r="O1099">
        <v>10592729</v>
      </c>
      <c r="P1099">
        <v>91</v>
      </c>
      <c r="Q1099" t="s">
        <v>2479</v>
      </c>
    </row>
    <row r="1100" spans="1:17" x14ac:dyDescent="0.3">
      <c r="A1100" t="s">
        <v>33</v>
      </c>
      <c r="B1100" t="str">
        <f>"300642"</f>
        <v>300642</v>
      </c>
      <c r="C1100" t="s">
        <v>2480</v>
      </c>
      <c r="D1100" t="s">
        <v>221</v>
      </c>
      <c r="E1100">
        <v>69670388</v>
      </c>
      <c r="F1100">
        <v>-32479671</v>
      </c>
      <c r="G1100">
        <v>-38780551</v>
      </c>
      <c r="H1100">
        <v>1267824</v>
      </c>
      <c r="I1100">
        <v>9478015</v>
      </c>
      <c r="J1100">
        <v>-1066085</v>
      </c>
      <c r="K1100">
        <v>6999192</v>
      </c>
      <c r="P1100">
        <v>417</v>
      </c>
      <c r="Q1100" t="s">
        <v>2481</v>
      </c>
    </row>
    <row r="1101" spans="1:17" x14ac:dyDescent="0.3">
      <c r="A1101" t="s">
        <v>17</v>
      </c>
      <c r="B1101" t="str">
        <f>"603808"</f>
        <v>603808</v>
      </c>
      <c r="C1101" t="s">
        <v>2482</v>
      </c>
      <c r="D1101" t="s">
        <v>581</v>
      </c>
      <c r="E1101">
        <v>69653909</v>
      </c>
      <c r="F1101">
        <v>99561483</v>
      </c>
      <c r="G1101">
        <v>43509888</v>
      </c>
      <c r="H1101">
        <v>92651633</v>
      </c>
      <c r="I1101">
        <v>132940829</v>
      </c>
      <c r="J1101">
        <v>62183284</v>
      </c>
      <c r="K1101">
        <v>13240189</v>
      </c>
      <c r="L1101">
        <v>67961864</v>
      </c>
      <c r="M1101">
        <v>53675218</v>
      </c>
      <c r="P1101">
        <v>479</v>
      </c>
      <c r="Q1101" t="s">
        <v>2483</v>
      </c>
    </row>
    <row r="1102" spans="1:17" x14ac:dyDescent="0.3">
      <c r="A1102" t="s">
        <v>33</v>
      </c>
      <c r="B1102" t="str">
        <f>"002781"</f>
        <v>002781</v>
      </c>
      <c r="C1102" t="s">
        <v>2484</v>
      </c>
      <c r="D1102" t="s">
        <v>1779</v>
      </c>
      <c r="E1102">
        <v>69574053</v>
      </c>
      <c r="F1102">
        <v>-264354670</v>
      </c>
      <c r="G1102">
        <v>-26524577</v>
      </c>
      <c r="H1102">
        <v>-18516172</v>
      </c>
      <c r="I1102">
        <v>-273639564</v>
      </c>
      <c r="J1102">
        <v>-173373539</v>
      </c>
      <c r="K1102">
        <v>-291316792</v>
      </c>
      <c r="L1102">
        <v>-75214577</v>
      </c>
      <c r="P1102">
        <v>68</v>
      </c>
      <c r="Q1102" t="s">
        <v>2485</v>
      </c>
    </row>
    <row r="1103" spans="1:17" x14ac:dyDescent="0.3">
      <c r="A1103" t="s">
        <v>17</v>
      </c>
      <c r="B1103" t="str">
        <f>"688072"</f>
        <v>688072</v>
      </c>
      <c r="C1103" t="s">
        <v>2486</v>
      </c>
      <c r="E1103">
        <v>69512007</v>
      </c>
      <c r="F1103">
        <v>-73710446</v>
      </c>
      <c r="P1103">
        <v>5</v>
      </c>
      <c r="Q1103" t="s">
        <v>2487</v>
      </c>
    </row>
    <row r="1104" spans="1:17" x14ac:dyDescent="0.3">
      <c r="A1104" t="s">
        <v>17</v>
      </c>
      <c r="B1104" t="str">
        <f>"688778"</f>
        <v>688778</v>
      </c>
      <c r="C1104" t="s">
        <v>2488</v>
      </c>
      <c r="D1104" t="s">
        <v>795</v>
      </c>
      <c r="E1104">
        <v>69475647</v>
      </c>
      <c r="F1104">
        <v>62097220</v>
      </c>
      <c r="G1104">
        <v>149523227</v>
      </c>
      <c r="P1104">
        <v>44</v>
      </c>
      <c r="Q1104" t="s">
        <v>2489</v>
      </c>
    </row>
    <row r="1105" spans="1:17" x14ac:dyDescent="0.3">
      <c r="A1105" t="s">
        <v>33</v>
      </c>
      <c r="B1105" t="str">
        <f>"301047"</f>
        <v>301047</v>
      </c>
      <c r="C1105" t="s">
        <v>2490</v>
      </c>
      <c r="D1105" t="s">
        <v>846</v>
      </c>
      <c r="E1105">
        <v>69121768</v>
      </c>
      <c r="F1105">
        <v>242089315</v>
      </c>
      <c r="G1105">
        <v>21775856</v>
      </c>
      <c r="P1105">
        <v>71</v>
      </c>
      <c r="Q1105" t="s">
        <v>2491</v>
      </c>
    </row>
    <row r="1106" spans="1:17" x14ac:dyDescent="0.3">
      <c r="A1106" t="s">
        <v>33</v>
      </c>
      <c r="B1106" t="str">
        <f>"300191"</f>
        <v>300191</v>
      </c>
      <c r="C1106" t="s">
        <v>2492</v>
      </c>
      <c r="D1106" t="s">
        <v>1311</v>
      </c>
      <c r="E1106">
        <v>68745587</v>
      </c>
      <c r="F1106">
        <v>14070723</v>
      </c>
      <c r="G1106">
        <v>84864806</v>
      </c>
      <c r="H1106">
        <v>5036868</v>
      </c>
      <c r="I1106">
        <v>-1765157</v>
      </c>
      <c r="J1106">
        <v>9017101</v>
      </c>
      <c r="K1106">
        <v>-22861404</v>
      </c>
      <c r="L1106">
        <v>-5265329</v>
      </c>
      <c r="M1106">
        <v>12785579</v>
      </c>
      <c r="N1106">
        <v>-2669441</v>
      </c>
      <c r="O1106">
        <v>-379277</v>
      </c>
      <c r="P1106">
        <v>75</v>
      </c>
      <c r="Q1106" t="s">
        <v>2493</v>
      </c>
    </row>
    <row r="1107" spans="1:17" x14ac:dyDescent="0.3">
      <c r="A1107" t="s">
        <v>33</v>
      </c>
      <c r="B1107" t="str">
        <f>"300548"</f>
        <v>300548</v>
      </c>
      <c r="C1107" t="s">
        <v>2494</v>
      </c>
      <c r="D1107" t="s">
        <v>461</v>
      </c>
      <c r="E1107">
        <v>68636800</v>
      </c>
      <c r="F1107">
        <v>41873865</v>
      </c>
      <c r="G1107">
        <v>-49716023</v>
      </c>
      <c r="H1107">
        <v>4142681</v>
      </c>
      <c r="I1107">
        <v>41679706</v>
      </c>
      <c r="J1107">
        <v>-6336473</v>
      </c>
      <c r="K1107">
        <v>10237019</v>
      </c>
      <c r="P1107">
        <v>289</v>
      </c>
      <c r="Q1107" t="s">
        <v>2495</v>
      </c>
    </row>
    <row r="1108" spans="1:17" x14ac:dyDescent="0.3">
      <c r="A1108" t="s">
        <v>33</v>
      </c>
      <c r="B1108" t="str">
        <f>"300738"</f>
        <v>300738</v>
      </c>
      <c r="C1108" t="s">
        <v>2496</v>
      </c>
      <c r="D1108" t="s">
        <v>508</v>
      </c>
      <c r="E1108">
        <v>68566243</v>
      </c>
      <c r="F1108">
        <v>53791484</v>
      </c>
      <c r="G1108">
        <v>67258942</v>
      </c>
      <c r="H1108">
        <v>-50882790</v>
      </c>
      <c r="I1108">
        <v>21741637</v>
      </c>
      <c r="J1108">
        <v>11742655</v>
      </c>
      <c r="P1108">
        <v>300</v>
      </c>
      <c r="Q1108" t="s">
        <v>2497</v>
      </c>
    </row>
    <row r="1109" spans="1:17" x14ac:dyDescent="0.3">
      <c r="A1109" t="s">
        <v>17</v>
      </c>
      <c r="B1109" t="str">
        <f>"605507"</f>
        <v>605507</v>
      </c>
      <c r="C1109" t="s">
        <v>2498</v>
      </c>
      <c r="D1109" t="s">
        <v>941</v>
      </c>
      <c r="E1109">
        <v>68528706</v>
      </c>
      <c r="F1109">
        <v>17888722</v>
      </c>
      <c r="G1109">
        <v>173451483</v>
      </c>
      <c r="P1109">
        <v>25</v>
      </c>
      <c r="Q1109" t="s">
        <v>2499</v>
      </c>
    </row>
    <row r="1110" spans="1:17" x14ac:dyDescent="0.3">
      <c r="A1110" t="s">
        <v>17</v>
      </c>
      <c r="B1110" t="str">
        <f>"603868"</f>
        <v>603868</v>
      </c>
      <c r="C1110" t="s">
        <v>2500</v>
      </c>
      <c r="D1110" t="s">
        <v>2501</v>
      </c>
      <c r="E1110">
        <v>68522077</v>
      </c>
      <c r="F1110">
        <v>-56945415</v>
      </c>
      <c r="G1110">
        <v>129382133</v>
      </c>
      <c r="H1110">
        <v>37935748</v>
      </c>
      <c r="I1110">
        <v>37271642</v>
      </c>
      <c r="J1110">
        <v>201167844</v>
      </c>
      <c r="K1110">
        <v>128335166</v>
      </c>
      <c r="L1110">
        <v>36113488</v>
      </c>
      <c r="P1110">
        <v>4435</v>
      </c>
      <c r="Q1110" t="s">
        <v>2502</v>
      </c>
    </row>
    <row r="1111" spans="1:17" x14ac:dyDescent="0.3">
      <c r="A1111" t="s">
        <v>17</v>
      </c>
      <c r="B1111" t="str">
        <f>"600789"</f>
        <v>600789</v>
      </c>
      <c r="C1111" t="s">
        <v>2503</v>
      </c>
      <c r="D1111" t="s">
        <v>590</v>
      </c>
      <c r="E1111">
        <v>68459009</v>
      </c>
      <c r="F1111">
        <v>-21023246</v>
      </c>
      <c r="G1111">
        <v>-79185003</v>
      </c>
      <c r="H1111">
        <v>37385988</v>
      </c>
      <c r="I1111">
        <v>56216726</v>
      </c>
      <c r="J1111">
        <v>37746947</v>
      </c>
      <c r="K1111">
        <v>35601384</v>
      </c>
      <c r="L1111">
        <v>35716963</v>
      </c>
      <c r="M1111">
        <v>46787520</v>
      </c>
      <c r="N1111">
        <v>7989889</v>
      </c>
      <c r="O1111">
        <v>-87538654</v>
      </c>
      <c r="P1111">
        <v>245</v>
      </c>
      <c r="Q1111" t="s">
        <v>2504</v>
      </c>
    </row>
    <row r="1112" spans="1:17" x14ac:dyDescent="0.3">
      <c r="A1112" t="s">
        <v>33</v>
      </c>
      <c r="B1112" t="str">
        <f>"301102"</f>
        <v>301102</v>
      </c>
      <c r="C1112" t="s">
        <v>2505</v>
      </c>
      <c r="E1112">
        <v>68412389</v>
      </c>
      <c r="G1112">
        <v>45559059</v>
      </c>
      <c r="P1112">
        <v>4</v>
      </c>
      <c r="Q1112" t="s">
        <v>2506</v>
      </c>
    </row>
    <row r="1113" spans="1:17" x14ac:dyDescent="0.3">
      <c r="A1113" t="s">
        <v>17</v>
      </c>
      <c r="B1113" t="str">
        <f>"688639"</f>
        <v>688639</v>
      </c>
      <c r="C1113" t="s">
        <v>2507</v>
      </c>
      <c r="D1113" t="s">
        <v>1028</v>
      </c>
      <c r="E1113">
        <v>68295013</v>
      </c>
      <c r="F1113">
        <v>-6225079</v>
      </c>
      <c r="G1113">
        <v>-19642996</v>
      </c>
      <c r="P1113">
        <v>58</v>
      </c>
      <c r="Q1113" t="s">
        <v>2508</v>
      </c>
    </row>
    <row r="1114" spans="1:17" x14ac:dyDescent="0.3">
      <c r="A1114" t="s">
        <v>33</v>
      </c>
      <c r="B1114" t="str">
        <f>"300140"</f>
        <v>300140</v>
      </c>
      <c r="C1114" t="s">
        <v>2509</v>
      </c>
      <c r="D1114" t="s">
        <v>1763</v>
      </c>
      <c r="E1114">
        <v>68266786</v>
      </c>
      <c r="F1114">
        <v>181262106</v>
      </c>
      <c r="G1114">
        <v>-440561512</v>
      </c>
      <c r="H1114">
        <v>-70236325</v>
      </c>
      <c r="I1114">
        <v>-55411048</v>
      </c>
      <c r="J1114">
        <v>-116208947</v>
      </c>
      <c r="K1114">
        <v>8671008</v>
      </c>
      <c r="L1114">
        <v>-1747385</v>
      </c>
      <c r="M1114">
        <v>3306857</v>
      </c>
      <c r="N1114">
        <v>11480629</v>
      </c>
      <c r="O1114">
        <v>5270539</v>
      </c>
      <c r="P1114">
        <v>103</v>
      </c>
      <c r="Q1114" t="s">
        <v>2510</v>
      </c>
    </row>
    <row r="1115" spans="1:17" x14ac:dyDescent="0.3">
      <c r="A1115" t="s">
        <v>33</v>
      </c>
      <c r="B1115" t="str">
        <f>"000823"</f>
        <v>000823</v>
      </c>
      <c r="C1115" t="s">
        <v>2511</v>
      </c>
      <c r="D1115" t="s">
        <v>239</v>
      </c>
      <c r="E1115">
        <v>68249620</v>
      </c>
      <c r="F1115">
        <v>49163141</v>
      </c>
      <c r="G1115">
        <v>142287993</v>
      </c>
      <c r="H1115">
        <v>267768480</v>
      </c>
      <c r="I1115">
        <v>79618054</v>
      </c>
      <c r="J1115">
        <v>68569951</v>
      </c>
      <c r="K1115">
        <v>117420746</v>
      </c>
      <c r="L1115">
        <v>67789764</v>
      </c>
      <c r="M1115">
        <v>21945897</v>
      </c>
      <c r="N1115">
        <v>116282143</v>
      </c>
      <c r="O1115">
        <v>3413982</v>
      </c>
      <c r="P1115">
        <v>354</v>
      </c>
      <c r="Q1115" t="s">
        <v>2512</v>
      </c>
    </row>
    <row r="1116" spans="1:17" x14ac:dyDescent="0.3">
      <c r="A1116" t="s">
        <v>33</v>
      </c>
      <c r="B1116" t="str">
        <f>"002795"</f>
        <v>002795</v>
      </c>
      <c r="C1116" t="s">
        <v>2513</v>
      </c>
      <c r="D1116" t="s">
        <v>164</v>
      </c>
      <c r="E1116">
        <v>68005318</v>
      </c>
      <c r="F1116">
        <v>17538692</v>
      </c>
      <c r="G1116">
        <v>15137909</v>
      </c>
      <c r="H1116">
        <v>42686856</v>
      </c>
      <c r="I1116">
        <v>22383481</v>
      </c>
      <c r="J1116">
        <v>15743481</v>
      </c>
      <c r="K1116">
        <v>44138017</v>
      </c>
      <c r="L1116">
        <v>40955582</v>
      </c>
      <c r="P1116">
        <v>73</v>
      </c>
      <c r="Q1116" t="s">
        <v>2514</v>
      </c>
    </row>
    <row r="1117" spans="1:17" x14ac:dyDescent="0.3">
      <c r="A1117" t="s">
        <v>17</v>
      </c>
      <c r="B1117" t="str">
        <f>"601595"</f>
        <v>601595</v>
      </c>
      <c r="C1117" t="s">
        <v>2515</v>
      </c>
      <c r="D1117" t="s">
        <v>314</v>
      </c>
      <c r="E1117">
        <v>67855071</v>
      </c>
      <c r="F1117">
        <v>61146113</v>
      </c>
      <c r="G1117">
        <v>-69964478</v>
      </c>
      <c r="H1117">
        <v>4300061</v>
      </c>
      <c r="I1117">
        <v>-24354691</v>
      </c>
      <c r="J1117">
        <v>75827051</v>
      </c>
      <c r="K1117">
        <v>99076665</v>
      </c>
      <c r="L1117">
        <v>129699939</v>
      </c>
      <c r="P1117">
        <v>158</v>
      </c>
      <c r="Q1117" t="s">
        <v>2516</v>
      </c>
    </row>
    <row r="1118" spans="1:17" x14ac:dyDescent="0.3">
      <c r="A1118" t="s">
        <v>17</v>
      </c>
      <c r="B1118" t="str">
        <f>"603020"</f>
        <v>603020</v>
      </c>
      <c r="C1118" t="s">
        <v>2517</v>
      </c>
      <c r="D1118" t="s">
        <v>1028</v>
      </c>
      <c r="E1118">
        <v>67721175</v>
      </c>
      <c r="F1118">
        <v>33170334</v>
      </c>
      <c r="G1118">
        <v>1664721</v>
      </c>
      <c r="H1118">
        <v>8793644</v>
      </c>
      <c r="I1118">
        <v>-129995414</v>
      </c>
      <c r="J1118">
        <v>-130200838</v>
      </c>
      <c r="K1118">
        <v>-46711490</v>
      </c>
      <c r="L1118">
        <v>-19918707</v>
      </c>
      <c r="M1118">
        <v>-37683763</v>
      </c>
      <c r="P1118">
        <v>195</v>
      </c>
      <c r="Q1118" t="s">
        <v>2518</v>
      </c>
    </row>
    <row r="1119" spans="1:17" x14ac:dyDescent="0.3">
      <c r="A1119" t="s">
        <v>33</v>
      </c>
      <c r="B1119" t="str">
        <f>"300322"</f>
        <v>300322</v>
      </c>
      <c r="C1119" t="s">
        <v>2519</v>
      </c>
      <c r="D1119" t="s">
        <v>226</v>
      </c>
      <c r="E1119">
        <v>67618432</v>
      </c>
      <c r="F1119">
        <v>-93921659</v>
      </c>
      <c r="G1119">
        <v>131787944</v>
      </c>
      <c r="H1119">
        <v>25282092</v>
      </c>
      <c r="I1119">
        <v>120607292</v>
      </c>
      <c r="J1119">
        <v>41810941</v>
      </c>
      <c r="K1119">
        <v>53965085</v>
      </c>
      <c r="L1119">
        <v>44079851</v>
      </c>
      <c r="M1119">
        <v>32339240</v>
      </c>
      <c r="N1119">
        <v>9783027</v>
      </c>
      <c r="O1119">
        <v>-11390699</v>
      </c>
      <c r="P1119">
        <v>387</v>
      </c>
      <c r="Q1119" t="s">
        <v>2520</v>
      </c>
    </row>
    <row r="1120" spans="1:17" x14ac:dyDescent="0.3">
      <c r="A1120" t="s">
        <v>17</v>
      </c>
      <c r="B1120" t="str">
        <f>"603387"</f>
        <v>603387</v>
      </c>
      <c r="C1120" t="s">
        <v>2521</v>
      </c>
      <c r="D1120" t="s">
        <v>221</v>
      </c>
      <c r="E1120">
        <v>66898061</v>
      </c>
      <c r="F1120">
        <v>11822524</v>
      </c>
      <c r="G1120">
        <v>-46904908</v>
      </c>
      <c r="H1120">
        <v>-8364415</v>
      </c>
      <c r="I1120">
        <v>23169289</v>
      </c>
      <c r="J1120">
        <v>21467140</v>
      </c>
      <c r="K1120">
        <v>11846700</v>
      </c>
      <c r="P1120">
        <v>1500</v>
      </c>
      <c r="Q1120" t="s">
        <v>2522</v>
      </c>
    </row>
    <row r="1121" spans="1:17" x14ac:dyDescent="0.3">
      <c r="A1121" t="s">
        <v>17</v>
      </c>
      <c r="B1121" t="str">
        <f>"688617"</f>
        <v>688617</v>
      </c>
      <c r="C1121" t="s">
        <v>2523</v>
      </c>
      <c r="D1121" t="s">
        <v>903</v>
      </c>
      <c r="E1121">
        <v>66587521</v>
      </c>
      <c r="F1121">
        <v>41495720</v>
      </c>
      <c r="P1121">
        <v>137</v>
      </c>
      <c r="Q1121" t="s">
        <v>2524</v>
      </c>
    </row>
    <row r="1122" spans="1:17" x14ac:dyDescent="0.3">
      <c r="A1122" t="s">
        <v>33</v>
      </c>
      <c r="B1122" t="str">
        <f>"300660"</f>
        <v>300660</v>
      </c>
      <c r="C1122" t="s">
        <v>2525</v>
      </c>
      <c r="D1122" t="s">
        <v>1091</v>
      </c>
      <c r="E1122">
        <v>66403771</v>
      </c>
      <c r="F1122">
        <v>113077636</v>
      </c>
      <c r="G1122">
        <v>196023991</v>
      </c>
      <c r="H1122">
        <v>86472355</v>
      </c>
      <c r="I1122">
        <v>-53138192</v>
      </c>
      <c r="J1122">
        <v>14463336</v>
      </c>
      <c r="K1122">
        <v>47038222</v>
      </c>
      <c r="P1122">
        <v>108</v>
      </c>
      <c r="Q1122" t="s">
        <v>2526</v>
      </c>
    </row>
    <row r="1123" spans="1:17" x14ac:dyDescent="0.3">
      <c r="A1123" t="s">
        <v>17</v>
      </c>
      <c r="B1123" t="str">
        <f>"605286"</f>
        <v>605286</v>
      </c>
      <c r="C1123" t="s">
        <v>2527</v>
      </c>
      <c r="D1123" t="s">
        <v>2528</v>
      </c>
      <c r="E1123">
        <v>66399240</v>
      </c>
      <c r="F1123">
        <v>-88933085</v>
      </c>
      <c r="G1123">
        <v>-9212333</v>
      </c>
      <c r="P1123">
        <v>27</v>
      </c>
      <c r="Q1123" t="s">
        <v>2529</v>
      </c>
    </row>
    <row r="1124" spans="1:17" x14ac:dyDescent="0.3">
      <c r="A1124" t="s">
        <v>33</v>
      </c>
      <c r="B1124" t="str">
        <f>"300258"</f>
        <v>300258</v>
      </c>
      <c r="C1124" t="s">
        <v>2530</v>
      </c>
      <c r="D1124" t="s">
        <v>858</v>
      </c>
      <c r="E1124">
        <v>66306434</v>
      </c>
      <c r="F1124">
        <v>-5630304</v>
      </c>
      <c r="G1124">
        <v>39850906</v>
      </c>
      <c r="H1124">
        <v>114197625</v>
      </c>
      <c r="I1124">
        <v>61646029</v>
      </c>
      <c r="J1124">
        <v>47581668</v>
      </c>
      <c r="K1124">
        <v>88079392</v>
      </c>
      <c r="L1124">
        <v>16689187</v>
      </c>
      <c r="M1124">
        <v>12260156</v>
      </c>
      <c r="N1124">
        <v>14011081</v>
      </c>
      <c r="O1124">
        <v>33580638</v>
      </c>
      <c r="P1124">
        <v>330</v>
      </c>
      <c r="Q1124" t="s">
        <v>2531</v>
      </c>
    </row>
    <row r="1125" spans="1:17" x14ac:dyDescent="0.3">
      <c r="A1125" t="s">
        <v>33</v>
      </c>
      <c r="B1125" t="str">
        <f>"002646"</f>
        <v>002646</v>
      </c>
      <c r="C1125" t="s">
        <v>2532</v>
      </c>
      <c r="D1125" t="s">
        <v>229</v>
      </c>
      <c r="E1125">
        <v>66153990</v>
      </c>
      <c r="F1125">
        <v>100872851</v>
      </c>
      <c r="G1125">
        <v>-98967841</v>
      </c>
      <c r="H1125">
        <v>-5751502</v>
      </c>
      <c r="I1125">
        <v>92416147</v>
      </c>
      <c r="J1125">
        <v>18615515</v>
      </c>
      <c r="K1125">
        <v>187099405</v>
      </c>
      <c r="L1125">
        <v>262301849</v>
      </c>
      <c r="M1125">
        <v>164995207</v>
      </c>
      <c r="N1125">
        <v>215713389</v>
      </c>
      <c r="O1125">
        <v>212026814</v>
      </c>
      <c r="P1125">
        <v>254</v>
      </c>
      <c r="Q1125" t="s">
        <v>2533</v>
      </c>
    </row>
    <row r="1126" spans="1:17" x14ac:dyDescent="0.3">
      <c r="A1126" t="s">
        <v>17</v>
      </c>
      <c r="B1126" t="str">
        <f>"605108"</f>
        <v>605108</v>
      </c>
      <c r="C1126" t="s">
        <v>2534</v>
      </c>
      <c r="D1126" t="s">
        <v>2535</v>
      </c>
      <c r="E1126">
        <v>66038257</v>
      </c>
      <c r="F1126">
        <v>48619379</v>
      </c>
      <c r="G1126">
        <v>-2273134</v>
      </c>
      <c r="P1126">
        <v>104</v>
      </c>
      <c r="Q1126" t="s">
        <v>2536</v>
      </c>
    </row>
    <row r="1127" spans="1:17" x14ac:dyDescent="0.3">
      <c r="A1127" t="s">
        <v>17</v>
      </c>
      <c r="B1127" t="str">
        <f>"600929"</f>
        <v>600929</v>
      </c>
      <c r="C1127" t="s">
        <v>2537</v>
      </c>
      <c r="D1127" t="s">
        <v>511</v>
      </c>
      <c r="E1127">
        <v>65743420</v>
      </c>
      <c r="F1127">
        <v>52596968</v>
      </c>
      <c r="G1127">
        <v>44274815</v>
      </c>
      <c r="H1127">
        <v>76219727</v>
      </c>
      <c r="I1127">
        <v>8471082</v>
      </c>
      <c r="J1127">
        <v>-1147756</v>
      </c>
      <c r="P1127">
        <v>133</v>
      </c>
      <c r="Q1127" t="s">
        <v>2538</v>
      </c>
    </row>
    <row r="1128" spans="1:17" x14ac:dyDescent="0.3">
      <c r="A1128" t="s">
        <v>33</v>
      </c>
      <c r="B1128" t="str">
        <f>"300801"</f>
        <v>300801</v>
      </c>
      <c r="C1128" t="s">
        <v>2539</v>
      </c>
      <c r="D1128" t="s">
        <v>418</v>
      </c>
      <c r="E1128">
        <v>65492159</v>
      </c>
      <c r="F1128">
        <v>1498661</v>
      </c>
      <c r="G1128">
        <v>10432726</v>
      </c>
      <c r="H1128">
        <v>609185</v>
      </c>
      <c r="P1128">
        <v>112</v>
      </c>
      <c r="Q1128" t="s">
        <v>2540</v>
      </c>
    </row>
    <row r="1129" spans="1:17" x14ac:dyDescent="0.3">
      <c r="A1129" t="s">
        <v>33</v>
      </c>
      <c r="B1129" t="str">
        <f>"300822"</f>
        <v>300822</v>
      </c>
      <c r="C1129" t="s">
        <v>2541</v>
      </c>
      <c r="D1129" t="s">
        <v>226</v>
      </c>
      <c r="E1129">
        <v>65362210</v>
      </c>
      <c r="F1129">
        <v>-123667173</v>
      </c>
      <c r="G1129">
        <v>31833414</v>
      </c>
      <c r="H1129">
        <v>-9693292</v>
      </c>
      <c r="P1129">
        <v>131</v>
      </c>
      <c r="Q1129" t="s">
        <v>2542</v>
      </c>
    </row>
    <row r="1130" spans="1:17" x14ac:dyDescent="0.3">
      <c r="A1130" t="s">
        <v>33</v>
      </c>
      <c r="B1130" t="str">
        <f>"000056"</f>
        <v>000056</v>
      </c>
      <c r="C1130" t="s">
        <v>2543</v>
      </c>
      <c r="D1130" t="s">
        <v>2398</v>
      </c>
      <c r="E1130">
        <v>65358871</v>
      </c>
      <c r="F1130">
        <v>25203966</v>
      </c>
      <c r="G1130">
        <v>7075421</v>
      </c>
      <c r="H1130">
        <v>150333997</v>
      </c>
      <c r="I1130">
        <v>287798962</v>
      </c>
      <c r="J1130">
        <v>-44066421</v>
      </c>
      <c r="K1130">
        <v>372755025</v>
      </c>
      <c r="L1130">
        <v>-2559315</v>
      </c>
      <c r="M1130">
        <v>-241465726</v>
      </c>
      <c r="N1130">
        <v>-54479886</v>
      </c>
      <c r="O1130">
        <v>21859591</v>
      </c>
      <c r="P1130">
        <v>100</v>
      </c>
      <c r="Q1130" t="s">
        <v>2544</v>
      </c>
    </row>
    <row r="1131" spans="1:17" x14ac:dyDescent="0.3">
      <c r="A1131" t="s">
        <v>33</v>
      </c>
      <c r="B1131" t="str">
        <f>"300022"</f>
        <v>300022</v>
      </c>
      <c r="C1131" t="s">
        <v>2545</v>
      </c>
      <c r="D1131" t="s">
        <v>351</v>
      </c>
      <c r="E1131">
        <v>65262388</v>
      </c>
      <c r="F1131">
        <v>43768221</v>
      </c>
      <c r="G1131">
        <v>86424128</v>
      </c>
      <c r="H1131">
        <v>15012219</v>
      </c>
      <c r="I1131">
        <v>-17122146</v>
      </c>
      <c r="J1131">
        <v>-43988805</v>
      </c>
      <c r="K1131">
        <v>158952094</v>
      </c>
      <c r="L1131">
        <v>39465865</v>
      </c>
      <c r="M1131">
        <v>-75728794</v>
      </c>
      <c r="N1131">
        <v>-174407231</v>
      </c>
      <c r="O1131">
        <v>-80964462</v>
      </c>
      <c r="P1131">
        <v>63</v>
      </c>
      <c r="Q1131" t="s">
        <v>2546</v>
      </c>
    </row>
    <row r="1132" spans="1:17" x14ac:dyDescent="0.3">
      <c r="A1132" t="s">
        <v>17</v>
      </c>
      <c r="B1132" t="str">
        <f>"603499"</f>
        <v>603499</v>
      </c>
      <c r="C1132" t="s">
        <v>2547</v>
      </c>
      <c r="D1132" t="s">
        <v>1015</v>
      </c>
      <c r="E1132">
        <v>65153236</v>
      </c>
      <c r="F1132">
        <v>34102287</v>
      </c>
      <c r="G1132">
        <v>-20775882</v>
      </c>
      <c r="H1132">
        <v>3282707</v>
      </c>
      <c r="I1132">
        <v>18007739</v>
      </c>
      <c r="J1132">
        <v>42263038</v>
      </c>
      <c r="P1132">
        <v>83</v>
      </c>
      <c r="Q1132" t="s">
        <v>2548</v>
      </c>
    </row>
    <row r="1133" spans="1:17" x14ac:dyDescent="0.3">
      <c r="A1133" t="s">
        <v>17</v>
      </c>
      <c r="B1133" t="str">
        <f>"601199"</f>
        <v>601199</v>
      </c>
      <c r="C1133" t="s">
        <v>2549</v>
      </c>
      <c r="D1133" t="s">
        <v>932</v>
      </c>
      <c r="E1133">
        <v>65125918</v>
      </c>
      <c r="F1133">
        <v>61822423</v>
      </c>
      <c r="G1133">
        <v>35109792</v>
      </c>
      <c r="H1133">
        <v>122473630</v>
      </c>
      <c r="I1133">
        <v>57412470</v>
      </c>
      <c r="J1133">
        <v>45646589</v>
      </c>
      <c r="K1133">
        <v>90141257</v>
      </c>
      <c r="L1133">
        <v>10390408</v>
      </c>
      <c r="M1133">
        <v>71861345</v>
      </c>
      <c r="N1133">
        <v>91111406</v>
      </c>
      <c r="O1133">
        <v>90748358</v>
      </c>
      <c r="P1133">
        <v>186</v>
      </c>
      <c r="Q1133" t="s">
        <v>2550</v>
      </c>
    </row>
    <row r="1134" spans="1:17" x14ac:dyDescent="0.3">
      <c r="A1134" t="s">
        <v>17</v>
      </c>
      <c r="B1134" t="str">
        <f>"600633"</f>
        <v>600633</v>
      </c>
      <c r="C1134" t="s">
        <v>2551</v>
      </c>
      <c r="D1134" t="s">
        <v>751</v>
      </c>
      <c r="E1134">
        <v>65102386</v>
      </c>
      <c r="F1134">
        <v>93111752</v>
      </c>
      <c r="G1134">
        <v>169704432</v>
      </c>
      <c r="H1134">
        <v>50448672</v>
      </c>
      <c r="I1134">
        <v>17706782</v>
      </c>
      <c r="J1134">
        <v>-102703490</v>
      </c>
      <c r="K1134">
        <v>-183389981</v>
      </c>
      <c r="L1134">
        <v>-78847607</v>
      </c>
      <c r="M1134">
        <v>-108458869</v>
      </c>
      <c r="N1134">
        <v>-27031140</v>
      </c>
      <c r="O1134">
        <v>-162160817</v>
      </c>
      <c r="P1134">
        <v>325</v>
      </c>
      <c r="Q1134" t="s">
        <v>2552</v>
      </c>
    </row>
    <row r="1135" spans="1:17" x14ac:dyDescent="0.3">
      <c r="A1135" t="s">
        <v>33</v>
      </c>
      <c r="B1135" t="str">
        <f>"300483"</f>
        <v>300483</v>
      </c>
      <c r="C1135" t="s">
        <v>2553</v>
      </c>
      <c r="D1135" t="s">
        <v>649</v>
      </c>
      <c r="E1135">
        <v>65026099</v>
      </c>
      <c r="F1135">
        <v>67368305</v>
      </c>
      <c r="G1135">
        <v>167525510</v>
      </c>
      <c r="H1135">
        <v>275916046</v>
      </c>
      <c r="I1135">
        <v>210334849</v>
      </c>
      <c r="J1135">
        <v>-41587441</v>
      </c>
      <c r="K1135">
        <v>11808030</v>
      </c>
      <c r="L1135">
        <v>-19578896</v>
      </c>
      <c r="M1135">
        <v>-16131973</v>
      </c>
      <c r="P1135">
        <v>140</v>
      </c>
      <c r="Q1135" t="s">
        <v>2554</v>
      </c>
    </row>
    <row r="1136" spans="1:17" x14ac:dyDescent="0.3">
      <c r="A1136" t="s">
        <v>17</v>
      </c>
      <c r="B1136" t="str">
        <f>"605068"</f>
        <v>605068</v>
      </c>
      <c r="C1136" t="s">
        <v>2555</v>
      </c>
      <c r="D1136" t="s">
        <v>200</v>
      </c>
      <c r="E1136">
        <v>64968103</v>
      </c>
      <c r="F1136">
        <v>134143368</v>
      </c>
      <c r="G1136">
        <v>93336371</v>
      </c>
      <c r="P1136">
        <v>89</v>
      </c>
      <c r="Q1136" t="s">
        <v>2556</v>
      </c>
    </row>
    <row r="1137" spans="1:17" x14ac:dyDescent="0.3">
      <c r="A1137" t="s">
        <v>33</v>
      </c>
      <c r="B1137" t="str">
        <f>"002993"</f>
        <v>002993</v>
      </c>
      <c r="C1137" t="s">
        <v>2557</v>
      </c>
      <c r="D1137" t="s">
        <v>226</v>
      </c>
      <c r="E1137">
        <v>64932956</v>
      </c>
      <c r="F1137">
        <v>54961951</v>
      </c>
      <c r="G1137">
        <v>130500806</v>
      </c>
      <c r="H1137">
        <v>124194435</v>
      </c>
      <c r="P1137">
        <v>145</v>
      </c>
      <c r="Q1137" t="s">
        <v>2558</v>
      </c>
    </row>
    <row r="1138" spans="1:17" x14ac:dyDescent="0.3">
      <c r="A1138" t="s">
        <v>17</v>
      </c>
      <c r="B1138" t="str">
        <f>"600763"</f>
        <v>600763</v>
      </c>
      <c r="C1138" t="s">
        <v>2559</v>
      </c>
      <c r="D1138" t="s">
        <v>520</v>
      </c>
      <c r="E1138">
        <v>64802118</v>
      </c>
      <c r="F1138">
        <v>128188714</v>
      </c>
      <c r="G1138">
        <v>-68453474</v>
      </c>
      <c r="H1138">
        <v>115206229</v>
      </c>
      <c r="I1138">
        <v>8480598</v>
      </c>
      <c r="J1138">
        <v>2465928</v>
      </c>
      <c r="K1138">
        <v>-43562155</v>
      </c>
      <c r="L1138">
        <v>15047728</v>
      </c>
      <c r="M1138">
        <v>1008638</v>
      </c>
      <c r="N1138">
        <v>14668602</v>
      </c>
      <c r="O1138">
        <v>10071016</v>
      </c>
      <c r="P1138">
        <v>38183</v>
      </c>
      <c r="Q1138" t="s">
        <v>2560</v>
      </c>
    </row>
    <row r="1139" spans="1:17" x14ac:dyDescent="0.3">
      <c r="A1139" t="s">
        <v>33</v>
      </c>
      <c r="B1139" t="str">
        <f>"002053"</f>
        <v>002053</v>
      </c>
      <c r="C1139" t="s">
        <v>2561</v>
      </c>
      <c r="D1139" t="s">
        <v>511</v>
      </c>
      <c r="E1139">
        <v>64688129</v>
      </c>
      <c r="F1139">
        <v>19162873</v>
      </c>
      <c r="G1139">
        <v>109585385</v>
      </c>
      <c r="H1139">
        <v>30795131</v>
      </c>
      <c r="I1139">
        <v>-2141051</v>
      </c>
      <c r="J1139">
        <v>6362879</v>
      </c>
      <c r="K1139">
        <v>74400705</v>
      </c>
      <c r="L1139">
        <v>36184304</v>
      </c>
      <c r="M1139">
        <v>-21514731</v>
      </c>
      <c r="N1139">
        <v>49063177</v>
      </c>
      <c r="O1139">
        <v>27711194</v>
      </c>
      <c r="P1139">
        <v>105</v>
      </c>
      <c r="Q1139" t="s">
        <v>2562</v>
      </c>
    </row>
    <row r="1140" spans="1:17" x14ac:dyDescent="0.3">
      <c r="A1140" t="s">
        <v>33</v>
      </c>
      <c r="B1140" t="str">
        <f>"002996"</f>
        <v>002996</v>
      </c>
      <c r="C1140" t="s">
        <v>2563</v>
      </c>
      <c r="D1140" t="s">
        <v>140</v>
      </c>
      <c r="E1140">
        <v>64646341</v>
      </c>
      <c r="F1140">
        <v>-256816760</v>
      </c>
      <c r="G1140">
        <v>6939205</v>
      </c>
      <c r="P1140">
        <v>73</v>
      </c>
      <c r="Q1140" t="s">
        <v>2564</v>
      </c>
    </row>
    <row r="1141" spans="1:17" x14ac:dyDescent="0.3">
      <c r="A1141" t="s">
        <v>33</v>
      </c>
      <c r="B1141" t="str">
        <f>"300653"</f>
        <v>300653</v>
      </c>
      <c r="C1141" t="s">
        <v>2565</v>
      </c>
      <c r="D1141" t="s">
        <v>903</v>
      </c>
      <c r="E1141">
        <v>64628036</v>
      </c>
      <c r="F1141">
        <v>37341359</v>
      </c>
      <c r="G1141">
        <v>12871470</v>
      </c>
      <c r="H1141">
        <v>25100350</v>
      </c>
      <c r="I1141">
        <v>18977095</v>
      </c>
      <c r="J1141">
        <v>8312254</v>
      </c>
      <c r="K1141">
        <v>1998742</v>
      </c>
      <c r="P1141">
        <v>898</v>
      </c>
      <c r="Q1141" t="s">
        <v>2566</v>
      </c>
    </row>
    <row r="1142" spans="1:17" x14ac:dyDescent="0.3">
      <c r="A1142" t="s">
        <v>17</v>
      </c>
      <c r="B1142" t="str">
        <f>"601366"</f>
        <v>601366</v>
      </c>
      <c r="C1142" t="s">
        <v>2567</v>
      </c>
      <c r="D1142" t="s">
        <v>526</v>
      </c>
      <c r="E1142">
        <v>64613194</v>
      </c>
      <c r="F1142">
        <v>473469934</v>
      </c>
      <c r="G1142">
        <v>467523611</v>
      </c>
      <c r="H1142">
        <v>-19461401</v>
      </c>
      <c r="I1142">
        <v>215966067</v>
      </c>
      <c r="J1142">
        <v>130618275</v>
      </c>
      <c r="K1142">
        <v>304973032</v>
      </c>
      <c r="P1142">
        <v>132</v>
      </c>
      <c r="Q1142" t="s">
        <v>2568</v>
      </c>
    </row>
    <row r="1143" spans="1:17" x14ac:dyDescent="0.3">
      <c r="A1143" t="s">
        <v>33</v>
      </c>
      <c r="B1143" t="str">
        <f>"003028"</f>
        <v>003028</v>
      </c>
      <c r="C1143" t="s">
        <v>2569</v>
      </c>
      <c r="D1143" t="s">
        <v>226</v>
      </c>
      <c r="E1143">
        <v>64581084</v>
      </c>
      <c r="F1143">
        <v>-1665663</v>
      </c>
      <c r="G1143">
        <v>61003911</v>
      </c>
      <c r="P1143">
        <v>83</v>
      </c>
      <c r="Q1143" t="s">
        <v>2570</v>
      </c>
    </row>
    <row r="1144" spans="1:17" x14ac:dyDescent="0.3">
      <c r="A1144" t="s">
        <v>17</v>
      </c>
      <c r="B1144" t="str">
        <f>"605368"</f>
        <v>605368</v>
      </c>
      <c r="C1144" t="s">
        <v>2571</v>
      </c>
      <c r="D1144" t="s">
        <v>649</v>
      </c>
      <c r="E1144">
        <v>64395360</v>
      </c>
      <c r="F1144">
        <v>75568146</v>
      </c>
      <c r="G1144">
        <v>-76243967</v>
      </c>
      <c r="H1144">
        <v>20707831</v>
      </c>
      <c r="I1144">
        <v>-17240107</v>
      </c>
      <c r="P1144">
        <v>60</v>
      </c>
      <c r="Q1144" t="s">
        <v>2572</v>
      </c>
    </row>
    <row r="1145" spans="1:17" x14ac:dyDescent="0.3">
      <c r="A1145" t="s">
        <v>17</v>
      </c>
      <c r="B1145" t="str">
        <f>"688089"</f>
        <v>688089</v>
      </c>
      <c r="C1145" t="s">
        <v>2573</v>
      </c>
      <c r="D1145" t="s">
        <v>1028</v>
      </c>
      <c r="E1145">
        <v>64335059</v>
      </c>
      <c r="F1145">
        <v>-9239874</v>
      </c>
      <c r="G1145">
        <v>59120169</v>
      </c>
      <c r="H1145">
        <v>25913089</v>
      </c>
      <c r="P1145">
        <v>150</v>
      </c>
      <c r="Q1145" t="s">
        <v>2574</v>
      </c>
    </row>
    <row r="1146" spans="1:17" x14ac:dyDescent="0.3">
      <c r="A1146" t="s">
        <v>17</v>
      </c>
      <c r="B1146" t="str">
        <f>"603045"</f>
        <v>603045</v>
      </c>
      <c r="C1146" t="s">
        <v>2575</v>
      </c>
      <c r="D1146" t="s">
        <v>2576</v>
      </c>
      <c r="E1146">
        <v>64216239</v>
      </c>
      <c r="F1146">
        <v>-432211631</v>
      </c>
      <c r="G1146">
        <v>-163896302</v>
      </c>
      <c r="H1146">
        <v>-268647217</v>
      </c>
      <c r="I1146">
        <v>-290843577</v>
      </c>
      <c r="J1146">
        <v>-137550314</v>
      </c>
      <c r="P1146">
        <v>54</v>
      </c>
      <c r="Q1146" t="s">
        <v>2577</v>
      </c>
    </row>
    <row r="1147" spans="1:17" x14ac:dyDescent="0.3">
      <c r="A1147" t="s">
        <v>17</v>
      </c>
      <c r="B1147" t="str">
        <f>"601015"</f>
        <v>601015</v>
      </c>
      <c r="C1147" t="s">
        <v>2578</v>
      </c>
      <c r="D1147" t="s">
        <v>427</v>
      </c>
      <c r="E1147">
        <v>64174401</v>
      </c>
      <c r="F1147">
        <v>-146737933</v>
      </c>
      <c r="G1147">
        <v>434772041</v>
      </c>
      <c r="H1147">
        <v>1693188</v>
      </c>
      <c r="I1147">
        <v>8681044</v>
      </c>
      <c r="J1147">
        <v>184487979</v>
      </c>
      <c r="K1147">
        <v>104322725</v>
      </c>
      <c r="L1147">
        <v>-445626507</v>
      </c>
      <c r="M1147">
        <v>18418915</v>
      </c>
      <c r="P1147">
        <v>212</v>
      </c>
      <c r="Q1147" t="s">
        <v>2579</v>
      </c>
    </row>
    <row r="1148" spans="1:17" x14ac:dyDescent="0.3">
      <c r="A1148" t="s">
        <v>17</v>
      </c>
      <c r="B1148" t="str">
        <f>"603181"</f>
        <v>603181</v>
      </c>
      <c r="C1148" t="s">
        <v>2580</v>
      </c>
      <c r="D1148" t="s">
        <v>1483</v>
      </c>
      <c r="E1148">
        <v>63789068</v>
      </c>
      <c r="F1148">
        <v>-78001490</v>
      </c>
      <c r="G1148">
        <v>56625824</v>
      </c>
      <c r="H1148">
        <v>35838392</v>
      </c>
      <c r="I1148">
        <v>-43399369</v>
      </c>
      <c r="J1148">
        <v>27292900</v>
      </c>
      <c r="P1148">
        <v>160</v>
      </c>
      <c r="Q1148" t="s">
        <v>2581</v>
      </c>
    </row>
    <row r="1149" spans="1:17" x14ac:dyDescent="0.3">
      <c r="A1149" t="s">
        <v>33</v>
      </c>
      <c r="B1149" t="str">
        <f>"300102"</f>
        <v>300102</v>
      </c>
      <c r="C1149" t="s">
        <v>2582</v>
      </c>
      <c r="D1149" t="s">
        <v>1299</v>
      </c>
      <c r="E1149">
        <v>63734426</v>
      </c>
      <c r="F1149">
        <v>63582919</v>
      </c>
      <c r="G1149">
        <v>19151058</v>
      </c>
      <c r="H1149">
        <v>-56245316</v>
      </c>
      <c r="I1149">
        <v>-21917700</v>
      </c>
      <c r="J1149">
        <v>18202376</v>
      </c>
      <c r="K1149">
        <v>-75372754</v>
      </c>
      <c r="L1149">
        <v>-28709072</v>
      </c>
      <c r="M1149">
        <v>20919594</v>
      </c>
      <c r="N1149">
        <v>2179743</v>
      </c>
      <c r="O1149">
        <v>-12357404</v>
      </c>
      <c r="P1149">
        <v>158</v>
      </c>
      <c r="Q1149" t="s">
        <v>2583</v>
      </c>
    </row>
    <row r="1150" spans="1:17" x14ac:dyDescent="0.3">
      <c r="A1150" t="s">
        <v>33</v>
      </c>
      <c r="B1150" t="str">
        <f>"301103"</f>
        <v>301103</v>
      </c>
      <c r="C1150" t="s">
        <v>2584</v>
      </c>
      <c r="E1150">
        <v>63683424</v>
      </c>
      <c r="P1150">
        <v>5</v>
      </c>
      <c r="Q1150" t="s">
        <v>2585</v>
      </c>
    </row>
    <row r="1151" spans="1:17" x14ac:dyDescent="0.3">
      <c r="A1151" t="s">
        <v>33</v>
      </c>
      <c r="B1151" t="str">
        <f>"300686"</f>
        <v>300686</v>
      </c>
      <c r="C1151" t="s">
        <v>2586</v>
      </c>
      <c r="D1151" t="s">
        <v>226</v>
      </c>
      <c r="E1151">
        <v>63524932</v>
      </c>
      <c r="F1151">
        <v>92228673</v>
      </c>
      <c r="G1151">
        <v>111987918</v>
      </c>
      <c r="H1151">
        <v>34754304</v>
      </c>
      <c r="I1151">
        <v>-76496</v>
      </c>
      <c r="J1151">
        <v>11969985</v>
      </c>
      <c r="K1151">
        <v>4800579</v>
      </c>
      <c r="P1151">
        <v>192</v>
      </c>
      <c r="Q1151" t="s">
        <v>2587</v>
      </c>
    </row>
    <row r="1152" spans="1:17" x14ac:dyDescent="0.3">
      <c r="A1152" t="s">
        <v>33</v>
      </c>
      <c r="B1152" t="str">
        <f>"002811"</f>
        <v>002811</v>
      </c>
      <c r="C1152" t="s">
        <v>2588</v>
      </c>
      <c r="D1152" t="s">
        <v>1779</v>
      </c>
      <c r="E1152">
        <v>63298265</v>
      </c>
      <c r="F1152">
        <v>55464842</v>
      </c>
      <c r="G1152">
        <v>-40303142</v>
      </c>
      <c r="H1152">
        <v>241334</v>
      </c>
      <c r="I1152">
        <v>43170890</v>
      </c>
      <c r="J1152">
        <v>-56649252</v>
      </c>
      <c r="K1152">
        <v>-63661623</v>
      </c>
      <c r="P1152">
        <v>95</v>
      </c>
      <c r="Q1152" t="s">
        <v>2589</v>
      </c>
    </row>
    <row r="1153" spans="1:17" x14ac:dyDescent="0.3">
      <c r="A1153" t="s">
        <v>17</v>
      </c>
      <c r="B1153" t="str">
        <f>"603266"</f>
        <v>603266</v>
      </c>
      <c r="C1153" t="s">
        <v>2590</v>
      </c>
      <c r="D1153" t="s">
        <v>1483</v>
      </c>
      <c r="E1153">
        <v>63257365</v>
      </c>
      <c r="F1153">
        <v>56414227</v>
      </c>
      <c r="G1153">
        <v>64329949</v>
      </c>
      <c r="H1153">
        <v>41324447</v>
      </c>
      <c r="I1153">
        <v>24869569</v>
      </c>
      <c r="J1153">
        <v>69206</v>
      </c>
      <c r="K1153">
        <v>-10392066</v>
      </c>
      <c r="P1153">
        <v>95</v>
      </c>
      <c r="Q1153" t="s">
        <v>2591</v>
      </c>
    </row>
    <row r="1154" spans="1:17" x14ac:dyDescent="0.3">
      <c r="A1154" t="s">
        <v>17</v>
      </c>
      <c r="B1154" t="str">
        <f>"605162"</f>
        <v>605162</v>
      </c>
      <c r="C1154" t="s">
        <v>2592</v>
      </c>
      <c r="D1154" t="s">
        <v>1094</v>
      </c>
      <c r="E1154">
        <v>63167257</v>
      </c>
      <c r="F1154">
        <v>6379721</v>
      </c>
      <c r="P1154">
        <v>27</v>
      </c>
      <c r="Q1154" t="s">
        <v>2593</v>
      </c>
    </row>
    <row r="1155" spans="1:17" x14ac:dyDescent="0.3">
      <c r="A1155" t="s">
        <v>33</v>
      </c>
      <c r="B1155" t="str">
        <f>"002139"</f>
        <v>002139</v>
      </c>
      <c r="C1155" t="s">
        <v>2594</v>
      </c>
      <c r="D1155" t="s">
        <v>226</v>
      </c>
      <c r="E1155">
        <v>63137832</v>
      </c>
      <c r="F1155">
        <v>-151010247</v>
      </c>
      <c r="G1155">
        <v>27748613</v>
      </c>
      <c r="H1155">
        <v>6413494</v>
      </c>
      <c r="I1155">
        <v>-127837251</v>
      </c>
      <c r="J1155">
        <v>-44047130</v>
      </c>
      <c r="K1155">
        <v>-62120125</v>
      </c>
      <c r="L1155">
        <v>-35001402</v>
      </c>
      <c r="M1155">
        <v>8733330</v>
      </c>
      <c r="N1155">
        <v>-2459077</v>
      </c>
      <c r="O1155">
        <v>-10419909</v>
      </c>
      <c r="P1155">
        <v>919</v>
      </c>
      <c r="Q1155" t="s">
        <v>2595</v>
      </c>
    </row>
    <row r="1156" spans="1:17" x14ac:dyDescent="0.3">
      <c r="A1156" t="s">
        <v>33</v>
      </c>
      <c r="B1156" t="str">
        <f>"002528"</f>
        <v>002528</v>
      </c>
      <c r="C1156" t="s">
        <v>2596</v>
      </c>
      <c r="D1156" t="s">
        <v>2597</v>
      </c>
      <c r="E1156">
        <v>63088440</v>
      </c>
      <c r="F1156">
        <v>120998834</v>
      </c>
      <c r="G1156">
        <v>-123822606</v>
      </c>
      <c r="H1156">
        <v>-184694844</v>
      </c>
      <c r="I1156">
        <v>-76352227</v>
      </c>
      <c r="J1156">
        <v>37142609</v>
      </c>
      <c r="K1156">
        <v>-68827499</v>
      </c>
      <c r="L1156">
        <v>-76501302</v>
      </c>
      <c r="M1156">
        <v>-17836484</v>
      </c>
      <c r="N1156">
        <v>-29178600</v>
      </c>
      <c r="O1156">
        <v>-25062492</v>
      </c>
      <c r="P1156">
        <v>169</v>
      </c>
      <c r="Q1156" t="s">
        <v>2598</v>
      </c>
    </row>
    <row r="1157" spans="1:17" x14ac:dyDescent="0.3">
      <c r="A1157" t="s">
        <v>17</v>
      </c>
      <c r="B1157" t="str">
        <f>"600613"</f>
        <v>600613</v>
      </c>
      <c r="C1157" t="s">
        <v>2599</v>
      </c>
      <c r="D1157" t="s">
        <v>590</v>
      </c>
      <c r="E1157">
        <v>62803872</v>
      </c>
      <c r="F1157">
        <v>53017694</v>
      </c>
      <c r="G1157">
        <v>14904611</v>
      </c>
      <c r="H1157">
        <v>52642945</v>
      </c>
      <c r="I1157">
        <v>17422033</v>
      </c>
      <c r="J1157">
        <v>-71993035</v>
      </c>
      <c r="K1157">
        <v>-2733584</v>
      </c>
      <c r="L1157">
        <v>-27952603</v>
      </c>
      <c r="M1157">
        <v>-72348926</v>
      </c>
      <c r="N1157">
        <v>15699118</v>
      </c>
      <c r="O1157">
        <v>27588436</v>
      </c>
      <c r="P1157">
        <v>121</v>
      </c>
      <c r="Q1157" t="s">
        <v>2600</v>
      </c>
    </row>
    <row r="1158" spans="1:17" x14ac:dyDescent="0.3">
      <c r="A1158" t="s">
        <v>33</v>
      </c>
      <c r="B1158" t="str">
        <f>"301017"</f>
        <v>301017</v>
      </c>
      <c r="C1158" t="s">
        <v>2601</v>
      </c>
      <c r="D1158" t="s">
        <v>710</v>
      </c>
      <c r="E1158">
        <v>62801487</v>
      </c>
      <c r="F1158">
        <v>89476311</v>
      </c>
      <c r="G1158">
        <v>-44192335</v>
      </c>
      <c r="P1158">
        <v>36</v>
      </c>
      <c r="Q1158" t="s">
        <v>2602</v>
      </c>
    </row>
    <row r="1159" spans="1:17" x14ac:dyDescent="0.3">
      <c r="A1159" t="s">
        <v>33</v>
      </c>
      <c r="B1159" t="str">
        <f>"000532"</f>
        <v>000532</v>
      </c>
      <c r="C1159" t="s">
        <v>2603</v>
      </c>
      <c r="D1159" t="s">
        <v>2604</v>
      </c>
      <c r="E1159">
        <v>62767358</v>
      </c>
      <c r="F1159">
        <v>105167591</v>
      </c>
      <c r="G1159">
        <v>122158181</v>
      </c>
      <c r="H1159">
        <v>51660600</v>
      </c>
      <c r="I1159">
        <v>30674562</v>
      </c>
      <c r="J1159">
        <v>1614102</v>
      </c>
      <c r="K1159">
        <v>18122129</v>
      </c>
      <c r="L1159">
        <v>7606539</v>
      </c>
      <c r="M1159">
        <v>166749</v>
      </c>
      <c r="N1159">
        <v>16086980</v>
      </c>
      <c r="O1159">
        <v>25123403</v>
      </c>
      <c r="P1159">
        <v>140</v>
      </c>
      <c r="Q1159" t="s">
        <v>2605</v>
      </c>
    </row>
    <row r="1160" spans="1:17" x14ac:dyDescent="0.3">
      <c r="A1160" t="s">
        <v>33</v>
      </c>
      <c r="B1160" t="str">
        <f>"002456"</f>
        <v>002456</v>
      </c>
      <c r="C1160" t="s">
        <v>2606</v>
      </c>
      <c r="D1160" t="s">
        <v>2017</v>
      </c>
      <c r="E1160">
        <v>62766680</v>
      </c>
      <c r="F1160">
        <v>1367017483</v>
      </c>
      <c r="G1160">
        <v>616815283</v>
      </c>
      <c r="H1160">
        <v>108656691</v>
      </c>
      <c r="I1160">
        <v>-818065950</v>
      </c>
      <c r="J1160">
        <v>-487462140</v>
      </c>
      <c r="K1160">
        <v>556575030</v>
      </c>
      <c r="L1160">
        <v>-84753833</v>
      </c>
      <c r="M1160">
        <v>-348683935</v>
      </c>
      <c r="N1160">
        <v>343081235</v>
      </c>
      <c r="O1160">
        <v>-153750540</v>
      </c>
      <c r="P1160">
        <v>1607</v>
      </c>
      <c r="Q1160" t="s">
        <v>2607</v>
      </c>
    </row>
    <row r="1161" spans="1:17" x14ac:dyDescent="0.3">
      <c r="A1161" t="s">
        <v>33</v>
      </c>
      <c r="B1161" t="str">
        <f>"000008"</f>
        <v>000008</v>
      </c>
      <c r="C1161" t="s">
        <v>2608</v>
      </c>
      <c r="D1161" t="s">
        <v>1703</v>
      </c>
      <c r="E1161">
        <v>62526343</v>
      </c>
      <c r="F1161">
        <v>-144687897</v>
      </c>
      <c r="G1161">
        <v>-310394614</v>
      </c>
      <c r="H1161">
        <v>-148258689</v>
      </c>
      <c r="I1161">
        <v>-415213263</v>
      </c>
      <c r="J1161">
        <v>-184994475</v>
      </c>
      <c r="K1161">
        <v>25728423</v>
      </c>
      <c r="L1161">
        <v>-20136975</v>
      </c>
      <c r="M1161">
        <v>8919278</v>
      </c>
      <c r="N1161">
        <v>6584936</v>
      </c>
      <c r="O1161">
        <v>2056455</v>
      </c>
      <c r="P1161">
        <v>301</v>
      </c>
      <c r="Q1161" t="s">
        <v>2609</v>
      </c>
    </row>
    <row r="1162" spans="1:17" x14ac:dyDescent="0.3">
      <c r="A1162" t="s">
        <v>33</v>
      </c>
      <c r="B1162" t="str">
        <f>"003000"</f>
        <v>003000</v>
      </c>
      <c r="C1162" t="s">
        <v>2610</v>
      </c>
      <c r="D1162" t="s">
        <v>1157</v>
      </c>
      <c r="E1162">
        <v>62451230</v>
      </c>
      <c r="F1162">
        <v>4718895</v>
      </c>
      <c r="G1162">
        <v>72253200</v>
      </c>
      <c r="P1162">
        <v>84</v>
      </c>
      <c r="Q1162" t="s">
        <v>2611</v>
      </c>
    </row>
    <row r="1163" spans="1:17" x14ac:dyDescent="0.3">
      <c r="A1163" t="s">
        <v>33</v>
      </c>
      <c r="B1163" t="str">
        <f>"002191"</f>
        <v>002191</v>
      </c>
      <c r="C1163" t="s">
        <v>2612</v>
      </c>
      <c r="D1163" t="s">
        <v>1015</v>
      </c>
      <c r="E1163">
        <v>62441928</v>
      </c>
      <c r="F1163">
        <v>84356411</v>
      </c>
      <c r="G1163">
        <v>50496142</v>
      </c>
      <c r="H1163">
        <v>19073198</v>
      </c>
      <c r="I1163">
        <v>205811120</v>
      </c>
      <c r="J1163">
        <v>111645608</v>
      </c>
      <c r="K1163">
        <v>153830881</v>
      </c>
      <c r="L1163">
        <v>189043406</v>
      </c>
      <c r="M1163">
        <v>184708984</v>
      </c>
      <c r="N1163">
        <v>193691111</v>
      </c>
      <c r="O1163">
        <v>193789554</v>
      </c>
      <c r="P1163">
        <v>6347</v>
      </c>
      <c r="Q1163" t="s">
        <v>2613</v>
      </c>
    </row>
    <row r="1164" spans="1:17" x14ac:dyDescent="0.3">
      <c r="A1164" t="s">
        <v>17</v>
      </c>
      <c r="B1164" t="str">
        <f>"603333"</f>
        <v>603333</v>
      </c>
      <c r="C1164" t="s">
        <v>2614</v>
      </c>
      <c r="D1164" t="s">
        <v>1282</v>
      </c>
      <c r="E1164">
        <v>62425488</v>
      </c>
      <c r="F1164">
        <v>-167101437</v>
      </c>
      <c r="G1164">
        <v>6506222</v>
      </c>
      <c r="H1164">
        <v>-116279048</v>
      </c>
      <c r="I1164">
        <v>-97503252</v>
      </c>
      <c r="J1164">
        <v>-66031730</v>
      </c>
      <c r="K1164">
        <v>-17840769</v>
      </c>
      <c r="L1164">
        <v>15453650</v>
      </c>
      <c r="M1164">
        <v>72752927</v>
      </c>
      <c r="N1164">
        <v>-56503732</v>
      </c>
      <c r="O1164">
        <v>3017076</v>
      </c>
      <c r="P1164">
        <v>134</v>
      </c>
      <c r="Q1164" t="s">
        <v>2615</v>
      </c>
    </row>
    <row r="1165" spans="1:17" x14ac:dyDescent="0.3">
      <c r="A1165" t="s">
        <v>17</v>
      </c>
      <c r="B1165" t="str">
        <f>"688722"</f>
        <v>688722</v>
      </c>
      <c r="C1165" t="s">
        <v>2616</v>
      </c>
      <c r="D1165" t="s">
        <v>822</v>
      </c>
      <c r="E1165">
        <v>62423630</v>
      </c>
      <c r="P1165">
        <v>13</v>
      </c>
      <c r="Q1165" t="s">
        <v>2617</v>
      </c>
    </row>
    <row r="1166" spans="1:17" x14ac:dyDescent="0.3">
      <c r="A1166" t="s">
        <v>17</v>
      </c>
      <c r="B1166" t="str">
        <f>"688569"</f>
        <v>688569</v>
      </c>
      <c r="C1166" t="s">
        <v>2618</v>
      </c>
      <c r="D1166" t="s">
        <v>1703</v>
      </c>
      <c r="E1166">
        <v>62122003</v>
      </c>
      <c r="F1166">
        <v>-46860219</v>
      </c>
      <c r="G1166">
        <v>54495100</v>
      </c>
      <c r="H1166">
        <v>-27676500</v>
      </c>
      <c r="P1166">
        <v>31</v>
      </c>
      <c r="Q1166" t="s">
        <v>2619</v>
      </c>
    </row>
    <row r="1167" spans="1:17" x14ac:dyDescent="0.3">
      <c r="A1167" t="s">
        <v>33</v>
      </c>
      <c r="B1167" t="str">
        <f>"300326"</f>
        <v>300326</v>
      </c>
      <c r="C1167" t="s">
        <v>2620</v>
      </c>
      <c r="D1167" t="s">
        <v>903</v>
      </c>
      <c r="E1167">
        <v>62035512</v>
      </c>
      <c r="F1167">
        <v>44952128</v>
      </c>
      <c r="G1167">
        <v>-44116920</v>
      </c>
      <c r="H1167">
        <v>-19549301</v>
      </c>
      <c r="I1167">
        <v>-12572972</v>
      </c>
      <c r="J1167">
        <v>-21450528</v>
      </c>
      <c r="K1167">
        <v>-48870419</v>
      </c>
      <c r="L1167">
        <v>-12330007</v>
      </c>
      <c r="M1167">
        <v>297827</v>
      </c>
      <c r="N1167">
        <v>-27297723</v>
      </c>
      <c r="O1167">
        <v>3199124</v>
      </c>
      <c r="P1167">
        <v>854</v>
      </c>
      <c r="Q1167" t="s">
        <v>2621</v>
      </c>
    </row>
    <row r="1168" spans="1:17" x14ac:dyDescent="0.3">
      <c r="A1168" t="s">
        <v>17</v>
      </c>
      <c r="B1168" t="str">
        <f>"600241"</f>
        <v>600241</v>
      </c>
      <c r="C1168" t="s">
        <v>2622</v>
      </c>
      <c r="D1168" t="s">
        <v>1536</v>
      </c>
      <c r="E1168">
        <v>61954395</v>
      </c>
      <c r="F1168">
        <v>26542034</v>
      </c>
      <c r="G1168">
        <v>-55299558</v>
      </c>
      <c r="H1168">
        <v>-7695688</v>
      </c>
      <c r="I1168">
        <v>-46737566</v>
      </c>
      <c r="J1168">
        <v>-26528597</v>
      </c>
      <c r="K1168">
        <v>20738754</v>
      </c>
      <c r="L1168">
        <v>61338750</v>
      </c>
      <c r="M1168">
        <v>-8574786</v>
      </c>
      <c r="N1168">
        <v>3855467</v>
      </c>
      <c r="O1168">
        <v>64202267</v>
      </c>
      <c r="P1168">
        <v>51</v>
      </c>
      <c r="Q1168" t="s">
        <v>2623</v>
      </c>
    </row>
    <row r="1169" spans="1:17" x14ac:dyDescent="0.3">
      <c r="A1169" t="s">
        <v>17</v>
      </c>
      <c r="B1169" t="str">
        <f>"688123"</f>
        <v>688123</v>
      </c>
      <c r="C1169" t="s">
        <v>2624</v>
      </c>
      <c r="D1169" t="s">
        <v>1277</v>
      </c>
      <c r="E1169">
        <v>61797640</v>
      </c>
      <c r="F1169">
        <v>-5835929</v>
      </c>
      <c r="G1169">
        <v>31275125</v>
      </c>
      <c r="H1169">
        <v>-11499737</v>
      </c>
      <c r="P1169">
        <v>163</v>
      </c>
      <c r="Q1169" t="s">
        <v>2625</v>
      </c>
    </row>
    <row r="1170" spans="1:17" x14ac:dyDescent="0.3">
      <c r="A1170" t="s">
        <v>17</v>
      </c>
      <c r="B1170" t="str">
        <f>"600735"</f>
        <v>600735</v>
      </c>
      <c r="C1170" t="s">
        <v>2626</v>
      </c>
      <c r="D1170" t="s">
        <v>2627</v>
      </c>
      <c r="E1170">
        <v>61559394</v>
      </c>
      <c r="F1170">
        <v>-2749351</v>
      </c>
      <c r="G1170">
        <v>20471611</v>
      </c>
      <c r="H1170">
        <v>5101915</v>
      </c>
      <c r="I1170">
        <v>49580580</v>
      </c>
      <c r="J1170">
        <v>52140854</v>
      </c>
      <c r="K1170">
        <v>26705531</v>
      </c>
      <c r="L1170">
        <v>41850537</v>
      </c>
      <c r="M1170">
        <v>26629816</v>
      </c>
      <c r="N1170">
        <v>30600285</v>
      </c>
      <c r="O1170">
        <v>12583413</v>
      </c>
      <c r="P1170">
        <v>105</v>
      </c>
      <c r="Q1170" t="s">
        <v>2628</v>
      </c>
    </row>
    <row r="1171" spans="1:17" x14ac:dyDescent="0.3">
      <c r="A1171" t="s">
        <v>33</v>
      </c>
      <c r="B1171" t="str">
        <f>"002962"</f>
        <v>002962</v>
      </c>
      <c r="C1171" t="s">
        <v>2629</v>
      </c>
      <c r="D1171" t="s">
        <v>2017</v>
      </c>
      <c r="E1171">
        <v>61387353</v>
      </c>
      <c r="F1171">
        <v>15119468</v>
      </c>
      <c r="G1171">
        <v>7809867</v>
      </c>
      <c r="H1171">
        <v>11365033</v>
      </c>
      <c r="P1171">
        <v>137</v>
      </c>
      <c r="Q1171" t="s">
        <v>2630</v>
      </c>
    </row>
    <row r="1172" spans="1:17" x14ac:dyDescent="0.3">
      <c r="A1172" t="s">
        <v>33</v>
      </c>
      <c r="B1172" t="str">
        <f>"002718"</f>
        <v>002718</v>
      </c>
      <c r="C1172" t="s">
        <v>2631</v>
      </c>
      <c r="D1172" t="s">
        <v>2632</v>
      </c>
      <c r="E1172">
        <v>61306634</v>
      </c>
      <c r="F1172">
        <v>-66499352</v>
      </c>
      <c r="G1172">
        <v>-84445730</v>
      </c>
      <c r="H1172">
        <v>-23793405</v>
      </c>
      <c r="I1172">
        <v>-65719865</v>
      </c>
      <c r="J1172">
        <v>165047883</v>
      </c>
      <c r="K1172">
        <v>3132053</v>
      </c>
      <c r="L1172">
        <v>6534335</v>
      </c>
      <c r="M1172">
        <v>-6902791</v>
      </c>
      <c r="N1172">
        <v>-21834055</v>
      </c>
      <c r="P1172">
        <v>170</v>
      </c>
      <c r="Q1172" t="s">
        <v>2633</v>
      </c>
    </row>
    <row r="1173" spans="1:17" x14ac:dyDescent="0.3">
      <c r="A1173" t="s">
        <v>17</v>
      </c>
      <c r="B1173" t="str">
        <f>"603169"</f>
        <v>603169</v>
      </c>
      <c r="C1173" t="s">
        <v>2634</v>
      </c>
      <c r="D1173" t="s">
        <v>1132</v>
      </c>
      <c r="E1173">
        <v>61180037</v>
      </c>
      <c r="F1173">
        <v>-1589930</v>
      </c>
      <c r="G1173">
        <v>310697465</v>
      </c>
      <c r="H1173">
        <v>95841424</v>
      </c>
      <c r="I1173">
        <v>-230524987</v>
      </c>
      <c r="J1173">
        <v>-248920950</v>
      </c>
      <c r="K1173">
        <v>-238631139</v>
      </c>
      <c r="L1173">
        <v>-86886719</v>
      </c>
      <c r="M1173">
        <v>-180719227</v>
      </c>
      <c r="P1173">
        <v>81</v>
      </c>
      <c r="Q1173" t="s">
        <v>2635</v>
      </c>
    </row>
    <row r="1174" spans="1:17" x14ac:dyDescent="0.3">
      <c r="A1174" t="s">
        <v>33</v>
      </c>
      <c r="B1174" t="str">
        <f>"301179"</f>
        <v>301179</v>
      </c>
      <c r="C1174" t="s">
        <v>2636</v>
      </c>
      <c r="D1174" t="s">
        <v>1182</v>
      </c>
      <c r="E1174">
        <v>61175594</v>
      </c>
      <c r="P1174">
        <v>17</v>
      </c>
      <c r="Q1174" t="s">
        <v>2637</v>
      </c>
    </row>
    <row r="1175" spans="1:17" x14ac:dyDescent="0.3">
      <c r="A1175" t="s">
        <v>33</v>
      </c>
      <c r="B1175" t="str">
        <f>"002211"</f>
        <v>002211</v>
      </c>
      <c r="C1175" t="s">
        <v>2638</v>
      </c>
      <c r="D1175" t="s">
        <v>729</v>
      </c>
      <c r="E1175">
        <v>61003680</v>
      </c>
      <c r="F1175">
        <v>-78291979</v>
      </c>
      <c r="G1175">
        <v>-245350182</v>
      </c>
      <c r="H1175">
        <v>112928977</v>
      </c>
      <c r="I1175">
        <v>21484581</v>
      </c>
      <c r="J1175">
        <v>-3310016</v>
      </c>
      <c r="K1175">
        <v>73263111</v>
      </c>
      <c r="L1175">
        <v>37728981</v>
      </c>
      <c r="M1175">
        <v>11586962</v>
      </c>
      <c r="N1175">
        <v>13197267</v>
      </c>
      <c r="O1175">
        <v>25014009</v>
      </c>
      <c r="P1175">
        <v>85</v>
      </c>
      <c r="Q1175" t="s">
        <v>2639</v>
      </c>
    </row>
    <row r="1176" spans="1:17" x14ac:dyDescent="0.3">
      <c r="A1176" t="s">
        <v>17</v>
      </c>
      <c r="B1176" t="str">
        <f>"600771"</f>
        <v>600771</v>
      </c>
      <c r="C1176" t="s">
        <v>2640</v>
      </c>
      <c r="D1176" t="s">
        <v>533</v>
      </c>
      <c r="E1176">
        <v>60616663</v>
      </c>
      <c r="F1176">
        <v>-31589980</v>
      </c>
      <c r="G1176">
        <v>-96876642</v>
      </c>
      <c r="H1176">
        <v>11152752</v>
      </c>
      <c r="I1176">
        <v>-85678013</v>
      </c>
      <c r="J1176">
        <v>-156470626</v>
      </c>
      <c r="K1176">
        <v>-45997785</v>
      </c>
      <c r="L1176">
        <v>-2434120</v>
      </c>
      <c r="M1176">
        <v>-17231686</v>
      </c>
      <c r="N1176">
        <v>12301966</v>
      </c>
      <c r="O1176">
        <v>-6986595</v>
      </c>
      <c r="P1176">
        <v>477</v>
      </c>
      <c r="Q1176" t="s">
        <v>2641</v>
      </c>
    </row>
    <row r="1177" spans="1:17" x14ac:dyDescent="0.3">
      <c r="A1177" t="s">
        <v>17</v>
      </c>
      <c r="B1177" t="str">
        <f>"600653"</f>
        <v>600653</v>
      </c>
      <c r="C1177" t="s">
        <v>2642</v>
      </c>
      <c r="D1177" t="s">
        <v>2643</v>
      </c>
      <c r="E1177">
        <v>60605947</v>
      </c>
      <c r="F1177">
        <v>170916260</v>
      </c>
      <c r="G1177">
        <v>-139293878</v>
      </c>
      <c r="H1177">
        <v>-20547906</v>
      </c>
      <c r="I1177">
        <v>-146376714</v>
      </c>
      <c r="J1177">
        <v>-257271540</v>
      </c>
      <c r="K1177">
        <v>-88616731</v>
      </c>
      <c r="L1177">
        <v>17609007</v>
      </c>
      <c r="M1177">
        <v>-5421021</v>
      </c>
      <c r="N1177">
        <v>17158821</v>
      </c>
      <c r="O1177">
        <v>-197512989</v>
      </c>
      <c r="P1177">
        <v>93</v>
      </c>
      <c r="Q1177" t="s">
        <v>2644</v>
      </c>
    </row>
    <row r="1178" spans="1:17" x14ac:dyDescent="0.3">
      <c r="A1178" t="s">
        <v>33</v>
      </c>
      <c r="B1178" t="str">
        <f>"002249"</f>
        <v>002249</v>
      </c>
      <c r="C1178" t="s">
        <v>2645</v>
      </c>
      <c r="D1178" t="s">
        <v>1091</v>
      </c>
      <c r="E1178">
        <v>60222587</v>
      </c>
      <c r="F1178">
        <v>116683638</v>
      </c>
      <c r="G1178">
        <v>-116438996</v>
      </c>
      <c r="H1178">
        <v>332657790</v>
      </c>
      <c r="I1178">
        <v>-80792890</v>
      </c>
      <c r="J1178">
        <v>-39675327</v>
      </c>
      <c r="K1178">
        <v>47028155</v>
      </c>
      <c r="L1178">
        <v>-114211356</v>
      </c>
      <c r="M1178">
        <v>-59478155</v>
      </c>
      <c r="N1178">
        <v>18052649</v>
      </c>
      <c r="O1178">
        <v>19003504</v>
      </c>
      <c r="P1178">
        <v>338</v>
      </c>
      <c r="Q1178" t="s">
        <v>2646</v>
      </c>
    </row>
    <row r="1179" spans="1:17" x14ac:dyDescent="0.3">
      <c r="A1179" t="s">
        <v>17</v>
      </c>
      <c r="B1179" t="str">
        <f>"603228"</f>
        <v>603228</v>
      </c>
      <c r="C1179" t="s">
        <v>2647</v>
      </c>
      <c r="D1179" t="s">
        <v>239</v>
      </c>
      <c r="E1179">
        <v>60194216</v>
      </c>
      <c r="F1179">
        <v>484798294</v>
      </c>
      <c r="G1179">
        <v>468748647</v>
      </c>
      <c r="H1179">
        <v>280625911</v>
      </c>
      <c r="I1179">
        <v>203062313</v>
      </c>
      <c r="J1179">
        <v>200099867</v>
      </c>
      <c r="K1179">
        <v>88768397</v>
      </c>
      <c r="P1179">
        <v>1624</v>
      </c>
      <c r="Q1179" t="s">
        <v>2648</v>
      </c>
    </row>
    <row r="1180" spans="1:17" x14ac:dyDescent="0.3">
      <c r="A1180" t="s">
        <v>17</v>
      </c>
      <c r="B1180" t="str">
        <f>"600470"</f>
        <v>600470</v>
      </c>
      <c r="C1180" t="s">
        <v>2649</v>
      </c>
      <c r="D1180" t="s">
        <v>386</v>
      </c>
      <c r="E1180">
        <v>60079445</v>
      </c>
      <c r="F1180">
        <v>4018406</v>
      </c>
      <c r="G1180">
        <v>119729251</v>
      </c>
      <c r="H1180">
        <v>58128843</v>
      </c>
      <c r="I1180">
        <v>-88948006</v>
      </c>
      <c r="J1180">
        <v>-194916007</v>
      </c>
      <c r="K1180">
        <v>9828515</v>
      </c>
      <c r="L1180">
        <v>-12136280</v>
      </c>
      <c r="M1180">
        <v>-40222050</v>
      </c>
      <c r="N1180">
        <v>-376862926</v>
      </c>
      <c r="O1180">
        <v>-20966522</v>
      </c>
      <c r="P1180">
        <v>91</v>
      </c>
      <c r="Q1180" t="s">
        <v>2650</v>
      </c>
    </row>
    <row r="1181" spans="1:17" x14ac:dyDescent="0.3">
      <c r="A1181" t="s">
        <v>17</v>
      </c>
      <c r="B1181" t="str">
        <f>"600053"</f>
        <v>600053</v>
      </c>
      <c r="C1181" t="s">
        <v>2651</v>
      </c>
      <c r="D1181" t="s">
        <v>2604</v>
      </c>
      <c r="E1181">
        <v>59964557</v>
      </c>
      <c r="F1181">
        <v>-19990432</v>
      </c>
      <c r="G1181">
        <v>-40041123</v>
      </c>
      <c r="H1181">
        <v>-13671227</v>
      </c>
      <c r="I1181">
        <v>703645462</v>
      </c>
      <c r="J1181">
        <v>-133372379</v>
      </c>
      <c r="K1181">
        <v>116956228</v>
      </c>
      <c r="L1181">
        <v>108567542</v>
      </c>
      <c r="M1181">
        <v>104370127</v>
      </c>
      <c r="N1181">
        <v>20937542</v>
      </c>
      <c r="O1181">
        <v>104269453</v>
      </c>
      <c r="P1181">
        <v>229</v>
      </c>
      <c r="Q1181" t="s">
        <v>2652</v>
      </c>
    </row>
    <row r="1182" spans="1:17" x14ac:dyDescent="0.3">
      <c r="A1182" t="s">
        <v>17</v>
      </c>
      <c r="B1182" t="str">
        <f>"688079"</f>
        <v>688079</v>
      </c>
      <c r="C1182" t="s">
        <v>2653</v>
      </c>
      <c r="D1182" t="s">
        <v>2017</v>
      </c>
      <c r="E1182">
        <v>59923587</v>
      </c>
      <c r="F1182">
        <v>34578643</v>
      </c>
      <c r="G1182">
        <v>25224769</v>
      </c>
      <c r="P1182">
        <v>36</v>
      </c>
      <c r="Q1182" t="s">
        <v>2654</v>
      </c>
    </row>
    <row r="1183" spans="1:17" x14ac:dyDescent="0.3">
      <c r="A1183" t="s">
        <v>33</v>
      </c>
      <c r="B1183" t="str">
        <f>"300343"</f>
        <v>300343</v>
      </c>
      <c r="C1183" t="s">
        <v>2655</v>
      </c>
      <c r="D1183" t="s">
        <v>1125</v>
      </c>
      <c r="E1183">
        <v>59908055</v>
      </c>
      <c r="F1183">
        <v>56409304</v>
      </c>
      <c r="G1183">
        <v>1398357</v>
      </c>
      <c r="H1183">
        <v>10290053</v>
      </c>
      <c r="I1183">
        <v>127419281</v>
      </c>
      <c r="J1183">
        <v>222894401</v>
      </c>
      <c r="K1183">
        <v>35397133</v>
      </c>
      <c r="L1183">
        <v>25148750</v>
      </c>
      <c r="M1183">
        <v>5975853</v>
      </c>
      <c r="N1183">
        <v>12889030</v>
      </c>
      <c r="O1183">
        <v>-19241282</v>
      </c>
      <c r="P1183">
        <v>155</v>
      </c>
      <c r="Q1183" t="s">
        <v>2656</v>
      </c>
    </row>
    <row r="1184" spans="1:17" x14ac:dyDescent="0.3">
      <c r="A1184" t="s">
        <v>17</v>
      </c>
      <c r="B1184" t="str">
        <f>"688068"</f>
        <v>688068</v>
      </c>
      <c r="C1184" t="s">
        <v>2657</v>
      </c>
      <c r="D1184" t="s">
        <v>221</v>
      </c>
      <c r="E1184">
        <v>59689000</v>
      </c>
      <c r="F1184">
        <v>1030672959</v>
      </c>
      <c r="G1184">
        <v>-8167365</v>
      </c>
      <c r="H1184">
        <v>-10029700</v>
      </c>
      <c r="I1184">
        <v>-3559500</v>
      </c>
      <c r="P1184">
        <v>254</v>
      </c>
      <c r="Q1184" t="s">
        <v>2658</v>
      </c>
    </row>
    <row r="1185" spans="1:17" x14ac:dyDescent="0.3">
      <c r="A1185" t="s">
        <v>17</v>
      </c>
      <c r="B1185" t="str">
        <f>"605056"</f>
        <v>605056</v>
      </c>
      <c r="C1185" t="s">
        <v>2659</v>
      </c>
      <c r="D1185" t="s">
        <v>2417</v>
      </c>
      <c r="E1185">
        <v>59610769</v>
      </c>
      <c r="F1185">
        <v>10384042</v>
      </c>
      <c r="G1185">
        <v>8038863</v>
      </c>
      <c r="P1185">
        <v>21</v>
      </c>
      <c r="Q1185" t="s">
        <v>2660</v>
      </c>
    </row>
    <row r="1186" spans="1:17" x14ac:dyDescent="0.3">
      <c r="A1186" t="s">
        <v>17</v>
      </c>
      <c r="B1186" t="str">
        <f>"600979"</f>
        <v>600979</v>
      </c>
      <c r="C1186" t="s">
        <v>2661</v>
      </c>
      <c r="D1186" t="s">
        <v>245</v>
      </c>
      <c r="E1186">
        <v>59587390</v>
      </c>
      <c r="F1186">
        <v>81679686</v>
      </c>
      <c r="G1186">
        <v>58857647</v>
      </c>
      <c r="H1186">
        <v>10718033</v>
      </c>
      <c r="I1186">
        <v>12131545</v>
      </c>
      <c r="J1186">
        <v>65130404</v>
      </c>
      <c r="K1186">
        <v>68305461</v>
      </c>
      <c r="L1186">
        <v>83333134</v>
      </c>
      <c r="M1186">
        <v>33300856</v>
      </c>
      <c r="N1186">
        <v>61066437</v>
      </c>
      <c r="O1186">
        <v>28233129</v>
      </c>
      <c r="P1186">
        <v>117</v>
      </c>
      <c r="Q1186" t="s">
        <v>2662</v>
      </c>
    </row>
    <row r="1187" spans="1:17" x14ac:dyDescent="0.3">
      <c r="A1187" t="s">
        <v>17</v>
      </c>
      <c r="B1187" t="str">
        <f>"603650"</f>
        <v>603650</v>
      </c>
      <c r="C1187" t="s">
        <v>2663</v>
      </c>
      <c r="D1187" t="s">
        <v>2664</v>
      </c>
      <c r="E1187">
        <v>59553770</v>
      </c>
      <c r="F1187">
        <v>54727027</v>
      </c>
      <c r="G1187">
        <v>-5279734</v>
      </c>
      <c r="H1187">
        <v>9020999</v>
      </c>
      <c r="I1187">
        <v>-10405400</v>
      </c>
      <c r="J1187">
        <v>40699600</v>
      </c>
      <c r="P1187">
        <v>258</v>
      </c>
      <c r="Q1187" t="s">
        <v>2665</v>
      </c>
    </row>
    <row r="1188" spans="1:17" x14ac:dyDescent="0.3">
      <c r="A1188" t="s">
        <v>17</v>
      </c>
      <c r="B1188" t="str">
        <f>"600255"</f>
        <v>600255</v>
      </c>
      <c r="C1188" t="s">
        <v>2666</v>
      </c>
      <c r="D1188" t="s">
        <v>2576</v>
      </c>
      <c r="E1188">
        <v>59456559</v>
      </c>
      <c r="F1188">
        <v>-98925233</v>
      </c>
      <c r="G1188">
        <v>121107210</v>
      </c>
      <c r="H1188">
        <v>232781547</v>
      </c>
      <c r="I1188">
        <v>255220540</v>
      </c>
      <c r="J1188">
        <v>308722432</v>
      </c>
      <c r="K1188">
        <v>-21728523</v>
      </c>
      <c r="L1188">
        <v>-68737582</v>
      </c>
      <c r="M1188">
        <v>-99106966</v>
      </c>
      <c r="N1188">
        <v>-50152347</v>
      </c>
      <c r="O1188">
        <v>41678542</v>
      </c>
      <c r="P1188">
        <v>82</v>
      </c>
      <c r="Q1188" t="s">
        <v>2667</v>
      </c>
    </row>
    <row r="1189" spans="1:17" x14ac:dyDescent="0.3">
      <c r="A1189" t="s">
        <v>33</v>
      </c>
      <c r="B1189" t="str">
        <f>"300519"</f>
        <v>300519</v>
      </c>
      <c r="C1189" t="s">
        <v>2668</v>
      </c>
      <c r="D1189" t="s">
        <v>533</v>
      </c>
      <c r="E1189">
        <v>59363673</v>
      </c>
      <c r="F1189">
        <v>56425427</v>
      </c>
      <c r="G1189">
        <v>35758819</v>
      </c>
      <c r="H1189">
        <v>37905396</v>
      </c>
      <c r="I1189">
        <v>38102976</v>
      </c>
      <c r="J1189">
        <v>52314195</v>
      </c>
      <c r="K1189">
        <v>64396435</v>
      </c>
      <c r="L1189">
        <v>64394179</v>
      </c>
      <c r="P1189">
        <v>251</v>
      </c>
      <c r="Q1189" t="s">
        <v>2669</v>
      </c>
    </row>
    <row r="1190" spans="1:17" x14ac:dyDescent="0.3">
      <c r="A1190" t="s">
        <v>17</v>
      </c>
      <c r="B1190" t="str">
        <f>"601698"</f>
        <v>601698</v>
      </c>
      <c r="C1190" t="s">
        <v>2670</v>
      </c>
      <c r="D1190" t="s">
        <v>2671</v>
      </c>
      <c r="E1190">
        <v>59287821</v>
      </c>
      <c r="F1190">
        <v>15042279</v>
      </c>
      <c r="G1190">
        <v>197669686</v>
      </c>
      <c r="H1190">
        <v>199225667</v>
      </c>
      <c r="I1190">
        <v>319244444</v>
      </c>
      <c r="P1190">
        <v>316</v>
      </c>
      <c r="Q1190" t="s">
        <v>2672</v>
      </c>
    </row>
    <row r="1191" spans="1:17" x14ac:dyDescent="0.3">
      <c r="A1191" t="s">
        <v>17</v>
      </c>
      <c r="B1191" t="str">
        <f>"600186"</f>
        <v>600186</v>
      </c>
      <c r="C1191" t="s">
        <v>2673</v>
      </c>
      <c r="D1191" t="s">
        <v>669</v>
      </c>
      <c r="E1191">
        <v>59271725</v>
      </c>
      <c r="F1191">
        <v>17094643</v>
      </c>
      <c r="G1191">
        <v>-738483335</v>
      </c>
      <c r="H1191">
        <v>-69022385</v>
      </c>
      <c r="I1191">
        <v>-29761956</v>
      </c>
      <c r="J1191">
        <v>-3262619</v>
      </c>
      <c r="K1191">
        <v>6958373</v>
      </c>
      <c r="L1191">
        <v>-7126329</v>
      </c>
      <c r="M1191">
        <v>-23303294</v>
      </c>
      <c r="N1191">
        <v>5525113</v>
      </c>
      <c r="O1191">
        <v>2665938</v>
      </c>
      <c r="P1191">
        <v>182</v>
      </c>
      <c r="Q1191" t="s">
        <v>2674</v>
      </c>
    </row>
    <row r="1192" spans="1:17" x14ac:dyDescent="0.3">
      <c r="A1192" t="s">
        <v>17</v>
      </c>
      <c r="B1192" t="str">
        <f>"603507"</f>
        <v>603507</v>
      </c>
      <c r="C1192" t="s">
        <v>2675</v>
      </c>
      <c r="D1192" t="s">
        <v>1437</v>
      </c>
      <c r="E1192">
        <v>59246279</v>
      </c>
      <c r="F1192">
        <v>29205938</v>
      </c>
      <c r="G1192">
        <v>63982665</v>
      </c>
      <c r="H1192">
        <v>-22126821</v>
      </c>
      <c r="I1192">
        <v>-36083320</v>
      </c>
      <c r="J1192">
        <v>1331623</v>
      </c>
      <c r="P1192">
        <v>135</v>
      </c>
      <c r="Q1192" t="s">
        <v>2676</v>
      </c>
    </row>
    <row r="1193" spans="1:17" x14ac:dyDescent="0.3">
      <c r="A1193" t="s">
        <v>17</v>
      </c>
      <c r="B1193" t="str">
        <f>"688468"</f>
        <v>688468</v>
      </c>
      <c r="C1193" t="s">
        <v>2677</v>
      </c>
      <c r="D1193" t="s">
        <v>221</v>
      </c>
      <c r="E1193">
        <v>58921043</v>
      </c>
      <c r="F1193">
        <v>40023264</v>
      </c>
      <c r="G1193">
        <v>4362069</v>
      </c>
      <c r="P1193">
        <v>39</v>
      </c>
      <c r="Q1193" t="s">
        <v>2678</v>
      </c>
    </row>
    <row r="1194" spans="1:17" x14ac:dyDescent="0.3">
      <c r="A1194" t="s">
        <v>33</v>
      </c>
      <c r="B1194" t="str">
        <f>"301211"</f>
        <v>301211</v>
      </c>
      <c r="C1194" t="s">
        <v>2679</v>
      </c>
      <c r="D1194" t="s">
        <v>941</v>
      </c>
      <c r="E1194">
        <v>58835705</v>
      </c>
      <c r="P1194">
        <v>14</v>
      </c>
      <c r="Q1194" t="s">
        <v>2680</v>
      </c>
    </row>
    <row r="1195" spans="1:17" x14ac:dyDescent="0.3">
      <c r="A1195" t="s">
        <v>33</v>
      </c>
      <c r="B1195" t="str">
        <f>"002837"</f>
        <v>002837</v>
      </c>
      <c r="C1195" t="s">
        <v>2681</v>
      </c>
      <c r="D1195" t="s">
        <v>1895</v>
      </c>
      <c r="E1195">
        <v>58709430</v>
      </c>
      <c r="F1195">
        <v>-108487101</v>
      </c>
      <c r="G1195">
        <v>-94591031</v>
      </c>
      <c r="H1195">
        <v>-77239412</v>
      </c>
      <c r="I1195">
        <v>-58208501</v>
      </c>
      <c r="J1195">
        <v>-104838100</v>
      </c>
      <c r="K1195">
        <v>-23055579</v>
      </c>
      <c r="P1195">
        <v>396</v>
      </c>
      <c r="Q1195" t="s">
        <v>2682</v>
      </c>
    </row>
    <row r="1196" spans="1:17" x14ac:dyDescent="0.3">
      <c r="A1196" t="s">
        <v>17</v>
      </c>
      <c r="B1196" t="str">
        <f>"603167"</f>
        <v>603167</v>
      </c>
      <c r="C1196" t="s">
        <v>2683</v>
      </c>
      <c r="D1196" t="s">
        <v>55</v>
      </c>
      <c r="E1196">
        <v>58485593</v>
      </c>
      <c r="F1196">
        <v>109048047</v>
      </c>
      <c r="G1196">
        <v>-14824945</v>
      </c>
      <c r="H1196">
        <v>174339831</v>
      </c>
      <c r="I1196">
        <v>107232613</v>
      </c>
      <c r="J1196">
        <v>171085082</v>
      </c>
      <c r="K1196">
        <v>145793531</v>
      </c>
      <c r="L1196">
        <v>130815115</v>
      </c>
      <c r="M1196">
        <v>102732774</v>
      </c>
      <c r="N1196">
        <v>69636672</v>
      </c>
      <c r="O1196">
        <v>59571443</v>
      </c>
      <c r="P1196">
        <v>239</v>
      </c>
      <c r="Q1196" t="s">
        <v>2684</v>
      </c>
    </row>
    <row r="1197" spans="1:17" x14ac:dyDescent="0.3">
      <c r="A1197" t="s">
        <v>33</v>
      </c>
      <c r="B1197" t="str">
        <f>"002007"</f>
        <v>002007</v>
      </c>
      <c r="C1197" t="s">
        <v>2685</v>
      </c>
      <c r="D1197" t="s">
        <v>954</v>
      </c>
      <c r="E1197">
        <v>58464294</v>
      </c>
      <c r="F1197">
        <v>272808408</v>
      </c>
      <c r="G1197">
        <v>95887097</v>
      </c>
      <c r="H1197">
        <v>188118276</v>
      </c>
      <c r="I1197">
        <v>40360773</v>
      </c>
      <c r="J1197">
        <v>-90215281</v>
      </c>
      <c r="K1197">
        <v>36251802</v>
      </c>
      <c r="L1197">
        <v>36131796</v>
      </c>
      <c r="M1197">
        <v>103989567</v>
      </c>
      <c r="N1197">
        <v>111949446</v>
      </c>
      <c r="O1197">
        <v>156077110</v>
      </c>
      <c r="P1197">
        <v>13194</v>
      </c>
      <c r="Q1197" t="s">
        <v>2686</v>
      </c>
    </row>
    <row r="1198" spans="1:17" x14ac:dyDescent="0.3">
      <c r="A1198" t="s">
        <v>17</v>
      </c>
      <c r="B1198" t="str">
        <f>"603528"</f>
        <v>603528</v>
      </c>
      <c r="C1198" t="s">
        <v>2687</v>
      </c>
      <c r="D1198" t="s">
        <v>807</v>
      </c>
      <c r="E1198">
        <v>58309302</v>
      </c>
      <c r="F1198">
        <v>3273776</v>
      </c>
      <c r="G1198">
        <v>-58893390</v>
      </c>
      <c r="H1198">
        <v>1334398</v>
      </c>
      <c r="I1198">
        <v>-15605233</v>
      </c>
      <c r="J1198">
        <v>-65134835</v>
      </c>
      <c r="K1198">
        <v>-6689210</v>
      </c>
      <c r="L1198">
        <v>30613474</v>
      </c>
      <c r="P1198">
        <v>195</v>
      </c>
      <c r="Q1198" t="s">
        <v>2688</v>
      </c>
    </row>
    <row r="1199" spans="1:17" x14ac:dyDescent="0.3">
      <c r="A1199" t="s">
        <v>33</v>
      </c>
      <c r="B1199" t="str">
        <f>"002303"</f>
        <v>002303</v>
      </c>
      <c r="C1199" t="s">
        <v>2689</v>
      </c>
      <c r="D1199" t="s">
        <v>1015</v>
      </c>
      <c r="E1199">
        <v>58306571</v>
      </c>
      <c r="F1199">
        <v>-123292180</v>
      </c>
      <c r="G1199">
        <v>150505206</v>
      </c>
      <c r="H1199">
        <v>138849356</v>
      </c>
      <c r="I1199">
        <v>46656005</v>
      </c>
      <c r="J1199">
        <v>14713589</v>
      </c>
      <c r="K1199">
        <v>13790599</v>
      </c>
      <c r="L1199">
        <v>32454381</v>
      </c>
      <c r="M1199">
        <v>78542607</v>
      </c>
      <c r="N1199">
        <v>26202571</v>
      </c>
      <c r="O1199">
        <v>37372552</v>
      </c>
      <c r="P1199">
        <v>224</v>
      </c>
      <c r="Q1199" t="s">
        <v>2690</v>
      </c>
    </row>
    <row r="1200" spans="1:17" x14ac:dyDescent="0.3">
      <c r="A1200" t="s">
        <v>33</v>
      </c>
      <c r="B1200" t="str">
        <f>"300194"</f>
        <v>300194</v>
      </c>
      <c r="C1200" t="s">
        <v>2691</v>
      </c>
      <c r="D1200" t="s">
        <v>590</v>
      </c>
      <c r="E1200">
        <v>58291241</v>
      </c>
      <c r="F1200">
        <v>-11859300</v>
      </c>
      <c r="G1200">
        <v>28689443</v>
      </c>
      <c r="H1200">
        <v>91118890</v>
      </c>
      <c r="I1200">
        <v>110848887</v>
      </c>
      <c r="J1200">
        <v>122644592</v>
      </c>
      <c r="K1200">
        <v>49828769</v>
      </c>
      <c r="L1200">
        <v>11640629</v>
      </c>
      <c r="M1200">
        <v>-39851397</v>
      </c>
      <c r="N1200">
        <v>14321964</v>
      </c>
      <c r="O1200">
        <v>9632759</v>
      </c>
      <c r="P1200">
        <v>149</v>
      </c>
      <c r="Q1200" t="s">
        <v>2692</v>
      </c>
    </row>
    <row r="1201" spans="1:17" x14ac:dyDescent="0.3">
      <c r="A1201" t="s">
        <v>33</v>
      </c>
      <c r="B1201" t="str">
        <f>"300939"</f>
        <v>300939</v>
      </c>
      <c r="C1201" t="s">
        <v>2693</v>
      </c>
      <c r="D1201" t="s">
        <v>102</v>
      </c>
      <c r="E1201">
        <v>58282336</v>
      </c>
      <c r="F1201">
        <v>-35257341</v>
      </c>
      <c r="G1201">
        <v>13587917</v>
      </c>
      <c r="H1201">
        <v>42481800</v>
      </c>
      <c r="P1201">
        <v>31</v>
      </c>
      <c r="Q1201" t="s">
        <v>2694</v>
      </c>
    </row>
    <row r="1202" spans="1:17" x14ac:dyDescent="0.3">
      <c r="A1202" t="s">
        <v>17</v>
      </c>
      <c r="B1202" t="str">
        <f>"600697"</f>
        <v>600697</v>
      </c>
      <c r="C1202" t="s">
        <v>2695</v>
      </c>
      <c r="D1202" t="s">
        <v>526</v>
      </c>
      <c r="E1202">
        <v>58052444</v>
      </c>
      <c r="F1202">
        <v>-28510142</v>
      </c>
      <c r="G1202">
        <v>-182032512</v>
      </c>
      <c r="H1202">
        <v>-252400623</v>
      </c>
      <c r="I1202">
        <v>266670612</v>
      </c>
      <c r="J1202">
        <v>-96583721</v>
      </c>
      <c r="K1202">
        <v>-483748767</v>
      </c>
      <c r="L1202">
        <v>-372168026</v>
      </c>
      <c r="M1202">
        <v>-492273153</v>
      </c>
      <c r="N1202">
        <v>118392305</v>
      </c>
      <c r="O1202">
        <v>-258547857</v>
      </c>
      <c r="P1202">
        <v>275</v>
      </c>
      <c r="Q1202" t="s">
        <v>2696</v>
      </c>
    </row>
    <row r="1203" spans="1:17" x14ac:dyDescent="0.3">
      <c r="A1203" t="s">
        <v>17</v>
      </c>
      <c r="B1203" t="str">
        <f>"603917"</f>
        <v>603917</v>
      </c>
      <c r="C1203" t="s">
        <v>2697</v>
      </c>
      <c r="D1203" t="s">
        <v>1419</v>
      </c>
      <c r="E1203">
        <v>57980398</v>
      </c>
      <c r="F1203">
        <v>1300301</v>
      </c>
      <c r="G1203">
        <v>24005253</v>
      </c>
      <c r="H1203">
        <v>11020064</v>
      </c>
      <c r="I1203">
        <v>5230839</v>
      </c>
      <c r="J1203">
        <v>11855296</v>
      </c>
      <c r="P1203">
        <v>73</v>
      </c>
      <c r="Q1203" t="s">
        <v>2698</v>
      </c>
    </row>
    <row r="1204" spans="1:17" x14ac:dyDescent="0.3">
      <c r="A1204" t="s">
        <v>33</v>
      </c>
      <c r="B1204" t="str">
        <f>"301190"</f>
        <v>301190</v>
      </c>
      <c r="C1204" t="s">
        <v>2699</v>
      </c>
      <c r="D1204" t="s">
        <v>735</v>
      </c>
      <c r="E1204">
        <v>57870396</v>
      </c>
      <c r="P1204">
        <v>11</v>
      </c>
      <c r="Q1204" t="s">
        <v>2700</v>
      </c>
    </row>
    <row r="1205" spans="1:17" x14ac:dyDescent="0.3">
      <c r="A1205" t="s">
        <v>17</v>
      </c>
      <c r="B1205" t="str">
        <f>"688087"</f>
        <v>688087</v>
      </c>
      <c r="C1205" t="s">
        <v>2701</v>
      </c>
      <c r="D1205" t="s">
        <v>1483</v>
      </c>
      <c r="E1205">
        <v>57809592</v>
      </c>
      <c r="F1205">
        <v>87665998</v>
      </c>
      <c r="G1205">
        <v>-42081542</v>
      </c>
      <c r="P1205">
        <v>36</v>
      </c>
      <c r="Q1205" t="s">
        <v>2702</v>
      </c>
    </row>
    <row r="1206" spans="1:17" x14ac:dyDescent="0.3">
      <c r="A1206" t="s">
        <v>33</v>
      </c>
      <c r="B1206" t="str">
        <f>"001206"</f>
        <v>001206</v>
      </c>
      <c r="C1206" t="s">
        <v>2703</v>
      </c>
      <c r="D1206" t="s">
        <v>974</v>
      </c>
      <c r="E1206">
        <v>57757154</v>
      </c>
      <c r="F1206">
        <v>31570434</v>
      </c>
      <c r="G1206">
        <v>69307653</v>
      </c>
      <c r="P1206">
        <v>53</v>
      </c>
      <c r="Q1206" t="s">
        <v>2704</v>
      </c>
    </row>
    <row r="1207" spans="1:17" x14ac:dyDescent="0.3">
      <c r="A1207" t="s">
        <v>33</v>
      </c>
      <c r="B1207" t="str">
        <f>"300260"</f>
        <v>300260</v>
      </c>
      <c r="C1207" t="s">
        <v>2705</v>
      </c>
      <c r="D1207" t="s">
        <v>164</v>
      </c>
      <c r="E1207">
        <v>57753148</v>
      </c>
      <c r="F1207">
        <v>-7970744</v>
      </c>
      <c r="G1207">
        <v>-17935105</v>
      </c>
      <c r="H1207">
        <v>5082076</v>
      </c>
      <c r="I1207">
        <v>-5821611</v>
      </c>
      <c r="J1207">
        <v>-18749321</v>
      </c>
      <c r="K1207">
        <v>-6092288</v>
      </c>
      <c r="L1207">
        <v>-677060</v>
      </c>
      <c r="M1207">
        <v>-12363601</v>
      </c>
      <c r="N1207">
        <v>-19774966</v>
      </c>
      <c r="O1207">
        <v>-27857905</v>
      </c>
      <c r="P1207">
        <v>211</v>
      </c>
      <c r="Q1207" t="s">
        <v>2706</v>
      </c>
    </row>
    <row r="1208" spans="1:17" x14ac:dyDescent="0.3">
      <c r="A1208" t="s">
        <v>33</v>
      </c>
      <c r="B1208" t="str">
        <f>"300763"</f>
        <v>300763</v>
      </c>
      <c r="C1208" t="s">
        <v>2707</v>
      </c>
      <c r="D1208" t="s">
        <v>2708</v>
      </c>
      <c r="E1208">
        <v>57459668</v>
      </c>
      <c r="F1208">
        <v>25664056</v>
      </c>
      <c r="G1208">
        <v>53508218</v>
      </c>
      <c r="H1208">
        <v>-26087910</v>
      </c>
      <c r="I1208">
        <v>-48346463</v>
      </c>
      <c r="P1208">
        <v>582</v>
      </c>
      <c r="Q1208" t="s">
        <v>2709</v>
      </c>
    </row>
    <row r="1209" spans="1:17" x14ac:dyDescent="0.3">
      <c r="A1209" t="s">
        <v>33</v>
      </c>
      <c r="B1209" t="str">
        <f>"002240"</f>
        <v>002240</v>
      </c>
      <c r="C1209" t="s">
        <v>2710</v>
      </c>
      <c r="D1209" t="s">
        <v>212</v>
      </c>
      <c r="E1209">
        <v>57404310</v>
      </c>
      <c r="F1209">
        <v>-138874857</v>
      </c>
      <c r="G1209">
        <v>-128462687</v>
      </c>
      <c r="H1209">
        <v>15960714</v>
      </c>
      <c r="I1209">
        <v>-174145800</v>
      </c>
      <c r="J1209">
        <v>-25257181</v>
      </c>
      <c r="K1209">
        <v>-4490815</v>
      </c>
      <c r="L1209">
        <v>22785220</v>
      </c>
      <c r="M1209">
        <v>41758060</v>
      </c>
      <c r="N1209">
        <v>2926315</v>
      </c>
      <c r="O1209">
        <v>118437672</v>
      </c>
      <c r="P1209">
        <v>389</v>
      </c>
      <c r="Q1209" t="s">
        <v>2711</v>
      </c>
    </row>
    <row r="1210" spans="1:17" x14ac:dyDescent="0.3">
      <c r="A1210" t="s">
        <v>33</v>
      </c>
      <c r="B1210" t="str">
        <f>"002647"</f>
        <v>002647</v>
      </c>
      <c r="C1210" t="s">
        <v>2712</v>
      </c>
      <c r="D1210" t="s">
        <v>1387</v>
      </c>
      <c r="E1210">
        <v>57384154</v>
      </c>
      <c r="F1210">
        <v>64477657</v>
      </c>
      <c r="G1210">
        <v>-11259630</v>
      </c>
      <c r="H1210">
        <v>65692876</v>
      </c>
      <c r="I1210">
        <v>29392895</v>
      </c>
      <c r="J1210">
        <v>7362239</v>
      </c>
      <c r="K1210">
        <v>-186065554</v>
      </c>
      <c r="L1210">
        <v>-153379324</v>
      </c>
      <c r="M1210">
        <v>-186305923</v>
      </c>
      <c r="N1210">
        <v>114645545</v>
      </c>
      <c r="O1210">
        <v>-392780531</v>
      </c>
      <c r="P1210">
        <v>180</v>
      </c>
      <c r="Q1210" t="s">
        <v>2713</v>
      </c>
    </row>
    <row r="1211" spans="1:17" x14ac:dyDescent="0.3">
      <c r="A1211" t="s">
        <v>17</v>
      </c>
      <c r="B1211" t="str">
        <f>"600854"</f>
        <v>600854</v>
      </c>
      <c r="C1211" t="s">
        <v>2714</v>
      </c>
      <c r="D1211" t="s">
        <v>150</v>
      </c>
      <c r="E1211">
        <v>57217004</v>
      </c>
      <c r="F1211">
        <v>62713365</v>
      </c>
      <c r="G1211">
        <v>-17704588</v>
      </c>
      <c r="H1211">
        <v>-7036537</v>
      </c>
      <c r="I1211">
        <v>9179070</v>
      </c>
      <c r="J1211">
        <v>142845381</v>
      </c>
      <c r="K1211">
        <v>-10913110</v>
      </c>
      <c r="L1211">
        <v>15257394</v>
      </c>
      <c r="M1211">
        <v>-2451749</v>
      </c>
      <c r="N1211">
        <v>-8216495</v>
      </c>
      <c r="O1211">
        <v>-25011563</v>
      </c>
      <c r="P1211">
        <v>146</v>
      </c>
      <c r="Q1211" t="s">
        <v>2715</v>
      </c>
    </row>
    <row r="1212" spans="1:17" x14ac:dyDescent="0.3">
      <c r="A1212" t="s">
        <v>33</v>
      </c>
      <c r="B1212" t="str">
        <f>"000020"</f>
        <v>000020</v>
      </c>
      <c r="C1212" t="s">
        <v>2716</v>
      </c>
      <c r="D1212" t="s">
        <v>102</v>
      </c>
      <c r="E1212">
        <v>57197295</v>
      </c>
      <c r="F1212">
        <v>-5125776</v>
      </c>
      <c r="G1212">
        <v>7931309</v>
      </c>
      <c r="H1212">
        <v>19403903</v>
      </c>
      <c r="I1212">
        <v>337819</v>
      </c>
      <c r="J1212">
        <v>-18501960</v>
      </c>
      <c r="K1212">
        <v>-46008443</v>
      </c>
      <c r="L1212">
        <v>-2165279</v>
      </c>
      <c r="M1212">
        <v>-26273205</v>
      </c>
      <c r="N1212">
        <v>-71011893</v>
      </c>
      <c r="O1212">
        <v>-90160096</v>
      </c>
      <c r="P1212">
        <v>75</v>
      </c>
      <c r="Q1212" t="s">
        <v>2717</v>
      </c>
    </row>
    <row r="1213" spans="1:17" x14ac:dyDescent="0.3">
      <c r="A1213" t="s">
        <v>17</v>
      </c>
      <c r="B1213" t="str">
        <f>"603590"</f>
        <v>603590</v>
      </c>
      <c r="C1213" t="s">
        <v>2718</v>
      </c>
      <c r="D1213" t="s">
        <v>756</v>
      </c>
      <c r="E1213">
        <v>57190060</v>
      </c>
      <c r="F1213">
        <v>31382690</v>
      </c>
      <c r="G1213">
        <v>61321398</v>
      </c>
      <c r="H1213">
        <v>67871630</v>
      </c>
      <c r="I1213">
        <v>3873597</v>
      </c>
      <c r="P1213">
        <v>158</v>
      </c>
      <c r="Q1213" t="s">
        <v>2719</v>
      </c>
    </row>
    <row r="1214" spans="1:17" x14ac:dyDescent="0.3">
      <c r="A1214" t="s">
        <v>33</v>
      </c>
      <c r="B1214" t="str">
        <f>"000605"</f>
        <v>000605</v>
      </c>
      <c r="C1214" t="s">
        <v>2720</v>
      </c>
      <c r="D1214" t="s">
        <v>932</v>
      </c>
      <c r="E1214">
        <v>57158681</v>
      </c>
      <c r="F1214">
        <v>-24272521</v>
      </c>
      <c r="G1214">
        <v>-7189641</v>
      </c>
      <c r="H1214">
        <v>2528677</v>
      </c>
      <c r="I1214">
        <v>-27471825</v>
      </c>
      <c r="J1214">
        <v>-55232977</v>
      </c>
      <c r="K1214">
        <v>58478976</v>
      </c>
      <c r="L1214">
        <v>49282920</v>
      </c>
      <c r="M1214">
        <v>55674441</v>
      </c>
      <c r="N1214">
        <v>-1042957</v>
      </c>
      <c r="O1214">
        <v>-965499</v>
      </c>
      <c r="P1214">
        <v>85</v>
      </c>
      <c r="Q1214" t="s">
        <v>2721</v>
      </c>
    </row>
    <row r="1215" spans="1:17" x14ac:dyDescent="0.3">
      <c r="A1215" t="s">
        <v>33</v>
      </c>
      <c r="B1215" t="str">
        <f>"300831"</f>
        <v>300831</v>
      </c>
      <c r="C1215" t="s">
        <v>2722</v>
      </c>
      <c r="D1215" t="s">
        <v>1274</v>
      </c>
      <c r="E1215">
        <v>57148488</v>
      </c>
      <c r="F1215">
        <v>-8671444</v>
      </c>
      <c r="G1215">
        <v>-25265101</v>
      </c>
      <c r="H1215">
        <v>40862608</v>
      </c>
      <c r="P1215">
        <v>129</v>
      </c>
      <c r="Q1215" t="s">
        <v>2723</v>
      </c>
    </row>
    <row r="1216" spans="1:17" x14ac:dyDescent="0.3">
      <c r="A1216" t="s">
        <v>33</v>
      </c>
      <c r="B1216" t="str">
        <f>"002346"</f>
        <v>002346</v>
      </c>
      <c r="C1216" t="s">
        <v>2724</v>
      </c>
      <c r="D1216" t="s">
        <v>298</v>
      </c>
      <c r="E1216">
        <v>56985831</v>
      </c>
      <c r="F1216">
        <v>124229387</v>
      </c>
      <c r="G1216">
        <v>-65014233</v>
      </c>
      <c r="H1216">
        <v>29259628</v>
      </c>
      <c r="I1216">
        <v>27637864</v>
      </c>
      <c r="J1216">
        <v>-154071</v>
      </c>
      <c r="K1216">
        <v>28752444</v>
      </c>
      <c r="L1216">
        <v>-73460187</v>
      </c>
      <c r="M1216">
        <v>-14422561</v>
      </c>
      <c r="N1216">
        <v>31367347</v>
      </c>
      <c r="O1216">
        <v>-12660422</v>
      </c>
      <c r="P1216">
        <v>105</v>
      </c>
      <c r="Q1216" t="s">
        <v>2725</v>
      </c>
    </row>
    <row r="1217" spans="1:17" x14ac:dyDescent="0.3">
      <c r="A1217" t="s">
        <v>33</v>
      </c>
      <c r="B1217" t="str">
        <f>"300655"</f>
        <v>300655</v>
      </c>
      <c r="C1217" t="s">
        <v>2726</v>
      </c>
      <c r="D1217" t="s">
        <v>1330</v>
      </c>
      <c r="E1217">
        <v>56937551</v>
      </c>
      <c r="F1217">
        <v>21969489</v>
      </c>
      <c r="G1217">
        <v>24597360</v>
      </c>
      <c r="H1217">
        <v>32612487</v>
      </c>
      <c r="I1217">
        <v>-5161470</v>
      </c>
      <c r="J1217">
        <v>-9225700</v>
      </c>
      <c r="K1217">
        <v>-7059400</v>
      </c>
      <c r="P1217">
        <v>3076</v>
      </c>
      <c r="Q1217" t="s">
        <v>2727</v>
      </c>
    </row>
    <row r="1218" spans="1:17" x14ac:dyDescent="0.3">
      <c r="A1218" t="s">
        <v>17</v>
      </c>
      <c r="B1218" t="str">
        <f>"600665"</f>
        <v>600665</v>
      </c>
      <c r="C1218" t="s">
        <v>2728</v>
      </c>
      <c r="D1218" t="s">
        <v>167</v>
      </c>
      <c r="E1218">
        <v>56922529</v>
      </c>
      <c r="F1218">
        <v>256762542</v>
      </c>
      <c r="G1218">
        <v>-720838917</v>
      </c>
      <c r="H1218">
        <v>-1310163303</v>
      </c>
      <c r="I1218">
        <v>644062505</v>
      </c>
      <c r="J1218">
        <v>-142727789</v>
      </c>
      <c r="K1218">
        <v>415877626</v>
      </c>
      <c r="L1218">
        <v>-667095704</v>
      </c>
      <c r="M1218">
        <v>-259092924</v>
      </c>
      <c r="N1218">
        <v>-499512540</v>
      </c>
      <c r="O1218">
        <v>-134418405</v>
      </c>
      <c r="P1218">
        <v>455</v>
      </c>
      <c r="Q1218" t="s">
        <v>2729</v>
      </c>
    </row>
    <row r="1219" spans="1:17" x14ac:dyDescent="0.3">
      <c r="A1219" t="s">
        <v>17</v>
      </c>
      <c r="B1219" t="str">
        <f>"605009"</f>
        <v>605009</v>
      </c>
      <c r="C1219" t="s">
        <v>2730</v>
      </c>
      <c r="D1219" t="s">
        <v>974</v>
      </c>
      <c r="E1219">
        <v>56921038</v>
      </c>
      <c r="F1219">
        <v>134857645</v>
      </c>
      <c r="G1219">
        <v>110739087</v>
      </c>
      <c r="P1219">
        <v>355</v>
      </c>
      <c r="Q1219" t="s">
        <v>2731</v>
      </c>
    </row>
    <row r="1220" spans="1:17" x14ac:dyDescent="0.3">
      <c r="A1220" t="s">
        <v>33</v>
      </c>
      <c r="B1220" t="str">
        <f>"002437"</f>
        <v>002437</v>
      </c>
      <c r="C1220" t="s">
        <v>2732</v>
      </c>
      <c r="D1220" t="s">
        <v>590</v>
      </c>
      <c r="E1220">
        <v>56821197</v>
      </c>
      <c r="F1220">
        <v>167656788</v>
      </c>
      <c r="G1220">
        <v>-50750178</v>
      </c>
      <c r="H1220">
        <v>207036439</v>
      </c>
      <c r="I1220">
        <v>116257048</v>
      </c>
      <c r="J1220">
        <v>38887817</v>
      </c>
      <c r="K1220">
        <v>-12427346</v>
      </c>
      <c r="L1220">
        <v>66492535</v>
      </c>
      <c r="M1220">
        <v>25420625</v>
      </c>
      <c r="N1220">
        <v>35173744</v>
      </c>
      <c r="O1220">
        <v>24646266</v>
      </c>
      <c r="P1220">
        <v>189</v>
      </c>
      <c r="Q1220" t="s">
        <v>2733</v>
      </c>
    </row>
    <row r="1221" spans="1:17" x14ac:dyDescent="0.3">
      <c r="A1221" t="s">
        <v>17</v>
      </c>
      <c r="B1221" t="str">
        <f>"600527"</f>
        <v>600527</v>
      </c>
      <c r="C1221" t="s">
        <v>2734</v>
      </c>
      <c r="D1221" t="s">
        <v>1292</v>
      </c>
      <c r="E1221">
        <v>56637149</v>
      </c>
      <c r="F1221">
        <v>622312</v>
      </c>
      <c r="G1221">
        <v>107783124</v>
      </c>
      <c r="H1221">
        <v>70243631</v>
      </c>
      <c r="I1221">
        <v>-21953812</v>
      </c>
      <c r="J1221">
        <v>42415796</v>
      </c>
      <c r="K1221">
        <v>40330964</v>
      </c>
      <c r="L1221">
        <v>-3540060</v>
      </c>
      <c r="M1221">
        <v>-18897142</v>
      </c>
      <c r="N1221">
        <v>-31817812</v>
      </c>
      <c r="O1221">
        <v>70244320</v>
      </c>
      <c r="P1221">
        <v>112</v>
      </c>
      <c r="Q1221" t="s">
        <v>2735</v>
      </c>
    </row>
    <row r="1222" spans="1:17" x14ac:dyDescent="0.3">
      <c r="A1222" t="s">
        <v>17</v>
      </c>
      <c r="B1222" t="str">
        <f>"600396"</f>
        <v>600396</v>
      </c>
      <c r="C1222" t="s">
        <v>2736</v>
      </c>
      <c r="D1222" t="s">
        <v>145</v>
      </c>
      <c r="E1222">
        <v>56591558</v>
      </c>
      <c r="F1222">
        <v>432718104</v>
      </c>
      <c r="G1222">
        <v>126208470</v>
      </c>
      <c r="H1222">
        <v>305592264</v>
      </c>
      <c r="I1222">
        <v>272218217</v>
      </c>
      <c r="J1222">
        <v>-13902092</v>
      </c>
      <c r="K1222">
        <v>179906476</v>
      </c>
      <c r="L1222">
        <v>378948059</v>
      </c>
      <c r="M1222">
        <v>431379307</v>
      </c>
      <c r="N1222">
        <v>365294936</v>
      </c>
      <c r="O1222">
        <v>234137805</v>
      </c>
      <c r="P1222">
        <v>107</v>
      </c>
      <c r="Q1222" t="s">
        <v>2737</v>
      </c>
    </row>
    <row r="1223" spans="1:17" x14ac:dyDescent="0.3">
      <c r="A1223" t="s">
        <v>17</v>
      </c>
      <c r="B1223" t="str">
        <f>"600856"</f>
        <v>600856</v>
      </c>
      <c r="C1223" t="s">
        <v>2738</v>
      </c>
      <c r="D1223" t="s">
        <v>439</v>
      </c>
      <c r="E1223">
        <v>56172459</v>
      </c>
      <c r="F1223">
        <v>27293231</v>
      </c>
      <c r="G1223">
        <v>-103928911</v>
      </c>
      <c r="H1223">
        <v>-74023451</v>
      </c>
      <c r="I1223">
        <v>75772290</v>
      </c>
      <c r="J1223">
        <v>-7561483</v>
      </c>
      <c r="K1223">
        <v>2112164</v>
      </c>
      <c r="L1223">
        <v>50014348</v>
      </c>
      <c r="M1223">
        <v>6312762</v>
      </c>
      <c r="N1223">
        <v>12946775</v>
      </c>
      <c r="O1223">
        <v>5957030</v>
      </c>
      <c r="P1223">
        <v>129</v>
      </c>
      <c r="Q1223" t="s">
        <v>2739</v>
      </c>
    </row>
    <row r="1224" spans="1:17" x14ac:dyDescent="0.3">
      <c r="A1224" t="s">
        <v>33</v>
      </c>
      <c r="B1224" t="str">
        <f>"002222"</f>
        <v>002222</v>
      </c>
      <c r="C1224" t="s">
        <v>2740</v>
      </c>
      <c r="D1224" t="s">
        <v>2017</v>
      </c>
      <c r="E1224">
        <v>55991952</v>
      </c>
      <c r="F1224">
        <v>14434483</v>
      </c>
      <c r="G1224">
        <v>10129052</v>
      </c>
      <c r="H1224">
        <v>12533454</v>
      </c>
      <c r="I1224">
        <v>21811890</v>
      </c>
      <c r="J1224">
        <v>27586363</v>
      </c>
      <c r="K1224">
        <v>14974355</v>
      </c>
      <c r="L1224">
        <v>10314401</v>
      </c>
      <c r="M1224">
        <v>2914366</v>
      </c>
      <c r="N1224">
        <v>5925375</v>
      </c>
      <c r="O1224">
        <v>4280132</v>
      </c>
      <c r="P1224">
        <v>517</v>
      </c>
      <c r="Q1224" t="s">
        <v>2741</v>
      </c>
    </row>
    <row r="1225" spans="1:17" x14ac:dyDescent="0.3">
      <c r="A1225" t="s">
        <v>17</v>
      </c>
      <c r="B1225" t="str">
        <f>"601996"</f>
        <v>601996</v>
      </c>
      <c r="C1225" t="s">
        <v>2742</v>
      </c>
      <c r="D1225" t="s">
        <v>2743</v>
      </c>
      <c r="E1225">
        <v>55972999</v>
      </c>
      <c r="F1225">
        <v>110307092</v>
      </c>
      <c r="G1225">
        <v>-66160138</v>
      </c>
      <c r="H1225">
        <v>-125842347</v>
      </c>
      <c r="I1225">
        <v>-21287312</v>
      </c>
      <c r="J1225">
        <v>-31786437</v>
      </c>
      <c r="K1225">
        <v>-3057260</v>
      </c>
      <c r="L1225">
        <v>-70191153</v>
      </c>
      <c r="M1225">
        <v>-90566983</v>
      </c>
      <c r="N1225">
        <v>-66864350</v>
      </c>
      <c r="O1225">
        <v>-114484738</v>
      </c>
      <c r="P1225">
        <v>143</v>
      </c>
      <c r="Q1225" t="s">
        <v>2744</v>
      </c>
    </row>
    <row r="1226" spans="1:17" x14ac:dyDescent="0.3">
      <c r="A1226" t="s">
        <v>33</v>
      </c>
      <c r="B1226" t="str">
        <f>"002698"</f>
        <v>002698</v>
      </c>
      <c r="C1226" t="s">
        <v>2745</v>
      </c>
      <c r="D1226" t="s">
        <v>1142</v>
      </c>
      <c r="E1226">
        <v>55942303</v>
      </c>
      <c r="F1226">
        <v>106876044</v>
      </c>
      <c r="G1226">
        <v>-71169052</v>
      </c>
      <c r="H1226">
        <v>79469985</v>
      </c>
      <c r="I1226">
        <v>-3626497</v>
      </c>
      <c r="J1226">
        <v>26703992</v>
      </c>
      <c r="K1226">
        <v>-1286545</v>
      </c>
      <c r="L1226">
        <v>34209787</v>
      </c>
      <c r="M1226">
        <v>-8582043</v>
      </c>
      <c r="N1226">
        <v>22509393</v>
      </c>
      <c r="O1226">
        <v>-57273727</v>
      </c>
      <c r="P1226">
        <v>271</v>
      </c>
      <c r="Q1226" t="s">
        <v>2746</v>
      </c>
    </row>
    <row r="1227" spans="1:17" x14ac:dyDescent="0.3">
      <c r="A1227" t="s">
        <v>17</v>
      </c>
      <c r="B1227" t="str">
        <f>"688687"</f>
        <v>688687</v>
      </c>
      <c r="C1227" t="s">
        <v>2747</v>
      </c>
      <c r="D1227" t="s">
        <v>756</v>
      </c>
      <c r="E1227">
        <v>55722465</v>
      </c>
      <c r="F1227">
        <v>60263195</v>
      </c>
      <c r="G1227">
        <v>41948000</v>
      </c>
      <c r="H1227">
        <v>-6530300</v>
      </c>
      <c r="P1227">
        <v>41</v>
      </c>
      <c r="Q1227" t="s">
        <v>2748</v>
      </c>
    </row>
    <row r="1228" spans="1:17" x14ac:dyDescent="0.3">
      <c r="A1228" t="s">
        <v>33</v>
      </c>
      <c r="B1228" t="str">
        <f>"002823"</f>
        <v>002823</v>
      </c>
      <c r="C1228" t="s">
        <v>2749</v>
      </c>
      <c r="D1228" t="s">
        <v>1091</v>
      </c>
      <c r="E1228">
        <v>55604991</v>
      </c>
      <c r="F1228">
        <v>-65269277</v>
      </c>
      <c r="G1228">
        <v>54038138</v>
      </c>
      <c r="H1228">
        <v>29598775</v>
      </c>
      <c r="I1228">
        <v>22855041</v>
      </c>
      <c r="J1228">
        <v>32588332</v>
      </c>
      <c r="K1228">
        <v>27609923</v>
      </c>
      <c r="P1228">
        <v>158</v>
      </c>
      <c r="Q1228" t="s">
        <v>2750</v>
      </c>
    </row>
    <row r="1229" spans="1:17" x14ac:dyDescent="0.3">
      <c r="A1229" t="s">
        <v>33</v>
      </c>
      <c r="B1229" t="str">
        <f>"300357"</f>
        <v>300357</v>
      </c>
      <c r="C1229" t="s">
        <v>2751</v>
      </c>
      <c r="D1229" t="s">
        <v>756</v>
      </c>
      <c r="E1229">
        <v>55592479</v>
      </c>
      <c r="F1229">
        <v>99954766</v>
      </c>
      <c r="G1229">
        <v>67719779</v>
      </c>
      <c r="H1229">
        <v>48377037</v>
      </c>
      <c r="I1229">
        <v>57417598</v>
      </c>
      <c r="J1229">
        <v>38578340</v>
      </c>
      <c r="K1229">
        <v>33514659</v>
      </c>
      <c r="L1229">
        <v>26966542</v>
      </c>
      <c r="M1229">
        <v>9442208</v>
      </c>
      <c r="N1229">
        <v>8509580</v>
      </c>
      <c r="P1229">
        <v>31270</v>
      </c>
      <c r="Q1229" t="s">
        <v>2752</v>
      </c>
    </row>
    <row r="1230" spans="1:17" x14ac:dyDescent="0.3">
      <c r="A1230" t="s">
        <v>17</v>
      </c>
      <c r="B1230" t="str">
        <f>"603439"</f>
        <v>603439</v>
      </c>
      <c r="C1230" t="s">
        <v>2753</v>
      </c>
      <c r="D1230" t="s">
        <v>533</v>
      </c>
      <c r="E1230">
        <v>55434729</v>
      </c>
      <c r="F1230">
        <v>28834795</v>
      </c>
      <c r="G1230">
        <v>-8681071</v>
      </c>
      <c r="P1230">
        <v>293</v>
      </c>
      <c r="Q1230" t="s">
        <v>2754</v>
      </c>
    </row>
    <row r="1231" spans="1:17" x14ac:dyDescent="0.3">
      <c r="A1231" t="s">
        <v>17</v>
      </c>
      <c r="B1231" t="str">
        <f>"603489"</f>
        <v>603489</v>
      </c>
      <c r="C1231" t="s">
        <v>2755</v>
      </c>
      <c r="D1231" t="s">
        <v>1091</v>
      </c>
      <c r="E1231">
        <v>55298480</v>
      </c>
      <c r="F1231">
        <v>53471527</v>
      </c>
      <c r="G1231">
        <v>42006107</v>
      </c>
      <c r="H1231">
        <v>24756099</v>
      </c>
      <c r="P1231">
        <v>490</v>
      </c>
      <c r="Q1231" t="s">
        <v>2756</v>
      </c>
    </row>
    <row r="1232" spans="1:17" x14ac:dyDescent="0.3">
      <c r="A1232" t="s">
        <v>33</v>
      </c>
      <c r="B1232" t="str">
        <f>"002397"</f>
        <v>002397</v>
      </c>
      <c r="C1232" t="s">
        <v>2757</v>
      </c>
      <c r="D1232" t="s">
        <v>2758</v>
      </c>
      <c r="E1232">
        <v>54833515</v>
      </c>
      <c r="F1232">
        <v>-45022661</v>
      </c>
      <c r="G1232">
        <v>103609700</v>
      </c>
      <c r="H1232">
        <v>104316602</v>
      </c>
      <c r="I1232">
        <v>-22009569</v>
      </c>
      <c r="J1232">
        <v>-84398536</v>
      </c>
      <c r="K1232">
        <v>-103638496</v>
      </c>
      <c r="L1232">
        <v>-69865350</v>
      </c>
      <c r="M1232">
        <v>-35454125</v>
      </c>
      <c r="N1232">
        <v>-5745157</v>
      </c>
      <c r="O1232">
        <v>-92225137</v>
      </c>
      <c r="P1232">
        <v>109</v>
      </c>
      <c r="Q1232" t="s">
        <v>2759</v>
      </c>
    </row>
    <row r="1233" spans="1:17" x14ac:dyDescent="0.3">
      <c r="A1233" t="s">
        <v>33</v>
      </c>
      <c r="B1233" t="str">
        <f>"000659"</f>
        <v>000659</v>
      </c>
      <c r="C1233" t="s">
        <v>2760</v>
      </c>
      <c r="D1233" t="s">
        <v>1609</v>
      </c>
      <c r="E1233">
        <v>54691692</v>
      </c>
      <c r="F1233">
        <v>34979789</v>
      </c>
      <c r="G1233">
        <v>10550682</v>
      </c>
      <c r="H1233">
        <v>12582427</v>
      </c>
      <c r="I1233">
        <v>24390655</v>
      </c>
      <c r="J1233">
        <v>35019939</v>
      </c>
      <c r="K1233">
        <v>47499932</v>
      </c>
      <c r="L1233">
        <v>38879032</v>
      </c>
      <c r="M1233">
        <v>114701680</v>
      </c>
      <c r="N1233">
        <v>-31035534</v>
      </c>
      <c r="O1233">
        <v>41863353</v>
      </c>
      <c r="P1233">
        <v>77</v>
      </c>
      <c r="Q1233" t="s">
        <v>2761</v>
      </c>
    </row>
    <row r="1234" spans="1:17" x14ac:dyDescent="0.3">
      <c r="A1234" t="s">
        <v>33</v>
      </c>
      <c r="B1234" t="str">
        <f>"300121"</f>
        <v>300121</v>
      </c>
      <c r="C1234" t="s">
        <v>2762</v>
      </c>
      <c r="D1234" t="s">
        <v>2664</v>
      </c>
      <c r="E1234">
        <v>54473093</v>
      </c>
      <c r="F1234">
        <v>38342083</v>
      </c>
      <c r="G1234">
        <v>89569013</v>
      </c>
      <c r="H1234">
        <v>51095558</v>
      </c>
      <c r="I1234">
        <v>-32056373</v>
      </c>
      <c r="J1234">
        <v>25430401</v>
      </c>
      <c r="K1234">
        <v>47733154</v>
      </c>
      <c r="L1234">
        <v>-85179</v>
      </c>
      <c r="M1234">
        <v>9537995</v>
      </c>
      <c r="N1234">
        <v>-19910475</v>
      </c>
      <c r="O1234">
        <v>-27743547</v>
      </c>
      <c r="P1234">
        <v>353</v>
      </c>
      <c r="Q1234" t="s">
        <v>2763</v>
      </c>
    </row>
    <row r="1235" spans="1:17" x14ac:dyDescent="0.3">
      <c r="A1235" t="s">
        <v>33</v>
      </c>
      <c r="B1235" t="str">
        <f>"002768"</f>
        <v>002768</v>
      </c>
      <c r="C1235" t="s">
        <v>2764</v>
      </c>
      <c r="D1235" t="s">
        <v>1556</v>
      </c>
      <c r="E1235">
        <v>54467203</v>
      </c>
      <c r="F1235">
        <v>66765176</v>
      </c>
      <c r="G1235">
        <v>-86882640</v>
      </c>
      <c r="H1235">
        <v>-249137563</v>
      </c>
      <c r="I1235">
        <v>-174677450</v>
      </c>
      <c r="J1235">
        <v>-94548276</v>
      </c>
      <c r="K1235">
        <v>-53316618</v>
      </c>
      <c r="L1235">
        <v>-52009900</v>
      </c>
      <c r="M1235">
        <v>-32349200</v>
      </c>
      <c r="P1235">
        <v>595</v>
      </c>
      <c r="Q1235" t="s">
        <v>2765</v>
      </c>
    </row>
    <row r="1236" spans="1:17" x14ac:dyDescent="0.3">
      <c r="A1236" t="s">
        <v>33</v>
      </c>
      <c r="B1236" t="str">
        <f>"002913"</f>
        <v>002913</v>
      </c>
      <c r="C1236" t="s">
        <v>2766</v>
      </c>
      <c r="D1236" t="s">
        <v>239</v>
      </c>
      <c r="E1236">
        <v>54427469</v>
      </c>
      <c r="F1236">
        <v>39031164</v>
      </c>
      <c r="G1236">
        <v>81715417</v>
      </c>
      <c r="H1236">
        <v>194234225</v>
      </c>
      <c r="I1236">
        <v>62630922</v>
      </c>
      <c r="J1236">
        <v>43365195</v>
      </c>
      <c r="P1236">
        <v>205</v>
      </c>
      <c r="Q1236" t="s">
        <v>2767</v>
      </c>
    </row>
    <row r="1237" spans="1:17" x14ac:dyDescent="0.3">
      <c r="A1237" t="s">
        <v>17</v>
      </c>
      <c r="B1237" t="str">
        <f>"603600"</f>
        <v>603600</v>
      </c>
      <c r="C1237" t="s">
        <v>2768</v>
      </c>
      <c r="D1237" t="s">
        <v>664</v>
      </c>
      <c r="E1237">
        <v>54331987</v>
      </c>
      <c r="F1237">
        <v>18157791</v>
      </c>
      <c r="G1237">
        <v>20063763</v>
      </c>
      <c r="H1237">
        <v>52001317</v>
      </c>
      <c r="I1237">
        <v>-49579618</v>
      </c>
      <c r="J1237">
        <v>18946076</v>
      </c>
      <c r="K1237">
        <v>30917991</v>
      </c>
      <c r="L1237">
        <v>-12789674</v>
      </c>
      <c r="M1237">
        <v>-27529442</v>
      </c>
      <c r="P1237">
        <v>290</v>
      </c>
      <c r="Q1237" t="s">
        <v>2769</v>
      </c>
    </row>
    <row r="1238" spans="1:17" x14ac:dyDescent="0.3">
      <c r="A1238" t="s">
        <v>17</v>
      </c>
      <c r="B1238" t="str">
        <f>"601566"</f>
        <v>601566</v>
      </c>
      <c r="C1238" t="s">
        <v>2770</v>
      </c>
      <c r="D1238" t="s">
        <v>581</v>
      </c>
      <c r="E1238">
        <v>54283200</v>
      </c>
      <c r="F1238">
        <v>145090771</v>
      </c>
      <c r="G1238">
        <v>108140231</v>
      </c>
      <c r="H1238">
        <v>102491900</v>
      </c>
      <c r="I1238">
        <v>214974396</v>
      </c>
      <c r="J1238">
        <v>212256536</v>
      </c>
      <c r="K1238">
        <v>179108291</v>
      </c>
      <c r="L1238">
        <v>252143729</v>
      </c>
      <c r="M1238">
        <v>175969512</v>
      </c>
      <c r="N1238">
        <v>192431492</v>
      </c>
      <c r="O1238">
        <v>126424559</v>
      </c>
      <c r="P1238">
        <v>426</v>
      </c>
      <c r="Q1238" t="s">
        <v>2771</v>
      </c>
    </row>
    <row r="1239" spans="1:17" x14ac:dyDescent="0.3">
      <c r="A1239" t="s">
        <v>17</v>
      </c>
      <c r="B1239" t="str">
        <f>"603006"</f>
        <v>603006</v>
      </c>
      <c r="C1239" t="s">
        <v>2772</v>
      </c>
      <c r="D1239" t="s">
        <v>1419</v>
      </c>
      <c r="E1239">
        <v>54207924</v>
      </c>
      <c r="F1239">
        <v>91242646</v>
      </c>
      <c r="G1239">
        <v>52176828</v>
      </c>
      <c r="H1239">
        <v>18829520</v>
      </c>
      <c r="I1239">
        <v>48648049</v>
      </c>
      <c r="J1239">
        <v>7452913</v>
      </c>
      <c r="K1239">
        <v>58503082</v>
      </c>
      <c r="L1239">
        <v>9143116</v>
      </c>
      <c r="M1239">
        <v>5575119</v>
      </c>
      <c r="N1239">
        <v>-8346482</v>
      </c>
      <c r="P1239">
        <v>106</v>
      </c>
      <c r="Q1239" t="s">
        <v>2773</v>
      </c>
    </row>
    <row r="1240" spans="1:17" x14ac:dyDescent="0.3">
      <c r="A1240" t="s">
        <v>33</v>
      </c>
      <c r="B1240" t="str">
        <f>"301113"</f>
        <v>301113</v>
      </c>
      <c r="C1240" t="s">
        <v>2774</v>
      </c>
      <c r="D1240" t="s">
        <v>927</v>
      </c>
      <c r="E1240">
        <v>54187064</v>
      </c>
      <c r="P1240">
        <v>27</v>
      </c>
      <c r="Q1240" t="s">
        <v>2775</v>
      </c>
    </row>
    <row r="1241" spans="1:17" x14ac:dyDescent="0.3">
      <c r="A1241" t="s">
        <v>33</v>
      </c>
      <c r="B1241" t="str">
        <f>"002578"</f>
        <v>002578</v>
      </c>
      <c r="C1241" t="s">
        <v>2776</v>
      </c>
      <c r="D1241" t="s">
        <v>140</v>
      </c>
      <c r="E1241">
        <v>54177633</v>
      </c>
      <c r="F1241">
        <v>-28546852</v>
      </c>
      <c r="G1241">
        <v>7565562</v>
      </c>
      <c r="H1241">
        <v>122699832</v>
      </c>
      <c r="I1241">
        <v>39999078</v>
      </c>
      <c r="J1241">
        <v>52211162</v>
      </c>
      <c r="K1241">
        <v>39851080</v>
      </c>
      <c r="L1241">
        <v>-50830653</v>
      </c>
      <c r="M1241">
        <v>6552336</v>
      </c>
      <c r="N1241">
        <v>-14945002</v>
      </c>
      <c r="O1241">
        <v>-9638547</v>
      </c>
      <c r="P1241">
        <v>91</v>
      </c>
      <c r="Q1241" t="s">
        <v>2777</v>
      </c>
    </row>
    <row r="1242" spans="1:17" x14ac:dyDescent="0.3">
      <c r="A1242" t="s">
        <v>33</v>
      </c>
      <c r="B1242" t="str">
        <f>"301196"</f>
        <v>301196</v>
      </c>
      <c r="C1242" t="s">
        <v>2778</v>
      </c>
      <c r="D1242" t="s">
        <v>1483</v>
      </c>
      <c r="E1242">
        <v>54005074</v>
      </c>
      <c r="P1242">
        <v>7</v>
      </c>
      <c r="Q1242" t="s">
        <v>2779</v>
      </c>
    </row>
    <row r="1243" spans="1:17" x14ac:dyDescent="0.3">
      <c r="A1243" t="s">
        <v>33</v>
      </c>
      <c r="B1243" t="str">
        <f>"002360"</f>
        <v>002360</v>
      </c>
      <c r="C1243" t="s">
        <v>2780</v>
      </c>
      <c r="D1243" t="s">
        <v>1474</v>
      </c>
      <c r="E1243">
        <v>53963804</v>
      </c>
      <c r="F1243">
        <v>14577997</v>
      </c>
      <c r="G1243">
        <v>-10272533</v>
      </c>
      <c r="H1243">
        <v>-19074851</v>
      </c>
      <c r="I1243">
        <v>-11803364</v>
      </c>
      <c r="J1243">
        <v>8529267</v>
      </c>
      <c r="K1243">
        <v>-13053400</v>
      </c>
      <c r="L1243">
        <v>-9729674</v>
      </c>
      <c r="M1243">
        <v>-7160378</v>
      </c>
      <c r="N1243">
        <v>-30656196</v>
      </c>
      <c r="O1243">
        <v>16396618</v>
      </c>
      <c r="P1243">
        <v>111</v>
      </c>
      <c r="Q1243" t="s">
        <v>2781</v>
      </c>
    </row>
    <row r="1244" spans="1:17" x14ac:dyDescent="0.3">
      <c r="A1244" t="s">
        <v>17</v>
      </c>
      <c r="B1244" t="str">
        <f>"600577"</f>
        <v>600577</v>
      </c>
      <c r="C1244" t="s">
        <v>2782</v>
      </c>
      <c r="D1244" t="s">
        <v>1282</v>
      </c>
      <c r="E1244">
        <v>53863488</v>
      </c>
      <c r="F1244">
        <v>-245826575</v>
      </c>
      <c r="G1244">
        <v>-38252024</v>
      </c>
      <c r="H1244">
        <v>67278875</v>
      </c>
      <c r="I1244">
        <v>-22267943</v>
      </c>
      <c r="J1244">
        <v>-98014407</v>
      </c>
      <c r="K1244">
        <v>46048800</v>
      </c>
      <c r="L1244">
        <v>22398853</v>
      </c>
      <c r="M1244">
        <v>87361965</v>
      </c>
      <c r="N1244">
        <v>214321644</v>
      </c>
      <c r="O1244">
        <v>157888771</v>
      </c>
      <c r="P1244">
        <v>247</v>
      </c>
      <c r="Q1244" t="s">
        <v>2783</v>
      </c>
    </row>
    <row r="1245" spans="1:17" x14ac:dyDescent="0.3">
      <c r="A1245" t="s">
        <v>33</v>
      </c>
      <c r="B1245" t="str">
        <f>"300970"</f>
        <v>300970</v>
      </c>
      <c r="C1245" t="s">
        <v>2784</v>
      </c>
      <c r="D1245" t="s">
        <v>1840</v>
      </c>
      <c r="E1245">
        <v>53725957</v>
      </c>
      <c r="F1245">
        <v>9220734</v>
      </c>
      <c r="G1245">
        <v>80158179</v>
      </c>
      <c r="P1245">
        <v>25</v>
      </c>
      <c r="Q1245" t="s">
        <v>2785</v>
      </c>
    </row>
    <row r="1246" spans="1:17" x14ac:dyDescent="0.3">
      <c r="A1246" t="s">
        <v>33</v>
      </c>
      <c r="B1246" t="str">
        <f>"002075"</f>
        <v>002075</v>
      </c>
      <c r="C1246" t="s">
        <v>2786</v>
      </c>
      <c r="D1246" t="s">
        <v>253</v>
      </c>
      <c r="E1246">
        <v>53695422</v>
      </c>
      <c r="F1246">
        <v>183085406</v>
      </c>
      <c r="G1246">
        <v>202890523</v>
      </c>
      <c r="H1246">
        <v>208735136</v>
      </c>
      <c r="I1246">
        <v>268023085</v>
      </c>
      <c r="J1246">
        <v>426577459</v>
      </c>
      <c r="K1246">
        <v>178106153</v>
      </c>
      <c r="L1246">
        <v>154149960</v>
      </c>
      <c r="M1246">
        <v>99256058</v>
      </c>
      <c r="N1246">
        <v>477137730</v>
      </c>
      <c r="O1246">
        <v>89588961</v>
      </c>
      <c r="P1246">
        <v>281</v>
      </c>
      <c r="Q1246" t="s">
        <v>2787</v>
      </c>
    </row>
    <row r="1247" spans="1:17" x14ac:dyDescent="0.3">
      <c r="A1247" t="s">
        <v>33</v>
      </c>
      <c r="B1247" t="str">
        <f>"300442"</f>
        <v>300442</v>
      </c>
      <c r="C1247" t="s">
        <v>2788</v>
      </c>
      <c r="D1247" t="s">
        <v>2269</v>
      </c>
      <c r="E1247">
        <v>53614699</v>
      </c>
      <c r="F1247">
        <v>4305644</v>
      </c>
      <c r="G1247">
        <v>-20675272</v>
      </c>
      <c r="H1247">
        <v>-73727568</v>
      </c>
      <c r="I1247">
        <v>-50512873</v>
      </c>
      <c r="J1247">
        <v>-3225968</v>
      </c>
      <c r="K1247">
        <v>-47164062</v>
      </c>
      <c r="L1247">
        <v>-32846747</v>
      </c>
      <c r="M1247">
        <v>-24197207</v>
      </c>
      <c r="P1247">
        <v>66</v>
      </c>
      <c r="Q1247" t="s">
        <v>2789</v>
      </c>
    </row>
    <row r="1248" spans="1:17" x14ac:dyDescent="0.3">
      <c r="A1248" t="s">
        <v>17</v>
      </c>
      <c r="B1248" t="str">
        <f>"603595"</f>
        <v>603595</v>
      </c>
      <c r="C1248" t="s">
        <v>2790</v>
      </c>
      <c r="D1248" t="s">
        <v>226</v>
      </c>
      <c r="E1248">
        <v>53487219</v>
      </c>
      <c r="F1248">
        <v>80844642</v>
      </c>
      <c r="G1248">
        <v>114786624</v>
      </c>
      <c r="H1248">
        <v>7769268</v>
      </c>
      <c r="I1248">
        <v>-25966524</v>
      </c>
      <c r="J1248">
        <v>23590682</v>
      </c>
      <c r="K1248">
        <v>51414925</v>
      </c>
      <c r="P1248">
        <v>184</v>
      </c>
      <c r="Q1248" t="s">
        <v>2791</v>
      </c>
    </row>
    <row r="1249" spans="1:17" x14ac:dyDescent="0.3">
      <c r="A1249" t="s">
        <v>33</v>
      </c>
      <c r="B1249" t="str">
        <f>"002628"</f>
        <v>002628</v>
      </c>
      <c r="C1249" t="s">
        <v>2792</v>
      </c>
      <c r="D1249" t="s">
        <v>1527</v>
      </c>
      <c r="E1249">
        <v>53315658</v>
      </c>
      <c r="F1249">
        <v>-289896913</v>
      </c>
      <c r="G1249">
        <v>-291550244</v>
      </c>
      <c r="H1249">
        <v>-221427434</v>
      </c>
      <c r="I1249">
        <v>20515979</v>
      </c>
      <c r="J1249">
        <v>22544472</v>
      </c>
      <c r="K1249">
        <v>-11410111</v>
      </c>
      <c r="L1249">
        <v>-130636663</v>
      </c>
      <c r="M1249">
        <v>-249688989</v>
      </c>
      <c r="N1249">
        <v>-444260868</v>
      </c>
      <c r="O1249">
        <v>-159974132</v>
      </c>
      <c r="P1249">
        <v>91</v>
      </c>
      <c r="Q1249" t="s">
        <v>2793</v>
      </c>
    </row>
    <row r="1250" spans="1:17" x14ac:dyDescent="0.3">
      <c r="A1250" t="s">
        <v>33</v>
      </c>
      <c r="B1250" t="str">
        <f>"000509"</f>
        <v>000509</v>
      </c>
      <c r="C1250" t="s">
        <v>2794</v>
      </c>
      <c r="D1250" t="s">
        <v>520</v>
      </c>
      <c r="E1250">
        <v>53289521</v>
      </c>
      <c r="F1250">
        <v>-37555044</v>
      </c>
      <c r="G1250">
        <v>5755499</v>
      </c>
      <c r="H1250">
        <v>-1520010</v>
      </c>
      <c r="I1250">
        <v>-14072756</v>
      </c>
      <c r="J1250">
        <v>-13587145</v>
      </c>
      <c r="K1250">
        <v>-33118344</v>
      </c>
      <c r="L1250">
        <v>-16037898</v>
      </c>
      <c r="M1250">
        <v>-18875339</v>
      </c>
      <c r="N1250">
        <v>-2466082</v>
      </c>
      <c r="O1250">
        <v>6566978</v>
      </c>
      <c r="P1250">
        <v>84</v>
      </c>
      <c r="Q1250" t="s">
        <v>2795</v>
      </c>
    </row>
    <row r="1251" spans="1:17" x14ac:dyDescent="0.3">
      <c r="A1251" t="s">
        <v>17</v>
      </c>
      <c r="B1251" t="str">
        <f>"601058"</f>
        <v>601058</v>
      </c>
      <c r="C1251" t="s">
        <v>2796</v>
      </c>
      <c r="D1251" t="s">
        <v>1618</v>
      </c>
      <c r="E1251">
        <v>53199460</v>
      </c>
      <c r="F1251">
        <v>256417978</v>
      </c>
      <c r="G1251">
        <v>215071478</v>
      </c>
      <c r="H1251">
        <v>664810867</v>
      </c>
      <c r="I1251">
        <v>-85509905</v>
      </c>
      <c r="J1251">
        <v>-471939338</v>
      </c>
      <c r="K1251">
        <v>536547348</v>
      </c>
      <c r="L1251">
        <v>127626183</v>
      </c>
      <c r="M1251">
        <v>473283322</v>
      </c>
      <c r="N1251">
        <v>-123781478</v>
      </c>
      <c r="O1251">
        <v>74037140</v>
      </c>
      <c r="P1251">
        <v>589</v>
      </c>
      <c r="Q1251" t="s">
        <v>2797</v>
      </c>
    </row>
    <row r="1252" spans="1:17" x14ac:dyDescent="0.3">
      <c r="A1252" t="s">
        <v>17</v>
      </c>
      <c r="B1252" t="str">
        <f>"600933"</f>
        <v>600933</v>
      </c>
      <c r="C1252" t="s">
        <v>2798</v>
      </c>
      <c r="D1252" t="s">
        <v>858</v>
      </c>
      <c r="E1252">
        <v>53134168</v>
      </c>
      <c r="F1252">
        <v>38240919</v>
      </c>
      <c r="G1252">
        <v>245153041</v>
      </c>
      <c r="H1252">
        <v>203204959</v>
      </c>
      <c r="I1252">
        <v>94950039</v>
      </c>
      <c r="J1252">
        <v>98470392</v>
      </c>
      <c r="P1252">
        <v>176</v>
      </c>
      <c r="Q1252" t="s">
        <v>2799</v>
      </c>
    </row>
    <row r="1253" spans="1:17" x14ac:dyDescent="0.3">
      <c r="A1253" t="s">
        <v>33</v>
      </c>
      <c r="B1253" t="str">
        <f>"002232"</f>
        <v>002232</v>
      </c>
      <c r="C1253" t="s">
        <v>2800</v>
      </c>
      <c r="D1253" t="s">
        <v>508</v>
      </c>
      <c r="E1253">
        <v>53070676</v>
      </c>
      <c r="F1253">
        <v>-27386779</v>
      </c>
      <c r="G1253">
        <v>-113341413</v>
      </c>
      <c r="H1253">
        <v>34178003</v>
      </c>
      <c r="I1253">
        <v>-120555414</v>
      </c>
      <c r="J1253">
        <v>-98656757</v>
      </c>
      <c r="K1253">
        <v>-87672251</v>
      </c>
      <c r="L1253">
        <v>-16455798</v>
      </c>
      <c r="M1253">
        <v>-77949286</v>
      </c>
      <c r="N1253">
        <v>-79718190</v>
      </c>
      <c r="O1253">
        <v>-49796776</v>
      </c>
      <c r="P1253">
        <v>247</v>
      </c>
      <c r="Q1253" t="s">
        <v>2801</v>
      </c>
    </row>
    <row r="1254" spans="1:17" x14ac:dyDescent="0.3">
      <c r="A1254" t="s">
        <v>33</v>
      </c>
      <c r="B1254" t="str">
        <f>"002570"</f>
        <v>002570</v>
      </c>
      <c r="C1254" t="s">
        <v>2802</v>
      </c>
      <c r="D1254" t="s">
        <v>918</v>
      </c>
      <c r="E1254">
        <v>52895828</v>
      </c>
      <c r="F1254">
        <v>21588203</v>
      </c>
      <c r="G1254">
        <v>3349282</v>
      </c>
      <c r="H1254">
        <v>-53412578</v>
      </c>
      <c r="I1254">
        <v>-10698705</v>
      </c>
      <c r="J1254">
        <v>134782981</v>
      </c>
      <c r="K1254">
        <v>-18041798</v>
      </c>
      <c r="L1254">
        <v>-259528911</v>
      </c>
      <c r="M1254">
        <v>-219624723</v>
      </c>
      <c r="N1254">
        <v>426675689</v>
      </c>
      <c r="O1254">
        <v>358390832</v>
      </c>
      <c r="P1254">
        <v>261</v>
      </c>
      <c r="Q1254" t="s">
        <v>2803</v>
      </c>
    </row>
    <row r="1255" spans="1:17" x14ac:dyDescent="0.3">
      <c r="A1255" t="s">
        <v>33</v>
      </c>
      <c r="B1255" t="str">
        <f>"300692"</f>
        <v>300692</v>
      </c>
      <c r="C1255" t="s">
        <v>2804</v>
      </c>
      <c r="D1255" t="s">
        <v>932</v>
      </c>
      <c r="E1255">
        <v>52676475</v>
      </c>
      <c r="F1255">
        <v>-32686601</v>
      </c>
      <c r="G1255">
        <v>-86831678</v>
      </c>
      <c r="H1255">
        <v>-33676632</v>
      </c>
      <c r="I1255">
        <v>-51890784</v>
      </c>
      <c r="J1255">
        <v>-41313194</v>
      </c>
      <c r="P1255">
        <v>162</v>
      </c>
      <c r="Q1255" t="s">
        <v>2805</v>
      </c>
    </row>
    <row r="1256" spans="1:17" x14ac:dyDescent="0.3">
      <c r="A1256" t="s">
        <v>17</v>
      </c>
      <c r="B1256" t="str">
        <f>"603538"</f>
        <v>603538</v>
      </c>
      <c r="C1256" t="s">
        <v>2806</v>
      </c>
      <c r="D1256" t="s">
        <v>941</v>
      </c>
      <c r="E1256">
        <v>52664102</v>
      </c>
      <c r="F1256">
        <v>-18738768</v>
      </c>
      <c r="G1256">
        <v>96708027</v>
      </c>
      <c r="H1256">
        <v>82214776</v>
      </c>
      <c r="I1256">
        <v>-12099934</v>
      </c>
      <c r="J1256">
        <v>29152127</v>
      </c>
      <c r="K1256">
        <v>-3509461</v>
      </c>
      <c r="P1256">
        <v>265</v>
      </c>
      <c r="Q1256" t="s">
        <v>2807</v>
      </c>
    </row>
    <row r="1257" spans="1:17" x14ac:dyDescent="0.3">
      <c r="A1257" t="s">
        <v>17</v>
      </c>
      <c r="B1257" t="str">
        <f>"600594"</f>
        <v>600594</v>
      </c>
      <c r="C1257" t="s">
        <v>2808</v>
      </c>
      <c r="D1257" t="s">
        <v>533</v>
      </c>
      <c r="E1257">
        <v>52616989</v>
      </c>
      <c r="F1257">
        <v>412834296</v>
      </c>
      <c r="G1257">
        <v>204737882</v>
      </c>
      <c r="H1257">
        <v>164776411</v>
      </c>
      <c r="I1257">
        <v>-154209766</v>
      </c>
      <c r="J1257">
        <v>298100171</v>
      </c>
      <c r="K1257">
        <v>208217999</v>
      </c>
      <c r="L1257">
        <v>11175110</v>
      </c>
      <c r="M1257">
        <v>193917056</v>
      </c>
      <c r="N1257">
        <v>197400542</v>
      </c>
      <c r="O1257">
        <v>149843719</v>
      </c>
      <c r="P1257">
        <v>312</v>
      </c>
      <c r="Q1257" t="s">
        <v>2809</v>
      </c>
    </row>
    <row r="1258" spans="1:17" x14ac:dyDescent="0.3">
      <c r="A1258" t="s">
        <v>17</v>
      </c>
      <c r="B1258" t="str">
        <f>"605369"</f>
        <v>605369</v>
      </c>
      <c r="C1258" t="s">
        <v>2810</v>
      </c>
      <c r="D1258" t="s">
        <v>903</v>
      </c>
      <c r="E1258">
        <v>52384649</v>
      </c>
      <c r="F1258">
        <v>74968445</v>
      </c>
      <c r="G1258">
        <v>12977822</v>
      </c>
      <c r="P1258">
        <v>177</v>
      </c>
      <c r="Q1258" t="s">
        <v>2811</v>
      </c>
    </row>
    <row r="1259" spans="1:17" x14ac:dyDescent="0.3">
      <c r="A1259" t="s">
        <v>33</v>
      </c>
      <c r="B1259" t="str">
        <f>"300099"</f>
        <v>300099</v>
      </c>
      <c r="C1259" t="s">
        <v>2812</v>
      </c>
      <c r="D1259" t="s">
        <v>1132</v>
      </c>
      <c r="E1259">
        <v>52243302</v>
      </c>
      <c r="F1259">
        <v>25769551</v>
      </c>
      <c r="G1259">
        <v>8104335</v>
      </c>
      <c r="H1259">
        <v>17596256</v>
      </c>
      <c r="I1259">
        <v>-48119224</v>
      </c>
      <c r="J1259">
        <v>-15393170</v>
      </c>
      <c r="K1259">
        <v>-13938515</v>
      </c>
      <c r="L1259">
        <v>-1475319</v>
      </c>
      <c r="M1259">
        <v>-6755397</v>
      </c>
      <c r="N1259">
        <v>9012312</v>
      </c>
      <c r="O1259">
        <v>6124508</v>
      </c>
      <c r="P1259">
        <v>134</v>
      </c>
      <c r="Q1259" t="s">
        <v>2813</v>
      </c>
    </row>
    <row r="1260" spans="1:17" x14ac:dyDescent="0.3">
      <c r="A1260" t="s">
        <v>17</v>
      </c>
      <c r="B1260" t="str">
        <f>"603922"</f>
        <v>603922</v>
      </c>
      <c r="C1260" t="s">
        <v>2814</v>
      </c>
      <c r="D1260" t="s">
        <v>1419</v>
      </c>
      <c r="E1260">
        <v>52112204</v>
      </c>
      <c r="F1260">
        <v>24131435</v>
      </c>
      <c r="G1260">
        <v>96067955</v>
      </c>
      <c r="H1260">
        <v>17239830</v>
      </c>
      <c r="I1260">
        <v>-72366472</v>
      </c>
      <c r="J1260">
        <v>-14630902</v>
      </c>
      <c r="P1260">
        <v>54</v>
      </c>
      <c r="Q1260" t="s">
        <v>2815</v>
      </c>
    </row>
    <row r="1261" spans="1:17" x14ac:dyDescent="0.3">
      <c r="A1261" t="s">
        <v>33</v>
      </c>
      <c r="B1261" t="str">
        <f>"300633"</f>
        <v>300633</v>
      </c>
      <c r="C1261" t="s">
        <v>2816</v>
      </c>
      <c r="D1261" t="s">
        <v>111</v>
      </c>
      <c r="E1261">
        <v>52021509</v>
      </c>
      <c r="F1261">
        <v>-921952</v>
      </c>
      <c r="G1261">
        <v>-77634033</v>
      </c>
      <c r="H1261">
        <v>-40350241</v>
      </c>
      <c r="I1261">
        <v>-36299858</v>
      </c>
      <c r="J1261">
        <v>3094213</v>
      </c>
      <c r="K1261">
        <v>-16644347</v>
      </c>
      <c r="P1261">
        <v>515</v>
      </c>
      <c r="Q1261" t="s">
        <v>2817</v>
      </c>
    </row>
    <row r="1262" spans="1:17" x14ac:dyDescent="0.3">
      <c r="A1262" t="s">
        <v>17</v>
      </c>
      <c r="B1262" t="str">
        <f>"603005"</f>
        <v>603005</v>
      </c>
      <c r="C1262" t="s">
        <v>2818</v>
      </c>
      <c r="D1262" t="s">
        <v>370</v>
      </c>
      <c r="E1262">
        <v>51405947</v>
      </c>
      <c r="F1262">
        <v>140933004</v>
      </c>
      <c r="G1262">
        <v>83612318</v>
      </c>
      <c r="H1262">
        <v>34404188</v>
      </c>
      <c r="I1262">
        <v>8954111</v>
      </c>
      <c r="J1262">
        <v>77089950</v>
      </c>
      <c r="K1262">
        <v>20058233</v>
      </c>
      <c r="L1262">
        <v>62765125</v>
      </c>
      <c r="M1262">
        <v>67847884</v>
      </c>
      <c r="N1262">
        <v>45481488</v>
      </c>
      <c r="P1262">
        <v>3661</v>
      </c>
      <c r="Q1262" t="s">
        <v>2819</v>
      </c>
    </row>
    <row r="1263" spans="1:17" x14ac:dyDescent="0.3">
      <c r="A1263" t="s">
        <v>33</v>
      </c>
      <c r="B1263" t="str">
        <f>"002126"</f>
        <v>002126</v>
      </c>
      <c r="C1263" t="s">
        <v>2820</v>
      </c>
      <c r="D1263" t="s">
        <v>858</v>
      </c>
      <c r="E1263">
        <v>51277125</v>
      </c>
      <c r="F1263">
        <v>-30934027</v>
      </c>
      <c r="G1263">
        <v>-92851644</v>
      </c>
      <c r="H1263">
        <v>-5475532</v>
      </c>
      <c r="I1263">
        <v>36669743</v>
      </c>
      <c r="J1263">
        <v>20243608</v>
      </c>
      <c r="K1263">
        <v>16454492</v>
      </c>
      <c r="L1263">
        <v>15129666</v>
      </c>
      <c r="M1263">
        <v>16447471</v>
      </c>
      <c r="N1263">
        <v>13431033</v>
      </c>
      <c r="O1263">
        <v>-18445420</v>
      </c>
      <c r="P1263">
        <v>450</v>
      </c>
      <c r="Q1263" t="s">
        <v>2821</v>
      </c>
    </row>
    <row r="1264" spans="1:17" x14ac:dyDescent="0.3">
      <c r="A1264" t="s">
        <v>33</v>
      </c>
      <c r="B1264" t="str">
        <f>"300130"</f>
        <v>300130</v>
      </c>
      <c r="C1264" t="s">
        <v>2822</v>
      </c>
      <c r="D1264" t="s">
        <v>1571</v>
      </c>
      <c r="E1264">
        <v>50895078</v>
      </c>
      <c r="F1264">
        <v>80489320</v>
      </c>
      <c r="G1264">
        <v>103022713</v>
      </c>
      <c r="H1264">
        <v>-4011197</v>
      </c>
      <c r="I1264">
        <v>-38632127</v>
      </c>
      <c r="J1264">
        <v>-77204412</v>
      </c>
      <c r="K1264">
        <v>-125215193</v>
      </c>
      <c r="L1264">
        <v>-72896606</v>
      </c>
      <c r="M1264">
        <v>-72890376</v>
      </c>
      <c r="N1264">
        <v>-68444289</v>
      </c>
      <c r="O1264">
        <v>-95926829</v>
      </c>
      <c r="P1264">
        <v>202</v>
      </c>
      <c r="Q1264" t="s">
        <v>2823</v>
      </c>
    </row>
    <row r="1265" spans="1:17" x14ac:dyDescent="0.3">
      <c r="A1265" t="s">
        <v>33</v>
      </c>
      <c r="B1265" t="str">
        <f>"002675"</f>
        <v>002675</v>
      </c>
      <c r="C1265" t="s">
        <v>2824</v>
      </c>
      <c r="D1265" t="s">
        <v>590</v>
      </c>
      <c r="E1265">
        <v>50759287</v>
      </c>
      <c r="F1265">
        <v>148325210</v>
      </c>
      <c r="G1265">
        <v>103123371</v>
      </c>
      <c r="H1265">
        <v>39742254</v>
      </c>
      <c r="I1265">
        <v>76250168</v>
      </c>
      <c r="J1265">
        <v>-54147964</v>
      </c>
      <c r="K1265">
        <v>35875747</v>
      </c>
      <c r="L1265">
        <v>-662585</v>
      </c>
      <c r="M1265">
        <v>67192166</v>
      </c>
      <c r="N1265">
        <v>-18999232</v>
      </c>
      <c r="O1265">
        <v>3093841</v>
      </c>
      <c r="P1265">
        <v>365</v>
      </c>
      <c r="Q1265" t="s">
        <v>2825</v>
      </c>
    </row>
    <row r="1266" spans="1:17" x14ac:dyDescent="0.3">
      <c r="A1266" t="s">
        <v>33</v>
      </c>
      <c r="B1266" t="str">
        <f>"300973"</f>
        <v>300973</v>
      </c>
      <c r="C1266" t="s">
        <v>2826</v>
      </c>
      <c r="D1266" t="s">
        <v>1356</v>
      </c>
      <c r="E1266">
        <v>50643444</v>
      </c>
      <c r="F1266">
        <v>52673734</v>
      </c>
      <c r="G1266">
        <v>-20769100</v>
      </c>
      <c r="P1266">
        <v>140</v>
      </c>
      <c r="Q1266" t="s">
        <v>2827</v>
      </c>
    </row>
    <row r="1267" spans="1:17" x14ac:dyDescent="0.3">
      <c r="A1267" t="s">
        <v>33</v>
      </c>
      <c r="B1267" t="str">
        <f>"001213"</f>
        <v>001213</v>
      </c>
      <c r="C1267" t="s">
        <v>2828</v>
      </c>
      <c r="D1267" t="s">
        <v>403</v>
      </c>
      <c r="E1267">
        <v>50559896</v>
      </c>
      <c r="F1267">
        <v>142157990</v>
      </c>
      <c r="G1267">
        <v>515080299</v>
      </c>
      <c r="P1267">
        <v>27</v>
      </c>
      <c r="Q1267" t="s">
        <v>2829</v>
      </c>
    </row>
    <row r="1268" spans="1:17" x14ac:dyDescent="0.3">
      <c r="A1268" t="s">
        <v>17</v>
      </c>
      <c r="B1268" t="str">
        <f>"600572"</f>
        <v>600572</v>
      </c>
      <c r="C1268" t="s">
        <v>2830</v>
      </c>
      <c r="D1268" t="s">
        <v>533</v>
      </c>
      <c r="E1268">
        <v>50391186</v>
      </c>
      <c r="F1268">
        <v>160975605</v>
      </c>
      <c r="G1268">
        <v>283116391</v>
      </c>
      <c r="H1268">
        <v>199422601</v>
      </c>
      <c r="I1268">
        <v>133549207</v>
      </c>
      <c r="J1268">
        <v>192155650</v>
      </c>
      <c r="K1268">
        <v>236429463</v>
      </c>
      <c r="L1268">
        <v>107815653</v>
      </c>
      <c r="M1268">
        <v>59345798</v>
      </c>
      <c r="N1268">
        <v>118759137</v>
      </c>
      <c r="O1268">
        <v>12535978</v>
      </c>
      <c r="P1268">
        <v>467</v>
      </c>
      <c r="Q1268" t="s">
        <v>2831</v>
      </c>
    </row>
    <row r="1269" spans="1:17" x14ac:dyDescent="0.3">
      <c r="A1269" t="s">
        <v>33</v>
      </c>
      <c r="B1269" t="str">
        <f>"002283"</f>
        <v>002283</v>
      </c>
      <c r="C1269" t="s">
        <v>2832</v>
      </c>
      <c r="D1269" t="s">
        <v>858</v>
      </c>
      <c r="E1269">
        <v>50251259</v>
      </c>
      <c r="F1269">
        <v>188935301</v>
      </c>
      <c r="G1269">
        <v>13571043</v>
      </c>
      <c r="H1269">
        <v>241831729</v>
      </c>
      <c r="I1269">
        <v>55142751</v>
      </c>
      <c r="J1269">
        <v>-83371703</v>
      </c>
      <c r="K1269">
        <v>72809076</v>
      </c>
      <c r="L1269">
        <v>109530533</v>
      </c>
      <c r="M1269">
        <v>41641472</v>
      </c>
      <c r="N1269">
        <v>24522814</v>
      </c>
      <c r="O1269">
        <v>26652575</v>
      </c>
      <c r="P1269">
        <v>202</v>
      </c>
      <c r="Q1269" t="s">
        <v>2833</v>
      </c>
    </row>
    <row r="1270" spans="1:17" x14ac:dyDescent="0.3">
      <c r="A1270" t="s">
        <v>17</v>
      </c>
      <c r="B1270" t="str">
        <f>"600448"</f>
        <v>600448</v>
      </c>
      <c r="C1270" t="s">
        <v>2834</v>
      </c>
      <c r="D1270" t="s">
        <v>1849</v>
      </c>
      <c r="E1270">
        <v>50150813</v>
      </c>
      <c r="F1270">
        <v>1754143</v>
      </c>
      <c r="G1270">
        <v>1678100</v>
      </c>
      <c r="H1270">
        <v>17822032</v>
      </c>
      <c r="I1270">
        <v>12615705</v>
      </c>
      <c r="J1270">
        <v>9215988</v>
      </c>
      <c r="K1270">
        <v>11439106</v>
      </c>
      <c r="L1270">
        <v>15986533</v>
      </c>
      <c r="M1270">
        <v>14878329</v>
      </c>
      <c r="N1270">
        <v>15107757</v>
      </c>
      <c r="O1270">
        <v>1969735</v>
      </c>
      <c r="P1270">
        <v>97</v>
      </c>
      <c r="Q1270" t="s">
        <v>2835</v>
      </c>
    </row>
    <row r="1271" spans="1:17" x14ac:dyDescent="0.3">
      <c r="A1271" t="s">
        <v>17</v>
      </c>
      <c r="B1271" t="str">
        <f>"600351"</f>
        <v>600351</v>
      </c>
      <c r="C1271" t="s">
        <v>2836</v>
      </c>
      <c r="D1271" t="s">
        <v>533</v>
      </c>
      <c r="E1271">
        <v>50025100</v>
      </c>
      <c r="F1271">
        <v>126681724</v>
      </c>
      <c r="G1271">
        <v>83569617</v>
      </c>
      <c r="H1271">
        <v>28621204</v>
      </c>
      <c r="I1271">
        <v>71178039</v>
      </c>
      <c r="J1271">
        <v>-8853912</v>
      </c>
      <c r="K1271">
        <v>89738211</v>
      </c>
      <c r="L1271">
        <v>95693955</v>
      </c>
      <c r="M1271">
        <v>24979625</v>
      </c>
      <c r="N1271">
        <v>20728747</v>
      </c>
      <c r="O1271">
        <v>19364914</v>
      </c>
      <c r="P1271">
        <v>234</v>
      </c>
      <c r="Q1271" t="s">
        <v>2837</v>
      </c>
    </row>
    <row r="1272" spans="1:17" x14ac:dyDescent="0.3">
      <c r="A1272" t="s">
        <v>33</v>
      </c>
      <c r="B1272" t="str">
        <f>"000913"</f>
        <v>000913</v>
      </c>
      <c r="C1272" t="s">
        <v>2838</v>
      </c>
      <c r="D1272" t="s">
        <v>1069</v>
      </c>
      <c r="E1272">
        <v>49987448</v>
      </c>
      <c r="F1272">
        <v>76120091</v>
      </c>
      <c r="G1272">
        <v>121566463</v>
      </c>
      <c r="H1272">
        <v>265656908</v>
      </c>
      <c r="I1272">
        <v>-22561149</v>
      </c>
      <c r="J1272">
        <v>42955216</v>
      </c>
      <c r="K1272">
        <v>21836894</v>
      </c>
      <c r="L1272">
        <v>4910950</v>
      </c>
      <c r="M1272">
        <v>-194464136</v>
      </c>
      <c r="N1272">
        <v>-4387680</v>
      </c>
      <c r="O1272">
        <v>-123839311</v>
      </c>
      <c r="P1272">
        <v>176</v>
      </c>
      <c r="Q1272" t="s">
        <v>2839</v>
      </c>
    </row>
    <row r="1273" spans="1:17" x14ac:dyDescent="0.3">
      <c r="A1273" t="s">
        <v>33</v>
      </c>
      <c r="B1273" t="str">
        <f>"002615"</f>
        <v>002615</v>
      </c>
      <c r="C1273" t="s">
        <v>2840</v>
      </c>
      <c r="D1273" t="s">
        <v>927</v>
      </c>
      <c r="E1273">
        <v>49903924</v>
      </c>
      <c r="F1273">
        <v>111292099</v>
      </c>
      <c r="G1273">
        <v>641560</v>
      </c>
      <c r="H1273">
        <v>-25854758</v>
      </c>
      <c r="I1273">
        <v>1075712</v>
      </c>
      <c r="J1273">
        <v>-115527289</v>
      </c>
      <c r="K1273">
        <v>-7009865</v>
      </c>
      <c r="L1273">
        <v>-29992277</v>
      </c>
      <c r="M1273">
        <v>-48619049</v>
      </c>
      <c r="N1273">
        <v>-24703927</v>
      </c>
      <c r="O1273">
        <v>-40668438</v>
      </c>
      <c r="P1273">
        <v>178</v>
      </c>
      <c r="Q1273" t="s">
        <v>2841</v>
      </c>
    </row>
    <row r="1274" spans="1:17" x14ac:dyDescent="0.3">
      <c r="A1274" t="s">
        <v>33</v>
      </c>
      <c r="B1274" t="str">
        <f>"300403"</f>
        <v>300403</v>
      </c>
      <c r="C1274" t="s">
        <v>2842</v>
      </c>
      <c r="D1274" t="s">
        <v>1869</v>
      </c>
      <c r="E1274">
        <v>49776790</v>
      </c>
      <c r="F1274">
        <v>40485209</v>
      </c>
      <c r="G1274">
        <v>14078315</v>
      </c>
      <c r="H1274">
        <v>51044925</v>
      </c>
      <c r="I1274">
        <v>10044204</v>
      </c>
      <c r="J1274">
        <v>26492684</v>
      </c>
      <c r="K1274">
        <v>42683362</v>
      </c>
      <c r="L1274">
        <v>30922889</v>
      </c>
      <c r="M1274">
        <v>14339236</v>
      </c>
      <c r="P1274">
        <v>253</v>
      </c>
      <c r="Q1274" t="s">
        <v>2843</v>
      </c>
    </row>
    <row r="1275" spans="1:17" x14ac:dyDescent="0.3">
      <c r="A1275" t="s">
        <v>17</v>
      </c>
      <c r="B1275" t="str">
        <f>"603429"</f>
        <v>603429</v>
      </c>
      <c r="C1275" t="s">
        <v>2844</v>
      </c>
      <c r="D1275" t="s">
        <v>1015</v>
      </c>
      <c r="E1275">
        <v>49704871</v>
      </c>
      <c r="F1275">
        <v>67349292</v>
      </c>
      <c r="G1275">
        <v>7251209</v>
      </c>
      <c r="H1275">
        <v>88116871</v>
      </c>
      <c r="I1275">
        <v>19110014</v>
      </c>
      <c r="J1275">
        <v>12632971</v>
      </c>
      <c r="K1275">
        <v>23584899</v>
      </c>
      <c r="P1275">
        <v>368</v>
      </c>
      <c r="Q1275" t="s">
        <v>2845</v>
      </c>
    </row>
    <row r="1276" spans="1:17" x14ac:dyDescent="0.3">
      <c r="A1276" t="s">
        <v>17</v>
      </c>
      <c r="B1276" t="str">
        <f>"603095"</f>
        <v>603095</v>
      </c>
      <c r="C1276" t="s">
        <v>2846</v>
      </c>
      <c r="D1276" t="s">
        <v>2847</v>
      </c>
      <c r="E1276">
        <v>49400737</v>
      </c>
      <c r="F1276">
        <v>50893073</v>
      </c>
      <c r="G1276">
        <v>30469204</v>
      </c>
      <c r="H1276">
        <v>147334286</v>
      </c>
      <c r="P1276">
        <v>64</v>
      </c>
      <c r="Q1276" t="s">
        <v>2848</v>
      </c>
    </row>
    <row r="1277" spans="1:17" x14ac:dyDescent="0.3">
      <c r="A1277" t="s">
        <v>33</v>
      </c>
      <c r="B1277" t="str">
        <f>"002865"</f>
        <v>002865</v>
      </c>
      <c r="C1277" t="s">
        <v>2849</v>
      </c>
      <c r="D1277" t="s">
        <v>200</v>
      </c>
      <c r="E1277">
        <v>49178975</v>
      </c>
      <c r="F1277">
        <v>-33683491</v>
      </c>
      <c r="G1277">
        <v>-15784017</v>
      </c>
      <c r="H1277">
        <v>-54086915</v>
      </c>
      <c r="I1277">
        <v>-65720905</v>
      </c>
      <c r="J1277">
        <v>15852258</v>
      </c>
      <c r="K1277">
        <v>42165294</v>
      </c>
      <c r="P1277">
        <v>111</v>
      </c>
      <c r="Q1277" t="s">
        <v>2850</v>
      </c>
    </row>
    <row r="1278" spans="1:17" x14ac:dyDescent="0.3">
      <c r="A1278" t="s">
        <v>33</v>
      </c>
      <c r="B1278" t="str">
        <f>"002259"</f>
        <v>002259</v>
      </c>
      <c r="C1278" t="s">
        <v>2851</v>
      </c>
      <c r="D1278" t="s">
        <v>649</v>
      </c>
      <c r="E1278">
        <v>49088399</v>
      </c>
      <c r="F1278">
        <v>25181670</v>
      </c>
      <c r="G1278">
        <v>8524118</v>
      </c>
      <c r="H1278">
        <v>4454380</v>
      </c>
      <c r="I1278">
        <v>12840540</v>
      </c>
      <c r="J1278">
        <v>-13463749</v>
      </c>
      <c r="K1278">
        <v>-36074545</v>
      </c>
      <c r="L1278">
        <v>-18315716</v>
      </c>
      <c r="M1278">
        <v>-19687902</v>
      </c>
      <c r="N1278">
        <v>-27650773</v>
      </c>
      <c r="O1278">
        <v>32852158</v>
      </c>
      <c r="P1278">
        <v>59</v>
      </c>
      <c r="Q1278" t="s">
        <v>2852</v>
      </c>
    </row>
    <row r="1279" spans="1:17" x14ac:dyDescent="0.3">
      <c r="A1279" t="s">
        <v>33</v>
      </c>
      <c r="B1279" t="str">
        <f>"002349"</f>
        <v>002349</v>
      </c>
      <c r="C1279" t="s">
        <v>2853</v>
      </c>
      <c r="D1279" t="s">
        <v>533</v>
      </c>
      <c r="E1279">
        <v>49036734</v>
      </c>
      <c r="F1279">
        <v>67386449</v>
      </c>
      <c r="G1279">
        <v>48197106</v>
      </c>
      <c r="H1279">
        <v>6726975</v>
      </c>
      <c r="I1279">
        <v>-15033707</v>
      </c>
      <c r="J1279">
        <v>-58685656</v>
      </c>
      <c r="K1279">
        <v>113831448</v>
      </c>
      <c r="L1279">
        <v>9842836</v>
      </c>
      <c r="M1279">
        <v>8154083</v>
      </c>
      <c r="N1279">
        <v>-2008918</v>
      </c>
      <c r="O1279">
        <v>57399824</v>
      </c>
      <c r="P1279">
        <v>194</v>
      </c>
      <c r="Q1279" t="s">
        <v>2854</v>
      </c>
    </row>
    <row r="1280" spans="1:17" x14ac:dyDescent="0.3">
      <c r="A1280" t="s">
        <v>17</v>
      </c>
      <c r="B1280" t="str">
        <f>"603085"</f>
        <v>603085</v>
      </c>
      <c r="C1280" t="s">
        <v>2855</v>
      </c>
      <c r="D1280" t="s">
        <v>200</v>
      </c>
      <c r="E1280">
        <v>48937388</v>
      </c>
      <c r="F1280">
        <v>32220460</v>
      </c>
      <c r="G1280">
        <v>-46156444</v>
      </c>
      <c r="H1280">
        <v>45855369</v>
      </c>
      <c r="I1280">
        <v>-43672600</v>
      </c>
      <c r="J1280">
        <v>-8400559</v>
      </c>
      <c r="K1280">
        <v>16194148</v>
      </c>
      <c r="L1280">
        <v>2397265</v>
      </c>
      <c r="P1280">
        <v>81</v>
      </c>
      <c r="Q1280" t="s">
        <v>2856</v>
      </c>
    </row>
    <row r="1281" spans="1:17" x14ac:dyDescent="0.3">
      <c r="A1281" t="s">
        <v>17</v>
      </c>
      <c r="B1281" t="str">
        <f>"605111"</f>
        <v>605111</v>
      </c>
      <c r="C1281" t="s">
        <v>2857</v>
      </c>
      <c r="D1281" t="s">
        <v>1274</v>
      </c>
      <c r="E1281">
        <v>48921991</v>
      </c>
      <c r="F1281">
        <v>58510314</v>
      </c>
      <c r="G1281">
        <v>-25679482</v>
      </c>
      <c r="P1281">
        <v>332</v>
      </c>
      <c r="Q1281" t="s">
        <v>2858</v>
      </c>
    </row>
    <row r="1282" spans="1:17" x14ac:dyDescent="0.3">
      <c r="A1282" t="s">
        <v>33</v>
      </c>
      <c r="B1282" t="str">
        <f>"002107"</f>
        <v>002107</v>
      </c>
      <c r="C1282" t="s">
        <v>2859</v>
      </c>
      <c r="D1282" t="s">
        <v>533</v>
      </c>
      <c r="E1282">
        <v>48896554</v>
      </c>
      <c r="F1282">
        <v>83986583</v>
      </c>
      <c r="G1282">
        <v>50951360</v>
      </c>
      <c r="H1282">
        <v>22441407</v>
      </c>
      <c r="I1282">
        <v>15696505</v>
      </c>
      <c r="J1282">
        <v>35524549</v>
      </c>
      <c r="K1282">
        <v>17161318</v>
      </c>
      <c r="L1282">
        <v>19861510</v>
      </c>
      <c r="M1282">
        <v>-5529912</v>
      </c>
      <c r="N1282">
        <v>7279917</v>
      </c>
      <c r="O1282">
        <v>9854803</v>
      </c>
      <c r="P1282">
        <v>350</v>
      </c>
      <c r="Q1282" t="s">
        <v>2860</v>
      </c>
    </row>
    <row r="1283" spans="1:17" x14ac:dyDescent="0.3">
      <c r="A1283" t="s">
        <v>33</v>
      </c>
      <c r="B1283" t="str">
        <f>"000678"</f>
        <v>000678</v>
      </c>
      <c r="C1283" t="s">
        <v>2861</v>
      </c>
      <c r="D1283" t="s">
        <v>858</v>
      </c>
      <c r="E1283">
        <v>48767787</v>
      </c>
      <c r="F1283">
        <v>35610725</v>
      </c>
      <c r="G1283">
        <v>-7056578</v>
      </c>
      <c r="H1283">
        <v>-66516744</v>
      </c>
      <c r="I1283">
        <v>5089052</v>
      </c>
      <c r="J1283">
        <v>-73838190</v>
      </c>
      <c r="K1283">
        <v>-6426868</v>
      </c>
      <c r="L1283">
        <v>-75457851</v>
      </c>
      <c r="M1283">
        <v>-58809110</v>
      </c>
      <c r="N1283">
        <v>-47657063</v>
      </c>
      <c r="O1283">
        <v>-41444424</v>
      </c>
      <c r="P1283">
        <v>71</v>
      </c>
      <c r="Q1283" t="s">
        <v>2862</v>
      </c>
    </row>
    <row r="1284" spans="1:17" x14ac:dyDescent="0.3">
      <c r="A1284" t="s">
        <v>33</v>
      </c>
      <c r="B1284" t="str">
        <f>"300968"</f>
        <v>300968</v>
      </c>
      <c r="C1284" t="s">
        <v>2863</v>
      </c>
      <c r="D1284" t="s">
        <v>226</v>
      </c>
      <c r="E1284">
        <v>48706946</v>
      </c>
      <c r="F1284">
        <v>157077498</v>
      </c>
      <c r="G1284">
        <v>201968317</v>
      </c>
      <c r="P1284">
        <v>31</v>
      </c>
      <c r="Q1284" t="s">
        <v>2864</v>
      </c>
    </row>
    <row r="1285" spans="1:17" x14ac:dyDescent="0.3">
      <c r="A1285" t="s">
        <v>17</v>
      </c>
      <c r="B1285" t="str">
        <f>"600775"</f>
        <v>600775</v>
      </c>
      <c r="C1285" t="s">
        <v>2865</v>
      </c>
      <c r="D1285" t="s">
        <v>1347</v>
      </c>
      <c r="E1285">
        <v>48682572</v>
      </c>
      <c r="F1285">
        <v>-57788403</v>
      </c>
      <c r="G1285">
        <v>58601652</v>
      </c>
      <c r="H1285">
        <v>-238571085</v>
      </c>
      <c r="I1285">
        <v>-123298867</v>
      </c>
      <c r="J1285">
        <v>167124081</v>
      </c>
      <c r="K1285">
        <v>47658668</v>
      </c>
      <c r="L1285">
        <v>-113121177</v>
      </c>
      <c r="M1285">
        <v>15732312</v>
      </c>
      <c r="N1285">
        <v>-140817059</v>
      </c>
      <c r="O1285">
        <v>-86931612</v>
      </c>
      <c r="P1285">
        <v>179</v>
      </c>
      <c r="Q1285" t="s">
        <v>2866</v>
      </c>
    </row>
    <row r="1286" spans="1:17" x14ac:dyDescent="0.3">
      <c r="A1286" t="s">
        <v>33</v>
      </c>
      <c r="B1286" t="str">
        <f>"300610"</f>
        <v>300610</v>
      </c>
      <c r="C1286" t="s">
        <v>2867</v>
      </c>
      <c r="D1286" t="s">
        <v>1483</v>
      </c>
      <c r="E1286">
        <v>48676727</v>
      </c>
      <c r="F1286">
        <v>47480592</v>
      </c>
      <c r="G1286">
        <v>42938339</v>
      </c>
      <c r="H1286">
        <v>-12683454</v>
      </c>
      <c r="I1286">
        <v>-2155871</v>
      </c>
      <c r="J1286">
        <v>-34812749</v>
      </c>
      <c r="K1286">
        <v>6057623</v>
      </c>
      <c r="P1286">
        <v>129</v>
      </c>
      <c r="Q1286" t="s">
        <v>2868</v>
      </c>
    </row>
    <row r="1287" spans="1:17" x14ac:dyDescent="0.3">
      <c r="A1287" t="s">
        <v>17</v>
      </c>
      <c r="B1287" t="str">
        <f>"605167"</f>
        <v>605167</v>
      </c>
      <c r="C1287" t="s">
        <v>2869</v>
      </c>
      <c r="D1287" t="s">
        <v>1461</v>
      </c>
      <c r="E1287">
        <v>48645895</v>
      </c>
      <c r="F1287">
        <v>52810202</v>
      </c>
      <c r="G1287">
        <v>28785128</v>
      </c>
      <c r="P1287">
        <v>22</v>
      </c>
      <c r="Q1287" t="s">
        <v>2870</v>
      </c>
    </row>
    <row r="1288" spans="1:17" x14ac:dyDescent="0.3">
      <c r="A1288" t="s">
        <v>17</v>
      </c>
      <c r="B1288" t="str">
        <f>"603367"</f>
        <v>603367</v>
      </c>
      <c r="C1288" t="s">
        <v>2871</v>
      </c>
      <c r="D1288" t="s">
        <v>590</v>
      </c>
      <c r="E1288">
        <v>48644593</v>
      </c>
      <c r="F1288">
        <v>-27351739</v>
      </c>
      <c r="G1288">
        <v>28715400</v>
      </c>
      <c r="H1288">
        <v>3666676</v>
      </c>
      <c r="I1288">
        <v>82871837</v>
      </c>
      <c r="J1288">
        <v>118339075</v>
      </c>
      <c r="P1288">
        <v>245</v>
      </c>
      <c r="Q1288" t="s">
        <v>2872</v>
      </c>
    </row>
    <row r="1289" spans="1:17" x14ac:dyDescent="0.3">
      <c r="A1289" t="s">
        <v>33</v>
      </c>
      <c r="B1289" t="str">
        <f>"301128"</f>
        <v>301128</v>
      </c>
      <c r="C1289" t="s">
        <v>2873</v>
      </c>
      <c r="D1289" t="s">
        <v>1895</v>
      </c>
      <c r="E1289">
        <v>48489207</v>
      </c>
      <c r="P1289">
        <v>12</v>
      </c>
      <c r="Q1289" t="s">
        <v>2874</v>
      </c>
    </row>
    <row r="1290" spans="1:17" x14ac:dyDescent="0.3">
      <c r="A1290" t="s">
        <v>33</v>
      </c>
      <c r="B1290" t="str">
        <f>"300695"</f>
        <v>300695</v>
      </c>
      <c r="C1290" t="s">
        <v>2875</v>
      </c>
      <c r="D1290" t="s">
        <v>1618</v>
      </c>
      <c r="E1290">
        <v>48481379</v>
      </c>
      <c r="F1290">
        <v>-9641973</v>
      </c>
      <c r="G1290">
        <v>33360473</v>
      </c>
      <c r="H1290">
        <v>36888123</v>
      </c>
      <c r="I1290">
        <v>24135608</v>
      </c>
      <c r="J1290">
        <v>25427924</v>
      </c>
      <c r="P1290">
        <v>125</v>
      </c>
      <c r="Q1290" t="s">
        <v>2876</v>
      </c>
    </row>
    <row r="1291" spans="1:17" x14ac:dyDescent="0.3">
      <c r="A1291" t="s">
        <v>17</v>
      </c>
      <c r="B1291" t="str">
        <f>"601113"</f>
        <v>601113</v>
      </c>
      <c r="C1291" t="s">
        <v>2877</v>
      </c>
      <c r="D1291" t="s">
        <v>2878</v>
      </c>
      <c r="E1291">
        <v>48463970</v>
      </c>
      <c r="F1291">
        <v>-76612697</v>
      </c>
      <c r="G1291">
        <v>-55106244</v>
      </c>
      <c r="H1291">
        <v>-158326557</v>
      </c>
      <c r="I1291">
        <v>93336047</v>
      </c>
      <c r="J1291">
        <v>123582787</v>
      </c>
      <c r="K1291">
        <v>25765666</v>
      </c>
      <c r="L1291">
        <v>129340390</v>
      </c>
      <c r="M1291">
        <v>-58521029</v>
      </c>
      <c r="N1291">
        <v>141212174</v>
      </c>
      <c r="O1291">
        <v>281064332</v>
      </c>
      <c r="P1291">
        <v>68</v>
      </c>
      <c r="Q1291" t="s">
        <v>2879</v>
      </c>
    </row>
    <row r="1292" spans="1:17" x14ac:dyDescent="0.3">
      <c r="A1292" t="s">
        <v>33</v>
      </c>
      <c r="B1292" t="str">
        <f>"002655"</f>
        <v>002655</v>
      </c>
      <c r="C1292" t="s">
        <v>2880</v>
      </c>
      <c r="D1292" t="s">
        <v>226</v>
      </c>
      <c r="E1292">
        <v>48400324</v>
      </c>
      <c r="F1292">
        <v>-4434210</v>
      </c>
      <c r="G1292">
        <v>26406748</v>
      </c>
      <c r="H1292">
        <v>11057139</v>
      </c>
      <c r="I1292">
        <v>-43633479</v>
      </c>
      <c r="J1292">
        <v>-14318052</v>
      </c>
      <c r="K1292">
        <v>-18652935</v>
      </c>
      <c r="L1292">
        <v>-11693919</v>
      </c>
      <c r="M1292">
        <v>-1054639</v>
      </c>
      <c r="N1292">
        <v>-13583819</v>
      </c>
      <c r="O1292">
        <v>-2641909</v>
      </c>
      <c r="P1292">
        <v>230</v>
      </c>
      <c r="Q1292" t="s">
        <v>2881</v>
      </c>
    </row>
    <row r="1293" spans="1:17" x14ac:dyDescent="0.3">
      <c r="A1293" t="s">
        <v>33</v>
      </c>
      <c r="B1293" t="str">
        <f>"301018"</f>
        <v>301018</v>
      </c>
      <c r="C1293" t="s">
        <v>2882</v>
      </c>
      <c r="D1293" t="s">
        <v>2883</v>
      </c>
      <c r="E1293">
        <v>48324337</v>
      </c>
      <c r="F1293">
        <v>11110796</v>
      </c>
      <c r="G1293">
        <v>-35932950</v>
      </c>
      <c r="P1293">
        <v>37</v>
      </c>
      <c r="Q1293" t="s">
        <v>2884</v>
      </c>
    </row>
    <row r="1294" spans="1:17" x14ac:dyDescent="0.3">
      <c r="A1294" t="s">
        <v>33</v>
      </c>
      <c r="B1294" t="str">
        <f>"300607"</f>
        <v>300607</v>
      </c>
      <c r="C1294" t="s">
        <v>2885</v>
      </c>
      <c r="D1294" t="s">
        <v>1142</v>
      </c>
      <c r="E1294">
        <v>48288129</v>
      </c>
      <c r="F1294">
        <v>-498512931</v>
      </c>
      <c r="G1294">
        <v>522183447</v>
      </c>
      <c r="H1294">
        <v>-53802647</v>
      </c>
      <c r="I1294">
        <v>-28280985</v>
      </c>
      <c r="J1294">
        <v>-25275980</v>
      </c>
      <c r="K1294">
        <v>4366201</v>
      </c>
      <c r="P1294">
        <v>1388</v>
      </c>
      <c r="Q1294" t="s">
        <v>2886</v>
      </c>
    </row>
    <row r="1295" spans="1:17" x14ac:dyDescent="0.3">
      <c r="A1295" t="s">
        <v>17</v>
      </c>
      <c r="B1295" t="str">
        <f>"688299"</f>
        <v>688299</v>
      </c>
      <c r="C1295" t="s">
        <v>2887</v>
      </c>
      <c r="D1295" t="s">
        <v>102</v>
      </c>
      <c r="E1295">
        <v>48188661</v>
      </c>
      <c r="F1295">
        <v>15235372</v>
      </c>
      <c r="G1295">
        <v>12256810</v>
      </c>
      <c r="H1295">
        <v>26518901</v>
      </c>
      <c r="P1295">
        <v>239</v>
      </c>
      <c r="Q1295" t="s">
        <v>2888</v>
      </c>
    </row>
    <row r="1296" spans="1:17" x14ac:dyDescent="0.3">
      <c r="A1296" t="s">
        <v>17</v>
      </c>
      <c r="B1296" t="str">
        <f>"600590"</f>
        <v>600590</v>
      </c>
      <c r="C1296" t="s">
        <v>2889</v>
      </c>
      <c r="D1296" t="s">
        <v>1182</v>
      </c>
      <c r="E1296">
        <v>48151701</v>
      </c>
      <c r="F1296">
        <v>78357862</v>
      </c>
      <c r="G1296">
        <v>610801090</v>
      </c>
      <c r="H1296">
        <v>1027211583</v>
      </c>
      <c r="I1296">
        <v>-230413828</v>
      </c>
      <c r="J1296">
        <v>-369541423</v>
      </c>
      <c r="K1296">
        <v>-21912974</v>
      </c>
      <c r="L1296">
        <v>-234672792</v>
      </c>
      <c r="M1296">
        <v>-366905235</v>
      </c>
      <c r="N1296">
        <v>-83468746</v>
      </c>
      <c r="O1296">
        <v>-79722021</v>
      </c>
      <c r="P1296">
        <v>168</v>
      </c>
      <c r="Q1296" t="s">
        <v>2890</v>
      </c>
    </row>
    <row r="1297" spans="1:17" x14ac:dyDescent="0.3">
      <c r="A1297" t="s">
        <v>17</v>
      </c>
      <c r="B1297" t="str">
        <f>"605089"</f>
        <v>605089</v>
      </c>
      <c r="C1297" t="s">
        <v>2891</v>
      </c>
      <c r="D1297" t="s">
        <v>886</v>
      </c>
      <c r="E1297">
        <v>48127779</v>
      </c>
      <c r="F1297">
        <v>33521261</v>
      </c>
      <c r="G1297">
        <v>28879850</v>
      </c>
      <c r="P1297">
        <v>131</v>
      </c>
      <c r="Q1297" t="s">
        <v>2892</v>
      </c>
    </row>
    <row r="1298" spans="1:17" x14ac:dyDescent="0.3">
      <c r="A1298" t="s">
        <v>33</v>
      </c>
      <c r="B1298" t="str">
        <f>"300566"</f>
        <v>300566</v>
      </c>
      <c r="C1298" t="s">
        <v>2893</v>
      </c>
      <c r="D1298" t="s">
        <v>2017</v>
      </c>
      <c r="E1298">
        <v>48071149</v>
      </c>
      <c r="F1298">
        <v>-19530437</v>
      </c>
      <c r="G1298">
        <v>-4170109</v>
      </c>
      <c r="H1298">
        <v>-71938442</v>
      </c>
      <c r="I1298">
        <v>-11538618</v>
      </c>
      <c r="J1298">
        <v>-30711797</v>
      </c>
      <c r="K1298">
        <v>-19471431</v>
      </c>
      <c r="P1298">
        <v>197</v>
      </c>
      <c r="Q1298" t="s">
        <v>2894</v>
      </c>
    </row>
    <row r="1299" spans="1:17" x14ac:dyDescent="0.3">
      <c r="A1299" t="s">
        <v>33</v>
      </c>
      <c r="B1299" t="str">
        <f>"000566"</f>
        <v>000566</v>
      </c>
      <c r="C1299" t="s">
        <v>2895</v>
      </c>
      <c r="D1299" t="s">
        <v>590</v>
      </c>
      <c r="E1299">
        <v>48049245</v>
      </c>
      <c r="F1299">
        <v>48216675</v>
      </c>
      <c r="G1299">
        <v>-99757671</v>
      </c>
      <c r="H1299">
        <v>-31865007</v>
      </c>
      <c r="I1299">
        <v>-78683507</v>
      </c>
      <c r="J1299">
        <v>-67112349</v>
      </c>
      <c r="K1299">
        <v>14996123</v>
      </c>
      <c r="L1299">
        <v>-29125649</v>
      </c>
      <c r="M1299">
        <v>4202071</v>
      </c>
      <c r="N1299">
        <v>59576530</v>
      </c>
      <c r="O1299">
        <v>20151934</v>
      </c>
      <c r="P1299">
        <v>195</v>
      </c>
      <c r="Q1299" t="s">
        <v>2896</v>
      </c>
    </row>
    <row r="1300" spans="1:17" x14ac:dyDescent="0.3">
      <c r="A1300" t="s">
        <v>17</v>
      </c>
      <c r="B1300" t="str">
        <f>"600148"</f>
        <v>600148</v>
      </c>
      <c r="C1300" t="s">
        <v>2897</v>
      </c>
      <c r="D1300" t="s">
        <v>858</v>
      </c>
      <c r="E1300">
        <v>47824859</v>
      </c>
      <c r="F1300">
        <v>-44065962</v>
      </c>
      <c r="G1300">
        <v>-39511551</v>
      </c>
      <c r="H1300">
        <v>-1686755</v>
      </c>
      <c r="I1300">
        <v>-8333898</v>
      </c>
      <c r="J1300">
        <v>-26991267</v>
      </c>
      <c r="K1300">
        <v>5452119</v>
      </c>
      <c r="L1300">
        <v>8606535</v>
      </c>
      <c r="M1300">
        <v>43106823</v>
      </c>
      <c r="N1300">
        <v>-17889396</v>
      </c>
      <c r="O1300">
        <v>-19404922</v>
      </c>
      <c r="P1300">
        <v>75</v>
      </c>
      <c r="Q1300" t="s">
        <v>2898</v>
      </c>
    </row>
    <row r="1301" spans="1:17" x14ac:dyDescent="0.3">
      <c r="A1301" t="s">
        <v>33</v>
      </c>
      <c r="B1301" t="str">
        <f>"000885"</f>
        <v>000885</v>
      </c>
      <c r="C1301" t="s">
        <v>2899</v>
      </c>
      <c r="D1301" t="s">
        <v>458</v>
      </c>
      <c r="E1301">
        <v>47708210</v>
      </c>
      <c r="F1301">
        <v>99200245</v>
      </c>
      <c r="G1301">
        <v>-6007140</v>
      </c>
      <c r="H1301">
        <v>220048202</v>
      </c>
      <c r="I1301">
        <v>248501265</v>
      </c>
      <c r="J1301">
        <v>150989856</v>
      </c>
      <c r="K1301">
        <v>57131712</v>
      </c>
      <c r="L1301">
        <v>46384596</v>
      </c>
      <c r="M1301">
        <v>14638717</v>
      </c>
      <c r="N1301">
        <v>1495629</v>
      </c>
      <c r="O1301">
        <v>199983254</v>
      </c>
      <c r="P1301">
        <v>236</v>
      </c>
      <c r="Q1301" t="s">
        <v>2900</v>
      </c>
    </row>
    <row r="1302" spans="1:17" x14ac:dyDescent="0.3">
      <c r="A1302" t="s">
        <v>17</v>
      </c>
      <c r="B1302" t="str">
        <f>"603165"</f>
        <v>603165</v>
      </c>
      <c r="C1302" t="s">
        <v>2901</v>
      </c>
      <c r="D1302" t="s">
        <v>514</v>
      </c>
      <c r="E1302">
        <v>47692028</v>
      </c>
      <c r="F1302">
        <v>11623106</v>
      </c>
      <c r="G1302">
        <v>-18074539</v>
      </c>
      <c r="H1302">
        <v>55219537</v>
      </c>
      <c r="I1302">
        <v>42246267</v>
      </c>
      <c r="J1302">
        <v>-34537167</v>
      </c>
      <c r="K1302">
        <v>17942209</v>
      </c>
      <c r="P1302">
        <v>587</v>
      </c>
      <c r="Q1302" t="s">
        <v>2902</v>
      </c>
    </row>
    <row r="1303" spans="1:17" x14ac:dyDescent="0.3">
      <c r="A1303" t="s">
        <v>33</v>
      </c>
      <c r="B1303" t="str">
        <f>"300269"</f>
        <v>300269</v>
      </c>
      <c r="C1303" t="s">
        <v>2903</v>
      </c>
      <c r="D1303" t="s">
        <v>1125</v>
      </c>
      <c r="E1303">
        <v>47548236</v>
      </c>
      <c r="F1303">
        <v>8009016</v>
      </c>
      <c r="G1303">
        <v>-52258751</v>
      </c>
      <c r="H1303">
        <v>19759341</v>
      </c>
      <c r="I1303">
        <v>-37625723</v>
      </c>
      <c r="J1303">
        <v>-38257002</v>
      </c>
      <c r="K1303">
        <v>34877118</v>
      </c>
      <c r="L1303">
        <v>-10240092</v>
      </c>
      <c r="M1303">
        <v>-45096391</v>
      </c>
      <c r="N1303">
        <v>-20411098</v>
      </c>
      <c r="O1303">
        <v>-45605053</v>
      </c>
      <c r="P1303">
        <v>125</v>
      </c>
      <c r="Q1303" t="s">
        <v>2904</v>
      </c>
    </row>
    <row r="1304" spans="1:17" x14ac:dyDescent="0.3">
      <c r="A1304" t="s">
        <v>33</v>
      </c>
      <c r="B1304" t="str">
        <f>"300175"</f>
        <v>300175</v>
      </c>
      <c r="C1304" t="s">
        <v>2905</v>
      </c>
      <c r="D1304" t="s">
        <v>768</v>
      </c>
      <c r="E1304">
        <v>47509670</v>
      </c>
      <c r="F1304">
        <v>7510569</v>
      </c>
      <c r="G1304">
        <v>3220122</v>
      </c>
      <c r="H1304">
        <v>15915997</v>
      </c>
      <c r="I1304">
        <v>15468807</v>
      </c>
      <c r="J1304">
        <v>41600922</v>
      </c>
      <c r="K1304">
        <v>188938183</v>
      </c>
      <c r="L1304">
        <v>-91440255</v>
      </c>
      <c r="M1304">
        <v>-68802124</v>
      </c>
      <c r="N1304">
        <v>52025131</v>
      </c>
      <c r="O1304">
        <v>67265196</v>
      </c>
      <c r="P1304">
        <v>84</v>
      </c>
      <c r="Q1304" t="s">
        <v>2906</v>
      </c>
    </row>
    <row r="1305" spans="1:17" x14ac:dyDescent="0.3">
      <c r="A1305" t="s">
        <v>17</v>
      </c>
      <c r="B1305" t="str">
        <f>"600715"</f>
        <v>600715</v>
      </c>
      <c r="C1305" t="s">
        <v>2907</v>
      </c>
      <c r="D1305" t="s">
        <v>751</v>
      </c>
      <c r="E1305">
        <v>47389656</v>
      </c>
      <c r="F1305">
        <v>18421285</v>
      </c>
      <c r="G1305">
        <v>15641284</v>
      </c>
      <c r="H1305">
        <v>-64179149</v>
      </c>
      <c r="I1305">
        <v>-342618146</v>
      </c>
      <c r="J1305">
        <v>359126981</v>
      </c>
      <c r="K1305">
        <v>4208392</v>
      </c>
      <c r="L1305">
        <v>114490487</v>
      </c>
      <c r="M1305">
        <v>1699707</v>
      </c>
      <c r="N1305">
        <v>-3379087</v>
      </c>
      <c r="O1305">
        <v>-2344424</v>
      </c>
      <c r="P1305">
        <v>127</v>
      </c>
      <c r="Q1305" t="s">
        <v>2908</v>
      </c>
    </row>
    <row r="1306" spans="1:17" x14ac:dyDescent="0.3">
      <c r="A1306" t="s">
        <v>33</v>
      </c>
      <c r="B1306" t="str">
        <f>"300327"</f>
        <v>300327</v>
      </c>
      <c r="C1306" t="s">
        <v>2909</v>
      </c>
      <c r="D1306" t="s">
        <v>1277</v>
      </c>
      <c r="E1306">
        <v>47389122</v>
      </c>
      <c r="F1306">
        <v>43571469</v>
      </c>
      <c r="G1306">
        <v>14591019</v>
      </c>
      <c r="H1306">
        <v>13449969</v>
      </c>
      <c r="I1306">
        <v>-12219517</v>
      </c>
      <c r="J1306">
        <v>41338255</v>
      </c>
      <c r="K1306">
        <v>8937394</v>
      </c>
      <c r="L1306">
        <v>2565428</v>
      </c>
      <c r="M1306">
        <v>-124964</v>
      </c>
      <c r="N1306">
        <v>-4597029</v>
      </c>
      <c r="O1306">
        <v>-29933083</v>
      </c>
      <c r="P1306">
        <v>4063</v>
      </c>
      <c r="Q1306" t="s">
        <v>2910</v>
      </c>
    </row>
    <row r="1307" spans="1:17" x14ac:dyDescent="0.3">
      <c r="A1307" t="s">
        <v>33</v>
      </c>
      <c r="B1307" t="str">
        <f>"300125"</f>
        <v>300125</v>
      </c>
      <c r="C1307" t="s">
        <v>2911</v>
      </c>
      <c r="D1307" t="s">
        <v>1007</v>
      </c>
      <c r="E1307">
        <v>47347741</v>
      </c>
      <c r="F1307">
        <v>-115350315</v>
      </c>
      <c r="G1307">
        <v>-10175846</v>
      </c>
      <c r="H1307">
        <v>-19923886</v>
      </c>
      <c r="I1307">
        <v>-28298744</v>
      </c>
      <c r="J1307">
        <v>-9135091</v>
      </c>
      <c r="K1307">
        <v>-5934622</v>
      </c>
      <c r="L1307">
        <v>-2392827</v>
      </c>
      <c r="M1307">
        <v>-1040590</v>
      </c>
      <c r="N1307">
        <v>12568138</v>
      </c>
      <c r="O1307">
        <v>17499967</v>
      </c>
      <c r="P1307">
        <v>59</v>
      </c>
      <c r="Q1307" t="s">
        <v>2912</v>
      </c>
    </row>
    <row r="1308" spans="1:17" x14ac:dyDescent="0.3">
      <c r="A1308" t="s">
        <v>17</v>
      </c>
      <c r="B1308" t="str">
        <f>"603583"</f>
        <v>603583</v>
      </c>
      <c r="C1308" t="s">
        <v>2913</v>
      </c>
      <c r="D1308" t="s">
        <v>2148</v>
      </c>
      <c r="E1308">
        <v>47327743</v>
      </c>
      <c r="F1308">
        <v>4376806</v>
      </c>
      <c r="G1308">
        <v>-64421649</v>
      </c>
      <c r="H1308">
        <v>-3251756</v>
      </c>
      <c r="I1308">
        <v>-12507355</v>
      </c>
      <c r="P1308">
        <v>704</v>
      </c>
      <c r="Q1308" t="s">
        <v>2914</v>
      </c>
    </row>
    <row r="1309" spans="1:17" x14ac:dyDescent="0.3">
      <c r="A1309" t="s">
        <v>17</v>
      </c>
      <c r="B1309" t="str">
        <f>"601086"</f>
        <v>601086</v>
      </c>
      <c r="C1309" t="s">
        <v>2915</v>
      </c>
      <c r="D1309" t="s">
        <v>989</v>
      </c>
      <c r="E1309">
        <v>47150343</v>
      </c>
      <c r="F1309">
        <v>94453728</v>
      </c>
      <c r="G1309">
        <v>-74375630</v>
      </c>
      <c r="H1309">
        <v>50642035</v>
      </c>
      <c r="I1309">
        <v>120239000</v>
      </c>
      <c r="J1309">
        <v>-69048684</v>
      </c>
      <c r="P1309">
        <v>79</v>
      </c>
      <c r="Q1309" t="s">
        <v>2916</v>
      </c>
    </row>
    <row r="1310" spans="1:17" x14ac:dyDescent="0.3">
      <c r="A1310" t="s">
        <v>17</v>
      </c>
      <c r="B1310" t="str">
        <f>"601188"</f>
        <v>601188</v>
      </c>
      <c r="C1310" t="s">
        <v>2917</v>
      </c>
      <c r="D1310" t="s">
        <v>458</v>
      </c>
      <c r="E1310">
        <v>46956916</v>
      </c>
      <c r="F1310">
        <v>52047737</v>
      </c>
      <c r="G1310">
        <v>-25196013</v>
      </c>
      <c r="H1310">
        <v>93505042</v>
      </c>
      <c r="I1310">
        <v>66758170</v>
      </c>
      <c r="J1310">
        <v>146241411</v>
      </c>
      <c r="K1310">
        <v>-52141412</v>
      </c>
      <c r="L1310">
        <v>101008563</v>
      </c>
      <c r="M1310">
        <v>54882751</v>
      </c>
      <c r="N1310">
        <v>-8158999</v>
      </c>
      <c r="O1310">
        <v>19523237</v>
      </c>
      <c r="P1310">
        <v>124</v>
      </c>
      <c r="Q1310" t="s">
        <v>2918</v>
      </c>
    </row>
    <row r="1311" spans="1:17" x14ac:dyDescent="0.3">
      <c r="A1311" t="s">
        <v>33</v>
      </c>
      <c r="B1311" t="str">
        <f>"002134"</f>
        <v>002134</v>
      </c>
      <c r="C1311" t="s">
        <v>2919</v>
      </c>
      <c r="D1311" t="s">
        <v>239</v>
      </c>
      <c r="E1311">
        <v>46951352</v>
      </c>
      <c r="F1311">
        <v>26741934</v>
      </c>
      <c r="G1311">
        <v>25909490</v>
      </c>
      <c r="H1311">
        <v>-1909580</v>
      </c>
      <c r="I1311">
        <v>11488787</v>
      </c>
      <c r="J1311">
        <v>18352941</v>
      </c>
      <c r="K1311">
        <v>2301981</v>
      </c>
      <c r="L1311">
        <v>22499744</v>
      </c>
      <c r="M1311">
        <v>-4332560</v>
      </c>
      <c r="N1311">
        <v>16264924</v>
      </c>
      <c r="O1311">
        <v>2302806</v>
      </c>
      <c r="P1311">
        <v>119</v>
      </c>
      <c r="Q1311" t="s">
        <v>2920</v>
      </c>
    </row>
    <row r="1312" spans="1:17" x14ac:dyDescent="0.3">
      <c r="A1312" t="s">
        <v>33</v>
      </c>
      <c r="B1312" t="str">
        <f>"300964"</f>
        <v>300964</v>
      </c>
      <c r="C1312" t="s">
        <v>2921</v>
      </c>
      <c r="D1312" t="s">
        <v>239</v>
      </c>
      <c r="E1312">
        <v>46856554</v>
      </c>
      <c r="F1312">
        <v>-25022499</v>
      </c>
      <c r="G1312">
        <v>2308388</v>
      </c>
      <c r="P1312">
        <v>20</v>
      </c>
      <c r="Q1312" t="s">
        <v>2922</v>
      </c>
    </row>
    <row r="1313" spans="1:17" x14ac:dyDescent="0.3">
      <c r="A1313" t="s">
        <v>33</v>
      </c>
      <c r="B1313" t="str">
        <f>"300043"</f>
        <v>300043</v>
      </c>
      <c r="C1313" t="s">
        <v>2923</v>
      </c>
      <c r="D1313" t="s">
        <v>751</v>
      </c>
      <c r="E1313">
        <v>46689049</v>
      </c>
      <c r="F1313">
        <v>-38159306</v>
      </c>
      <c r="G1313">
        <v>98998714</v>
      </c>
      <c r="H1313">
        <v>138075849</v>
      </c>
      <c r="I1313">
        <v>145406246</v>
      </c>
      <c r="J1313">
        <v>89996296</v>
      </c>
      <c r="K1313">
        <v>-110422026</v>
      </c>
      <c r="L1313">
        <v>46151150</v>
      </c>
      <c r="M1313">
        <v>370385</v>
      </c>
      <c r="N1313">
        <v>-82064158</v>
      </c>
      <c r="O1313">
        <v>6147988</v>
      </c>
      <c r="P1313">
        <v>183</v>
      </c>
      <c r="Q1313" t="s">
        <v>2924</v>
      </c>
    </row>
    <row r="1314" spans="1:17" x14ac:dyDescent="0.3">
      <c r="A1314" t="s">
        <v>33</v>
      </c>
      <c r="B1314" t="str">
        <f>"000609"</f>
        <v>000609</v>
      </c>
      <c r="C1314" t="s">
        <v>2925</v>
      </c>
      <c r="D1314" t="s">
        <v>167</v>
      </c>
      <c r="E1314">
        <v>46212484</v>
      </c>
      <c r="F1314">
        <v>-32124226</v>
      </c>
      <c r="G1314">
        <v>-62788342</v>
      </c>
      <c r="H1314">
        <v>42932079</v>
      </c>
      <c r="I1314">
        <v>-369190716</v>
      </c>
      <c r="J1314">
        <v>-28438990</v>
      </c>
      <c r="K1314">
        <v>-55861526</v>
      </c>
      <c r="L1314">
        <v>-34293487</v>
      </c>
      <c r="M1314">
        <v>35468856</v>
      </c>
      <c r="N1314">
        <v>27814186</v>
      </c>
      <c r="O1314">
        <v>70017189</v>
      </c>
      <c r="P1314">
        <v>95</v>
      </c>
      <c r="Q1314" t="s">
        <v>2926</v>
      </c>
    </row>
    <row r="1315" spans="1:17" x14ac:dyDescent="0.3">
      <c r="A1315" t="s">
        <v>33</v>
      </c>
      <c r="B1315" t="str">
        <f>"300048"</f>
        <v>300048</v>
      </c>
      <c r="C1315" t="s">
        <v>2927</v>
      </c>
      <c r="D1315" t="s">
        <v>2148</v>
      </c>
      <c r="E1315">
        <v>46107817</v>
      </c>
      <c r="F1315">
        <v>-27231236</v>
      </c>
      <c r="G1315">
        <v>-119757</v>
      </c>
      <c r="H1315">
        <v>27596625</v>
      </c>
      <c r="I1315">
        <v>-12051524</v>
      </c>
      <c r="J1315">
        <v>-53669981</v>
      </c>
      <c r="K1315">
        <v>-65529954</v>
      </c>
      <c r="L1315">
        <v>-45235961</v>
      </c>
      <c r="M1315">
        <v>8013594</v>
      </c>
      <c r="N1315">
        <v>-26362422</v>
      </c>
      <c r="O1315">
        <v>-33554322</v>
      </c>
      <c r="P1315">
        <v>119</v>
      </c>
      <c r="Q1315" t="s">
        <v>2928</v>
      </c>
    </row>
    <row r="1316" spans="1:17" x14ac:dyDescent="0.3">
      <c r="A1316" t="s">
        <v>33</v>
      </c>
      <c r="B1316" t="str">
        <f>"300151"</f>
        <v>300151</v>
      </c>
      <c r="C1316" t="s">
        <v>2929</v>
      </c>
      <c r="D1316" t="s">
        <v>1895</v>
      </c>
      <c r="E1316">
        <v>45957388</v>
      </c>
      <c r="F1316">
        <v>41719445</v>
      </c>
      <c r="G1316">
        <v>-8084926</v>
      </c>
      <c r="H1316">
        <v>40102215</v>
      </c>
      <c r="I1316">
        <v>25532555</v>
      </c>
      <c r="J1316">
        <v>-21728665</v>
      </c>
      <c r="K1316">
        <v>-848198</v>
      </c>
      <c r="L1316">
        <v>6045260</v>
      </c>
      <c r="M1316">
        <v>12577195</v>
      </c>
      <c r="N1316">
        <v>52598496</v>
      </c>
      <c r="O1316">
        <v>-522566</v>
      </c>
      <c r="P1316">
        <v>155</v>
      </c>
      <c r="Q1316" t="s">
        <v>2930</v>
      </c>
    </row>
    <row r="1317" spans="1:17" x14ac:dyDescent="0.3">
      <c r="A1317" t="s">
        <v>17</v>
      </c>
      <c r="B1317" t="str">
        <f>"603533"</f>
        <v>603533</v>
      </c>
      <c r="C1317" t="s">
        <v>2931</v>
      </c>
      <c r="D1317" t="s">
        <v>2932</v>
      </c>
      <c r="E1317">
        <v>45860159</v>
      </c>
      <c r="F1317">
        <v>-28652389</v>
      </c>
      <c r="G1317">
        <v>36327984</v>
      </c>
      <c r="H1317">
        <v>93824825</v>
      </c>
      <c r="I1317">
        <v>7530040</v>
      </c>
      <c r="J1317">
        <v>21417046</v>
      </c>
      <c r="P1317">
        <v>872</v>
      </c>
      <c r="Q1317" t="s">
        <v>2933</v>
      </c>
    </row>
    <row r="1318" spans="1:17" x14ac:dyDescent="0.3">
      <c r="A1318" t="s">
        <v>17</v>
      </c>
      <c r="B1318" t="str">
        <f>"600793"</f>
        <v>600793</v>
      </c>
      <c r="C1318" t="s">
        <v>2934</v>
      </c>
      <c r="D1318" t="s">
        <v>1119</v>
      </c>
      <c r="E1318">
        <v>45816377</v>
      </c>
      <c r="F1318">
        <v>-122554167</v>
      </c>
      <c r="G1318">
        <v>21605706</v>
      </c>
      <c r="H1318">
        <v>5142041</v>
      </c>
      <c r="I1318">
        <v>-50090124</v>
      </c>
      <c r="J1318">
        <v>-78712328</v>
      </c>
      <c r="K1318">
        <v>-3530623</v>
      </c>
      <c r="L1318">
        <v>-6289904</v>
      </c>
      <c r="M1318">
        <v>-5115161</v>
      </c>
      <c r="N1318">
        <v>-15450546</v>
      </c>
      <c r="O1318">
        <v>-34980576</v>
      </c>
      <c r="P1318">
        <v>109</v>
      </c>
      <c r="Q1318" t="s">
        <v>2935</v>
      </c>
    </row>
    <row r="1319" spans="1:17" x14ac:dyDescent="0.3">
      <c r="A1319" t="s">
        <v>17</v>
      </c>
      <c r="B1319" t="str">
        <f>"688516"</f>
        <v>688516</v>
      </c>
      <c r="C1319" t="s">
        <v>2936</v>
      </c>
      <c r="D1319" t="s">
        <v>715</v>
      </c>
      <c r="E1319">
        <v>45794329</v>
      </c>
      <c r="F1319">
        <v>15326509</v>
      </c>
      <c r="G1319">
        <v>-13614376</v>
      </c>
      <c r="H1319">
        <v>-3024787</v>
      </c>
      <c r="P1319">
        <v>152</v>
      </c>
      <c r="Q1319" t="s">
        <v>2937</v>
      </c>
    </row>
    <row r="1320" spans="1:17" x14ac:dyDescent="0.3">
      <c r="A1320" t="s">
        <v>33</v>
      </c>
      <c r="B1320" t="str">
        <f>"002920"</f>
        <v>002920</v>
      </c>
      <c r="C1320" t="s">
        <v>2938</v>
      </c>
      <c r="D1320" t="s">
        <v>807</v>
      </c>
      <c r="E1320">
        <v>45600787</v>
      </c>
      <c r="F1320">
        <v>-186986111</v>
      </c>
      <c r="G1320">
        <v>-102832533</v>
      </c>
      <c r="H1320">
        <v>117951543</v>
      </c>
      <c r="I1320">
        <v>40190422</v>
      </c>
      <c r="J1320">
        <v>-284178134</v>
      </c>
      <c r="P1320">
        <v>688</v>
      </c>
      <c r="Q1320" t="s">
        <v>2939</v>
      </c>
    </row>
    <row r="1321" spans="1:17" x14ac:dyDescent="0.3">
      <c r="A1321" t="s">
        <v>17</v>
      </c>
      <c r="B1321" t="str">
        <f>"601038"</f>
        <v>601038</v>
      </c>
      <c r="C1321" t="s">
        <v>2940</v>
      </c>
      <c r="D1321" t="s">
        <v>2941</v>
      </c>
      <c r="E1321">
        <v>45561345</v>
      </c>
      <c r="F1321">
        <v>194000471</v>
      </c>
      <c r="G1321">
        <v>-76312397</v>
      </c>
      <c r="H1321">
        <v>197909702</v>
      </c>
      <c r="I1321">
        <v>-626669096</v>
      </c>
      <c r="J1321">
        <v>-315066590</v>
      </c>
      <c r="K1321">
        <v>252971498</v>
      </c>
      <c r="L1321">
        <v>-399957110</v>
      </c>
      <c r="M1321">
        <v>-377157132</v>
      </c>
      <c r="N1321">
        <v>-343361099</v>
      </c>
      <c r="O1321">
        <v>-234488474</v>
      </c>
      <c r="P1321">
        <v>179</v>
      </c>
      <c r="Q1321" t="s">
        <v>2942</v>
      </c>
    </row>
    <row r="1322" spans="1:17" x14ac:dyDescent="0.3">
      <c r="A1322" t="s">
        <v>33</v>
      </c>
      <c r="B1322" t="str">
        <f>"300716"</f>
        <v>300716</v>
      </c>
      <c r="C1322" t="s">
        <v>2943</v>
      </c>
      <c r="D1322" t="s">
        <v>1556</v>
      </c>
      <c r="E1322">
        <v>45510463</v>
      </c>
      <c r="F1322">
        <v>-14520188</v>
      </c>
      <c r="G1322">
        <v>-110925588</v>
      </c>
      <c r="H1322">
        <v>-6686277</v>
      </c>
      <c r="I1322">
        <v>-5591807</v>
      </c>
      <c r="J1322">
        <v>33781846</v>
      </c>
      <c r="P1322">
        <v>59</v>
      </c>
      <c r="Q1322" t="s">
        <v>2944</v>
      </c>
    </row>
    <row r="1323" spans="1:17" x14ac:dyDescent="0.3">
      <c r="A1323" t="s">
        <v>17</v>
      </c>
      <c r="B1323" t="str">
        <f>"600130"</f>
        <v>600130</v>
      </c>
      <c r="C1323" t="s">
        <v>2945</v>
      </c>
      <c r="D1323" t="s">
        <v>226</v>
      </c>
      <c r="E1323">
        <v>45458072</v>
      </c>
      <c r="F1323">
        <v>16305298</v>
      </c>
      <c r="G1323">
        <v>-5934529</v>
      </c>
      <c r="H1323">
        <v>14258624</v>
      </c>
      <c r="I1323">
        <v>9093684</v>
      </c>
      <c r="J1323">
        <v>6659808</v>
      </c>
      <c r="K1323">
        <v>-105457250</v>
      </c>
      <c r="L1323">
        <v>-8990218</v>
      </c>
      <c r="M1323">
        <v>-16119806</v>
      </c>
      <c r="N1323">
        <v>-5326455</v>
      </c>
      <c r="O1323">
        <v>7713058</v>
      </c>
      <c r="P1323">
        <v>93</v>
      </c>
      <c r="Q1323" t="s">
        <v>2946</v>
      </c>
    </row>
    <row r="1324" spans="1:17" x14ac:dyDescent="0.3">
      <c r="A1324" t="s">
        <v>17</v>
      </c>
      <c r="B1324" t="str">
        <f>"605003"</f>
        <v>605003</v>
      </c>
      <c r="C1324" t="s">
        <v>2947</v>
      </c>
      <c r="D1324" t="s">
        <v>2758</v>
      </c>
      <c r="E1324">
        <v>45425528</v>
      </c>
      <c r="F1324">
        <v>8739051</v>
      </c>
      <c r="G1324">
        <v>29766384</v>
      </c>
      <c r="H1324">
        <v>29059271</v>
      </c>
      <c r="P1324">
        <v>75</v>
      </c>
      <c r="Q1324" t="s">
        <v>2948</v>
      </c>
    </row>
    <row r="1325" spans="1:17" x14ac:dyDescent="0.3">
      <c r="A1325" t="s">
        <v>17</v>
      </c>
      <c r="B1325" t="str">
        <f>"600308"</f>
        <v>600308</v>
      </c>
      <c r="C1325" t="s">
        <v>2949</v>
      </c>
      <c r="D1325" t="s">
        <v>514</v>
      </c>
      <c r="E1325">
        <v>45356391</v>
      </c>
      <c r="F1325">
        <v>285712729</v>
      </c>
      <c r="G1325">
        <v>262323801</v>
      </c>
      <c r="H1325">
        <v>284344382</v>
      </c>
      <c r="I1325">
        <v>120041420</v>
      </c>
      <c r="J1325">
        <v>172364909</v>
      </c>
      <c r="K1325">
        <v>179952082</v>
      </c>
      <c r="L1325">
        <v>155694953</v>
      </c>
      <c r="M1325">
        <v>317172199</v>
      </c>
      <c r="N1325">
        <v>288914334</v>
      </c>
      <c r="O1325">
        <v>123274708</v>
      </c>
      <c r="P1325">
        <v>644</v>
      </c>
      <c r="Q1325" t="s">
        <v>2950</v>
      </c>
    </row>
    <row r="1326" spans="1:17" x14ac:dyDescent="0.3">
      <c r="A1326" t="s">
        <v>17</v>
      </c>
      <c r="B1326" t="str">
        <f>"688356"</f>
        <v>688356</v>
      </c>
      <c r="C1326" t="s">
        <v>2951</v>
      </c>
      <c r="D1326" t="s">
        <v>941</v>
      </c>
      <c r="E1326">
        <v>45349765</v>
      </c>
      <c r="F1326">
        <v>6243487</v>
      </c>
      <c r="G1326">
        <v>-2082631</v>
      </c>
      <c r="H1326">
        <v>11085726</v>
      </c>
      <c r="P1326">
        <v>152</v>
      </c>
      <c r="Q1326" t="s">
        <v>2952</v>
      </c>
    </row>
    <row r="1327" spans="1:17" x14ac:dyDescent="0.3">
      <c r="A1327" t="s">
        <v>33</v>
      </c>
      <c r="B1327" t="str">
        <f>"002448"</f>
        <v>002448</v>
      </c>
      <c r="C1327" t="s">
        <v>2953</v>
      </c>
      <c r="D1327" t="s">
        <v>858</v>
      </c>
      <c r="E1327">
        <v>45268512</v>
      </c>
      <c r="F1327">
        <v>65537016</v>
      </c>
      <c r="G1327">
        <v>33844197</v>
      </c>
      <c r="H1327">
        <v>2246366</v>
      </c>
      <c r="I1327">
        <v>49320918</v>
      </c>
      <c r="J1327">
        <v>17522493</v>
      </c>
      <c r="K1327">
        <v>64507408</v>
      </c>
      <c r="L1327">
        <v>13913021</v>
      </c>
      <c r="M1327">
        <v>10874799</v>
      </c>
      <c r="N1327">
        <v>-16963744</v>
      </c>
      <c r="O1327">
        <v>352749</v>
      </c>
      <c r="P1327">
        <v>194</v>
      </c>
      <c r="Q1327" t="s">
        <v>2954</v>
      </c>
    </row>
    <row r="1328" spans="1:17" x14ac:dyDescent="0.3">
      <c r="A1328" t="s">
        <v>33</v>
      </c>
      <c r="B1328" t="str">
        <f>"002665"</f>
        <v>002665</v>
      </c>
      <c r="C1328" t="s">
        <v>2955</v>
      </c>
      <c r="D1328" t="s">
        <v>2956</v>
      </c>
      <c r="E1328">
        <v>45102478</v>
      </c>
      <c r="F1328">
        <v>-73324427</v>
      </c>
      <c r="G1328">
        <v>-52916970</v>
      </c>
      <c r="H1328">
        <v>-15344008</v>
      </c>
      <c r="I1328">
        <v>-180678507</v>
      </c>
      <c r="J1328">
        <v>-70849749</v>
      </c>
      <c r="K1328">
        <v>-102774427</v>
      </c>
      <c r="L1328">
        <v>-148520370</v>
      </c>
      <c r="M1328">
        <v>-102744199</v>
      </c>
      <c r="N1328">
        <v>-86303922</v>
      </c>
      <c r="O1328">
        <v>12956937</v>
      </c>
      <c r="P1328">
        <v>208</v>
      </c>
      <c r="Q1328" t="s">
        <v>2957</v>
      </c>
    </row>
    <row r="1329" spans="1:17" x14ac:dyDescent="0.3">
      <c r="A1329" t="s">
        <v>17</v>
      </c>
      <c r="B1329" t="str">
        <f>"605001"</f>
        <v>605001</v>
      </c>
      <c r="C1329" t="s">
        <v>2958</v>
      </c>
      <c r="D1329" t="s">
        <v>1703</v>
      </c>
      <c r="E1329">
        <v>45083708</v>
      </c>
      <c r="F1329">
        <v>-32272508</v>
      </c>
      <c r="G1329">
        <v>-24697266</v>
      </c>
      <c r="H1329">
        <v>-175034151</v>
      </c>
      <c r="P1329">
        <v>48</v>
      </c>
      <c r="Q1329" t="s">
        <v>2959</v>
      </c>
    </row>
    <row r="1330" spans="1:17" x14ac:dyDescent="0.3">
      <c r="A1330" t="s">
        <v>33</v>
      </c>
      <c r="B1330" t="str">
        <f>"002031"</f>
        <v>002031</v>
      </c>
      <c r="C1330" t="s">
        <v>2960</v>
      </c>
      <c r="D1330" t="s">
        <v>1895</v>
      </c>
      <c r="E1330">
        <v>45083356</v>
      </c>
      <c r="F1330">
        <v>102830493</v>
      </c>
      <c r="G1330">
        <v>44336898</v>
      </c>
      <c r="H1330">
        <v>181866473</v>
      </c>
      <c r="I1330">
        <v>15160769</v>
      </c>
      <c r="J1330">
        <v>83805173</v>
      </c>
      <c r="K1330">
        <v>35749568</v>
      </c>
      <c r="L1330">
        <v>-184990900</v>
      </c>
      <c r="M1330">
        <v>5545136</v>
      </c>
      <c r="N1330">
        <v>53897570</v>
      </c>
      <c r="O1330">
        <v>4730932</v>
      </c>
      <c r="P1330">
        <v>137</v>
      </c>
      <c r="Q1330" t="s">
        <v>2961</v>
      </c>
    </row>
    <row r="1331" spans="1:17" x14ac:dyDescent="0.3">
      <c r="A1331" t="s">
        <v>33</v>
      </c>
      <c r="B1331" t="str">
        <f>"002406"</f>
        <v>002406</v>
      </c>
      <c r="C1331" t="s">
        <v>2962</v>
      </c>
      <c r="D1331" t="s">
        <v>858</v>
      </c>
      <c r="E1331">
        <v>45074643</v>
      </c>
      <c r="F1331">
        <v>57100798</v>
      </c>
      <c r="G1331">
        <v>56647976</v>
      </c>
      <c r="H1331">
        <v>99477543</v>
      </c>
      <c r="I1331">
        <v>19443777</v>
      </c>
      <c r="J1331">
        <v>17533725</v>
      </c>
      <c r="K1331">
        <v>-699213</v>
      </c>
      <c r="L1331">
        <v>5403107</v>
      </c>
      <c r="M1331">
        <v>4241662</v>
      </c>
      <c r="N1331">
        <v>23764202</v>
      </c>
      <c r="O1331">
        <v>18370461</v>
      </c>
      <c r="P1331">
        <v>272</v>
      </c>
      <c r="Q1331" t="s">
        <v>2963</v>
      </c>
    </row>
    <row r="1332" spans="1:17" x14ac:dyDescent="0.3">
      <c r="A1332" t="s">
        <v>33</v>
      </c>
      <c r="B1332" t="str">
        <f>"002288"</f>
        <v>002288</v>
      </c>
      <c r="C1332" t="s">
        <v>2964</v>
      </c>
      <c r="D1332" t="s">
        <v>239</v>
      </c>
      <c r="E1332">
        <v>44855643</v>
      </c>
      <c r="F1332">
        <v>36324892</v>
      </c>
      <c r="G1332">
        <v>33110704</v>
      </c>
      <c r="H1332">
        <v>2954147</v>
      </c>
      <c r="I1332">
        <v>26780284</v>
      </c>
      <c r="J1332">
        <v>25151535</v>
      </c>
      <c r="K1332">
        <v>24949722</v>
      </c>
      <c r="L1332">
        <v>31409527</v>
      </c>
      <c r="M1332">
        <v>9146629</v>
      </c>
      <c r="N1332">
        <v>-20354000</v>
      </c>
      <c r="O1332">
        <v>11233</v>
      </c>
      <c r="P1332">
        <v>176</v>
      </c>
      <c r="Q1332" t="s">
        <v>2965</v>
      </c>
    </row>
    <row r="1333" spans="1:17" x14ac:dyDescent="0.3">
      <c r="A1333" t="s">
        <v>17</v>
      </c>
      <c r="B1333" t="str">
        <f>"603278"</f>
        <v>603278</v>
      </c>
      <c r="C1333" t="s">
        <v>2966</v>
      </c>
      <c r="D1333" t="s">
        <v>164</v>
      </c>
      <c r="E1333">
        <v>44831903</v>
      </c>
      <c r="F1333">
        <v>-101659855</v>
      </c>
      <c r="G1333">
        <v>71546559</v>
      </c>
      <c r="H1333">
        <v>21512303</v>
      </c>
      <c r="I1333">
        <v>20232439</v>
      </c>
      <c r="J1333">
        <v>3019107</v>
      </c>
      <c r="P1333">
        <v>122</v>
      </c>
      <c r="Q1333" t="s">
        <v>2967</v>
      </c>
    </row>
    <row r="1334" spans="1:17" x14ac:dyDescent="0.3">
      <c r="A1334" t="s">
        <v>33</v>
      </c>
      <c r="B1334" t="str">
        <f>"301263"</f>
        <v>301263</v>
      </c>
      <c r="C1334" t="s">
        <v>2968</v>
      </c>
      <c r="E1334">
        <v>44750344</v>
      </c>
      <c r="P1334">
        <v>5</v>
      </c>
      <c r="Q1334" t="s">
        <v>2969</v>
      </c>
    </row>
    <row r="1335" spans="1:17" x14ac:dyDescent="0.3">
      <c r="A1335" t="s">
        <v>17</v>
      </c>
      <c r="B1335" t="str">
        <f>"600114"</f>
        <v>600114</v>
      </c>
      <c r="C1335" t="s">
        <v>2970</v>
      </c>
      <c r="D1335" t="s">
        <v>164</v>
      </c>
      <c r="E1335">
        <v>44714889</v>
      </c>
      <c r="F1335">
        <v>45791189</v>
      </c>
      <c r="G1335">
        <v>53430990</v>
      </c>
      <c r="H1335">
        <v>83508307</v>
      </c>
      <c r="I1335">
        <v>42655608</v>
      </c>
      <c r="J1335">
        <v>62281168</v>
      </c>
      <c r="K1335">
        <v>105737447</v>
      </c>
      <c r="L1335">
        <v>58635682</v>
      </c>
      <c r="M1335">
        <v>60209170</v>
      </c>
      <c r="N1335">
        <v>48396203</v>
      </c>
      <c r="O1335">
        <v>53675688</v>
      </c>
      <c r="P1335">
        <v>302</v>
      </c>
      <c r="Q1335" t="s">
        <v>2971</v>
      </c>
    </row>
    <row r="1336" spans="1:17" x14ac:dyDescent="0.3">
      <c r="A1336" t="s">
        <v>33</v>
      </c>
      <c r="B1336" t="str">
        <f>"300846"</f>
        <v>300846</v>
      </c>
      <c r="C1336" t="s">
        <v>2972</v>
      </c>
      <c r="D1336" t="s">
        <v>508</v>
      </c>
      <c r="E1336">
        <v>44584276</v>
      </c>
      <c r="F1336">
        <v>30840655</v>
      </c>
      <c r="G1336">
        <v>43821876</v>
      </c>
      <c r="H1336">
        <v>22018732</v>
      </c>
      <c r="I1336">
        <v>18596289</v>
      </c>
      <c r="P1336">
        <v>78</v>
      </c>
      <c r="Q1336" t="s">
        <v>2973</v>
      </c>
    </row>
    <row r="1337" spans="1:17" x14ac:dyDescent="0.3">
      <c r="A1337" t="s">
        <v>17</v>
      </c>
      <c r="B1337" t="str">
        <f>"605169"</f>
        <v>605169</v>
      </c>
      <c r="C1337" t="s">
        <v>2974</v>
      </c>
      <c r="D1337" t="s">
        <v>649</v>
      </c>
      <c r="E1337">
        <v>44569986</v>
      </c>
      <c r="F1337">
        <v>-6580811</v>
      </c>
      <c r="G1337">
        <v>1222266</v>
      </c>
      <c r="P1337">
        <v>62</v>
      </c>
      <c r="Q1337" t="s">
        <v>2975</v>
      </c>
    </row>
    <row r="1338" spans="1:17" x14ac:dyDescent="0.3">
      <c r="A1338" t="s">
        <v>17</v>
      </c>
      <c r="B1338" t="str">
        <f>"603817"</f>
        <v>603817</v>
      </c>
      <c r="C1338" t="s">
        <v>2976</v>
      </c>
      <c r="D1338" t="s">
        <v>932</v>
      </c>
      <c r="E1338">
        <v>44540402</v>
      </c>
      <c r="F1338">
        <v>118402371</v>
      </c>
      <c r="G1338">
        <v>254745585</v>
      </c>
      <c r="H1338">
        <v>129811102</v>
      </c>
      <c r="I1338">
        <v>31900058</v>
      </c>
      <c r="J1338">
        <v>45412542</v>
      </c>
      <c r="K1338">
        <v>80599721</v>
      </c>
      <c r="P1338">
        <v>121</v>
      </c>
      <c r="Q1338" t="s">
        <v>2977</v>
      </c>
    </row>
    <row r="1339" spans="1:17" x14ac:dyDescent="0.3">
      <c r="A1339" t="s">
        <v>17</v>
      </c>
      <c r="B1339" t="str">
        <f>"600727"</f>
        <v>600727</v>
      </c>
      <c r="C1339" t="s">
        <v>2978</v>
      </c>
      <c r="D1339" t="s">
        <v>817</v>
      </c>
      <c r="E1339">
        <v>44371524</v>
      </c>
      <c r="F1339">
        <v>103688219</v>
      </c>
      <c r="G1339">
        <v>39213523</v>
      </c>
      <c r="H1339">
        <v>39925268</v>
      </c>
      <c r="I1339">
        <v>-3001894</v>
      </c>
      <c r="J1339">
        <v>137290586</v>
      </c>
      <c r="K1339">
        <v>39077116</v>
      </c>
      <c r="L1339">
        <v>14905743</v>
      </c>
      <c r="M1339">
        <v>31614138</v>
      </c>
      <c r="N1339">
        <v>-20805051</v>
      </c>
      <c r="O1339">
        <v>41748048</v>
      </c>
      <c r="P1339">
        <v>138</v>
      </c>
      <c r="Q1339" t="s">
        <v>2979</v>
      </c>
    </row>
    <row r="1340" spans="1:17" x14ac:dyDescent="0.3">
      <c r="A1340" t="s">
        <v>17</v>
      </c>
      <c r="B1340" t="str">
        <f>"600052"</f>
        <v>600052</v>
      </c>
      <c r="C1340" t="s">
        <v>2980</v>
      </c>
      <c r="D1340" t="s">
        <v>314</v>
      </c>
      <c r="E1340">
        <v>44228008</v>
      </c>
      <c r="F1340">
        <v>-246116139</v>
      </c>
      <c r="G1340">
        <v>-26832704</v>
      </c>
      <c r="H1340">
        <v>559057638</v>
      </c>
      <c r="I1340">
        <v>-142880325</v>
      </c>
      <c r="J1340">
        <v>230037545</v>
      </c>
      <c r="K1340">
        <v>-10927723</v>
      </c>
      <c r="L1340">
        <v>-140263783</v>
      </c>
      <c r="M1340">
        <v>-59839476</v>
      </c>
      <c r="N1340">
        <v>217397818</v>
      </c>
      <c r="O1340">
        <v>-180969942</v>
      </c>
      <c r="P1340">
        <v>133</v>
      </c>
      <c r="Q1340" t="s">
        <v>2981</v>
      </c>
    </row>
    <row r="1341" spans="1:17" x14ac:dyDescent="0.3">
      <c r="A1341" t="s">
        <v>33</v>
      </c>
      <c r="B1341" t="str">
        <f>"002309"</f>
        <v>002309</v>
      </c>
      <c r="C1341" t="s">
        <v>2982</v>
      </c>
      <c r="D1341" t="s">
        <v>690</v>
      </c>
      <c r="E1341">
        <v>44216730</v>
      </c>
      <c r="F1341">
        <v>193903990</v>
      </c>
      <c r="G1341">
        <v>47744747</v>
      </c>
      <c r="H1341">
        <v>271546270</v>
      </c>
      <c r="I1341">
        <v>-333772910</v>
      </c>
      <c r="J1341">
        <v>-360621271</v>
      </c>
      <c r="K1341">
        <v>-350937480</v>
      </c>
      <c r="L1341">
        <v>627073205</v>
      </c>
      <c r="M1341">
        <v>-629223452</v>
      </c>
      <c r="N1341">
        <v>-316626803</v>
      </c>
      <c r="O1341">
        <v>-321506374</v>
      </c>
      <c r="P1341">
        <v>284</v>
      </c>
      <c r="Q1341" t="s">
        <v>2983</v>
      </c>
    </row>
    <row r="1342" spans="1:17" x14ac:dyDescent="0.3">
      <c r="A1342" t="s">
        <v>33</v>
      </c>
      <c r="B1342" t="str">
        <f>"002074"</f>
        <v>002074</v>
      </c>
      <c r="C1342" t="s">
        <v>2984</v>
      </c>
      <c r="D1342" t="s">
        <v>156</v>
      </c>
      <c r="E1342">
        <v>44179591</v>
      </c>
      <c r="F1342">
        <v>110560379</v>
      </c>
      <c r="G1342">
        <v>-695711055</v>
      </c>
      <c r="H1342">
        <v>-203514960</v>
      </c>
      <c r="I1342">
        <v>-854224451</v>
      </c>
      <c r="J1342">
        <v>-594366332</v>
      </c>
      <c r="K1342">
        <v>23629958</v>
      </c>
      <c r="L1342">
        <v>-12311632</v>
      </c>
      <c r="M1342">
        <v>-22857112</v>
      </c>
      <c r="N1342">
        <v>25755548</v>
      </c>
      <c r="O1342">
        <v>-11351508</v>
      </c>
      <c r="P1342">
        <v>1003</v>
      </c>
      <c r="Q1342" t="s">
        <v>2985</v>
      </c>
    </row>
    <row r="1343" spans="1:17" x14ac:dyDescent="0.3">
      <c r="A1343" t="s">
        <v>17</v>
      </c>
      <c r="B1343" t="str">
        <f>"600965"</f>
        <v>600965</v>
      </c>
      <c r="C1343" t="s">
        <v>2986</v>
      </c>
      <c r="D1343" t="s">
        <v>2987</v>
      </c>
      <c r="E1343">
        <v>44062570</v>
      </c>
      <c r="F1343">
        <v>49069930</v>
      </c>
      <c r="G1343">
        <v>25005399</v>
      </c>
      <c r="H1343">
        <v>32992215</v>
      </c>
      <c r="I1343">
        <v>49294873</v>
      </c>
      <c r="J1343">
        <v>38972293</v>
      </c>
      <c r="K1343">
        <v>-28084904</v>
      </c>
      <c r="L1343">
        <v>4114947</v>
      </c>
      <c r="M1343">
        <v>37838879</v>
      </c>
      <c r="N1343">
        <v>5050644</v>
      </c>
      <c r="O1343">
        <v>1353655</v>
      </c>
      <c r="P1343">
        <v>113</v>
      </c>
      <c r="Q1343" t="s">
        <v>2988</v>
      </c>
    </row>
    <row r="1344" spans="1:17" x14ac:dyDescent="0.3">
      <c r="A1344" t="s">
        <v>33</v>
      </c>
      <c r="B1344" t="str">
        <f>"002412"</f>
        <v>002412</v>
      </c>
      <c r="C1344" t="s">
        <v>2989</v>
      </c>
      <c r="D1344" t="s">
        <v>533</v>
      </c>
      <c r="E1344">
        <v>44016378</v>
      </c>
      <c r="F1344">
        <v>70886845</v>
      </c>
      <c r="G1344">
        <v>-5782169</v>
      </c>
      <c r="H1344">
        <v>12431872</v>
      </c>
      <c r="I1344">
        <v>12881994</v>
      </c>
      <c r="J1344">
        <v>-14296361</v>
      </c>
      <c r="K1344">
        <v>45454824</v>
      </c>
      <c r="L1344">
        <v>-8830602</v>
      </c>
      <c r="M1344">
        <v>11103947</v>
      </c>
      <c r="N1344">
        <v>19394352</v>
      </c>
      <c r="O1344">
        <v>11979281</v>
      </c>
      <c r="P1344">
        <v>155</v>
      </c>
      <c r="Q1344" t="s">
        <v>2990</v>
      </c>
    </row>
    <row r="1345" spans="1:17" x14ac:dyDescent="0.3">
      <c r="A1345" t="s">
        <v>33</v>
      </c>
      <c r="B1345" t="str">
        <f>"300562"</f>
        <v>300562</v>
      </c>
      <c r="C1345" t="s">
        <v>2991</v>
      </c>
      <c r="D1345" t="s">
        <v>111</v>
      </c>
      <c r="E1345">
        <v>43925116</v>
      </c>
      <c r="F1345">
        <v>-5232596</v>
      </c>
      <c r="G1345">
        <v>27848913</v>
      </c>
      <c r="H1345">
        <v>15516597</v>
      </c>
      <c r="I1345">
        <v>82841649</v>
      </c>
      <c r="J1345">
        <v>-14375347</v>
      </c>
      <c r="K1345">
        <v>28396182</v>
      </c>
      <c r="P1345">
        <v>155</v>
      </c>
      <c r="Q1345" t="s">
        <v>2992</v>
      </c>
    </row>
    <row r="1346" spans="1:17" x14ac:dyDescent="0.3">
      <c r="A1346" t="s">
        <v>17</v>
      </c>
      <c r="B1346" t="str">
        <f>"601011"</f>
        <v>601011</v>
      </c>
      <c r="C1346" t="s">
        <v>2993</v>
      </c>
      <c r="D1346" t="s">
        <v>427</v>
      </c>
      <c r="E1346">
        <v>43859014</v>
      </c>
      <c r="F1346">
        <v>85529100</v>
      </c>
      <c r="G1346">
        <v>202938603</v>
      </c>
      <c r="H1346">
        <v>135377224</v>
      </c>
      <c r="I1346">
        <v>182850753</v>
      </c>
      <c r="J1346">
        <v>61908336</v>
      </c>
      <c r="K1346">
        <v>30892655</v>
      </c>
      <c r="L1346">
        <v>63292542</v>
      </c>
      <c r="M1346">
        <v>76502956</v>
      </c>
      <c r="N1346">
        <v>10943826</v>
      </c>
      <c r="O1346">
        <v>41058659</v>
      </c>
      <c r="P1346">
        <v>134</v>
      </c>
      <c r="Q1346" t="s">
        <v>2994</v>
      </c>
    </row>
    <row r="1347" spans="1:17" x14ac:dyDescent="0.3">
      <c r="A1347" t="s">
        <v>17</v>
      </c>
      <c r="B1347" t="str">
        <f>"600469"</f>
        <v>600469</v>
      </c>
      <c r="C1347" t="s">
        <v>2995</v>
      </c>
      <c r="D1347" t="s">
        <v>1618</v>
      </c>
      <c r="E1347">
        <v>43856333</v>
      </c>
      <c r="F1347">
        <v>78339981</v>
      </c>
      <c r="G1347">
        <v>76005516</v>
      </c>
      <c r="H1347">
        <v>41833187</v>
      </c>
      <c r="I1347">
        <v>-244449375</v>
      </c>
      <c r="J1347">
        <v>-302116547</v>
      </c>
      <c r="K1347">
        <v>-65091986</v>
      </c>
      <c r="L1347">
        <v>69109122</v>
      </c>
      <c r="M1347">
        <v>-75554541</v>
      </c>
      <c r="N1347">
        <v>237538194</v>
      </c>
      <c r="O1347">
        <v>187842367</v>
      </c>
      <c r="P1347">
        <v>99</v>
      </c>
      <c r="Q1347" t="s">
        <v>2996</v>
      </c>
    </row>
    <row r="1348" spans="1:17" x14ac:dyDescent="0.3">
      <c r="A1348" t="s">
        <v>17</v>
      </c>
      <c r="B1348" t="str">
        <f>"600200"</f>
        <v>600200</v>
      </c>
      <c r="C1348" t="s">
        <v>2997</v>
      </c>
      <c r="D1348" t="s">
        <v>590</v>
      </c>
      <c r="E1348">
        <v>43601145</v>
      </c>
      <c r="F1348">
        <v>526509618</v>
      </c>
      <c r="G1348">
        <v>-71382045</v>
      </c>
      <c r="H1348">
        <v>-26618897</v>
      </c>
      <c r="I1348">
        <v>92177948</v>
      </c>
      <c r="J1348">
        <v>-40589931</v>
      </c>
      <c r="K1348">
        <v>131031605</v>
      </c>
      <c r="L1348">
        <v>-149715077</v>
      </c>
      <c r="M1348">
        <v>-205126396</v>
      </c>
      <c r="N1348">
        <v>-23832196</v>
      </c>
      <c r="O1348">
        <v>74651189</v>
      </c>
      <c r="P1348">
        <v>143</v>
      </c>
      <c r="Q1348" t="s">
        <v>2998</v>
      </c>
    </row>
    <row r="1349" spans="1:17" x14ac:dyDescent="0.3">
      <c r="A1349" t="s">
        <v>17</v>
      </c>
      <c r="B1349" t="str">
        <f>"603331"</f>
        <v>603331</v>
      </c>
      <c r="C1349" t="s">
        <v>2999</v>
      </c>
      <c r="D1349" t="s">
        <v>1033</v>
      </c>
      <c r="E1349">
        <v>43591008</v>
      </c>
      <c r="F1349">
        <v>-5998966</v>
      </c>
      <c r="G1349">
        <v>-5738535</v>
      </c>
      <c r="H1349">
        <v>20449765</v>
      </c>
      <c r="I1349">
        <v>15354741</v>
      </c>
      <c r="J1349">
        <v>-11492568</v>
      </c>
      <c r="K1349">
        <v>18072414</v>
      </c>
      <c r="P1349">
        <v>83</v>
      </c>
      <c r="Q1349" t="s">
        <v>3000</v>
      </c>
    </row>
    <row r="1350" spans="1:17" x14ac:dyDescent="0.3">
      <c r="A1350" t="s">
        <v>33</v>
      </c>
      <c r="B1350" t="str">
        <f>"002166"</f>
        <v>002166</v>
      </c>
      <c r="C1350" t="s">
        <v>3001</v>
      </c>
      <c r="D1350" t="s">
        <v>533</v>
      </c>
      <c r="E1350">
        <v>43163856</v>
      </c>
      <c r="F1350">
        <v>-14110016</v>
      </c>
      <c r="G1350">
        <v>87322639</v>
      </c>
      <c r="H1350">
        <v>-90038058</v>
      </c>
      <c r="I1350">
        <v>12804279</v>
      </c>
      <c r="J1350">
        <v>-122622745</v>
      </c>
      <c r="K1350">
        <v>-22417819</v>
      </c>
      <c r="L1350">
        <v>94251066</v>
      </c>
      <c r="M1350">
        <v>69223442</v>
      </c>
      <c r="N1350">
        <v>-89476868</v>
      </c>
      <c r="O1350">
        <v>42689157</v>
      </c>
      <c r="P1350">
        <v>200</v>
      </c>
      <c r="Q1350" t="s">
        <v>3002</v>
      </c>
    </row>
    <row r="1351" spans="1:17" x14ac:dyDescent="0.3">
      <c r="A1351" t="s">
        <v>17</v>
      </c>
      <c r="B1351" t="str">
        <f>"688335"</f>
        <v>688335</v>
      </c>
      <c r="C1351" t="s">
        <v>3003</v>
      </c>
      <c r="D1351" t="s">
        <v>932</v>
      </c>
      <c r="E1351">
        <v>43146684</v>
      </c>
      <c r="F1351">
        <v>-50938908</v>
      </c>
      <c r="G1351">
        <v>-28824697</v>
      </c>
      <c r="H1351">
        <v>-22049101</v>
      </c>
      <c r="I1351">
        <v>51508887</v>
      </c>
      <c r="P1351">
        <v>61</v>
      </c>
      <c r="Q1351" t="s">
        <v>3004</v>
      </c>
    </row>
    <row r="1352" spans="1:17" x14ac:dyDescent="0.3">
      <c r="A1352" t="s">
        <v>17</v>
      </c>
      <c r="B1352" t="str">
        <f>"688148"</f>
        <v>688148</v>
      </c>
      <c r="C1352" t="s">
        <v>3005</v>
      </c>
      <c r="D1352" t="s">
        <v>795</v>
      </c>
      <c r="E1352">
        <v>43062191</v>
      </c>
      <c r="F1352">
        <v>-6887434</v>
      </c>
      <c r="G1352">
        <v>44456870</v>
      </c>
      <c r="P1352">
        <v>29</v>
      </c>
      <c r="Q1352" t="s">
        <v>3006</v>
      </c>
    </row>
    <row r="1353" spans="1:17" x14ac:dyDescent="0.3">
      <c r="A1353" t="s">
        <v>33</v>
      </c>
      <c r="B1353" t="str">
        <f>"300565"</f>
        <v>300565</v>
      </c>
      <c r="C1353" t="s">
        <v>3007</v>
      </c>
      <c r="D1353" t="s">
        <v>461</v>
      </c>
      <c r="E1353">
        <v>43060961</v>
      </c>
      <c r="F1353">
        <v>-97545153</v>
      </c>
      <c r="G1353">
        <v>-69260691</v>
      </c>
      <c r="H1353">
        <v>-55086631</v>
      </c>
      <c r="I1353">
        <v>-81837710</v>
      </c>
      <c r="J1353">
        <v>-3061001</v>
      </c>
      <c r="K1353">
        <v>-102412876</v>
      </c>
      <c r="P1353">
        <v>113</v>
      </c>
      <c r="Q1353" t="s">
        <v>3008</v>
      </c>
    </row>
    <row r="1354" spans="1:17" x14ac:dyDescent="0.3">
      <c r="A1354" t="s">
        <v>33</v>
      </c>
      <c r="B1354" t="str">
        <f>"000088"</f>
        <v>000088</v>
      </c>
      <c r="C1354" t="s">
        <v>3009</v>
      </c>
      <c r="D1354" t="s">
        <v>289</v>
      </c>
      <c r="E1354">
        <v>43009280</v>
      </c>
      <c r="F1354">
        <v>55667698</v>
      </c>
      <c r="G1354">
        <v>5494784</v>
      </c>
      <c r="H1354">
        <v>43533597</v>
      </c>
      <c r="I1354">
        <v>22876309</v>
      </c>
      <c r="J1354">
        <v>24856896</v>
      </c>
      <c r="K1354">
        <v>-11091799</v>
      </c>
      <c r="L1354">
        <v>15923407</v>
      </c>
      <c r="M1354">
        <v>24644470</v>
      </c>
      <c r="N1354">
        <v>21553654</v>
      </c>
      <c r="O1354">
        <v>46129632</v>
      </c>
      <c r="P1354">
        <v>170</v>
      </c>
      <c r="Q1354" t="s">
        <v>3010</v>
      </c>
    </row>
    <row r="1355" spans="1:17" x14ac:dyDescent="0.3">
      <c r="A1355" t="s">
        <v>17</v>
      </c>
      <c r="B1355" t="str">
        <f>"688216"</f>
        <v>688216</v>
      </c>
      <c r="C1355" t="s">
        <v>3011</v>
      </c>
      <c r="D1355" t="s">
        <v>370</v>
      </c>
      <c r="E1355">
        <v>42982522</v>
      </c>
      <c r="F1355">
        <v>39909539</v>
      </c>
      <c r="G1355">
        <v>10710524</v>
      </c>
      <c r="P1355">
        <v>26</v>
      </c>
      <c r="Q1355" t="s">
        <v>3012</v>
      </c>
    </row>
    <row r="1356" spans="1:17" x14ac:dyDescent="0.3">
      <c r="A1356" t="s">
        <v>33</v>
      </c>
      <c r="B1356" t="str">
        <f>"000972"</f>
        <v>000972</v>
      </c>
      <c r="C1356" t="s">
        <v>3013</v>
      </c>
      <c r="D1356" t="s">
        <v>768</v>
      </c>
      <c r="E1356">
        <v>42976551</v>
      </c>
      <c r="F1356">
        <v>-25390803</v>
      </c>
      <c r="G1356">
        <v>-4790684</v>
      </c>
      <c r="H1356">
        <v>-13002306</v>
      </c>
      <c r="I1356">
        <v>6407368</v>
      </c>
      <c r="J1356">
        <v>16578893</v>
      </c>
      <c r="K1356">
        <v>-210993621</v>
      </c>
      <c r="L1356">
        <v>-76043085</v>
      </c>
      <c r="M1356">
        <v>32668323</v>
      </c>
      <c r="N1356">
        <v>103314232</v>
      </c>
      <c r="O1356">
        <v>-80737529</v>
      </c>
      <c r="P1356">
        <v>78</v>
      </c>
      <c r="Q1356" t="s">
        <v>3014</v>
      </c>
    </row>
    <row r="1357" spans="1:17" x14ac:dyDescent="0.3">
      <c r="A1357" t="s">
        <v>17</v>
      </c>
      <c r="B1357" t="str">
        <f>"600379"</f>
        <v>600379</v>
      </c>
      <c r="C1357" t="s">
        <v>3015</v>
      </c>
      <c r="D1357" t="s">
        <v>298</v>
      </c>
      <c r="E1357">
        <v>42864210</v>
      </c>
      <c r="F1357">
        <v>44095276</v>
      </c>
      <c r="G1357">
        <v>16651934</v>
      </c>
      <c r="H1357">
        <v>-18664268</v>
      </c>
      <c r="I1357">
        <v>21482884</v>
      </c>
      <c r="J1357">
        <v>-18647192</v>
      </c>
      <c r="K1357">
        <v>16367008</v>
      </c>
      <c r="L1357">
        <v>133323431</v>
      </c>
      <c r="M1357">
        <v>112990</v>
      </c>
      <c r="N1357">
        <v>-29657127</v>
      </c>
      <c r="O1357">
        <v>-28964854</v>
      </c>
      <c r="P1357">
        <v>83</v>
      </c>
      <c r="Q1357" t="s">
        <v>3016</v>
      </c>
    </row>
    <row r="1358" spans="1:17" x14ac:dyDescent="0.3">
      <c r="A1358" t="s">
        <v>33</v>
      </c>
      <c r="B1358" t="str">
        <f>"000799"</f>
        <v>000799</v>
      </c>
      <c r="C1358" t="s">
        <v>3017</v>
      </c>
      <c r="D1358" t="s">
        <v>229</v>
      </c>
      <c r="E1358">
        <v>42856628</v>
      </c>
      <c r="F1358">
        <v>194692043</v>
      </c>
      <c r="G1358">
        <v>-47681481</v>
      </c>
      <c r="H1358">
        <v>-5870027</v>
      </c>
      <c r="I1358">
        <v>-925381</v>
      </c>
      <c r="J1358">
        <v>-24613123</v>
      </c>
      <c r="K1358">
        <v>29439802</v>
      </c>
      <c r="L1358">
        <v>38313077</v>
      </c>
      <c r="M1358">
        <v>-97002597</v>
      </c>
      <c r="N1358">
        <v>-180916128</v>
      </c>
      <c r="O1358">
        <v>145252718</v>
      </c>
      <c r="P1358">
        <v>1661</v>
      </c>
      <c r="Q1358" t="s">
        <v>3018</v>
      </c>
    </row>
    <row r="1359" spans="1:17" x14ac:dyDescent="0.3">
      <c r="A1359" t="s">
        <v>17</v>
      </c>
      <c r="B1359" t="str">
        <f>"603221"</f>
        <v>603221</v>
      </c>
      <c r="C1359" t="s">
        <v>3019</v>
      </c>
      <c r="D1359" t="s">
        <v>2743</v>
      </c>
      <c r="E1359">
        <v>42830193</v>
      </c>
      <c r="F1359">
        <v>84024811</v>
      </c>
      <c r="G1359">
        <v>-26162432</v>
      </c>
      <c r="H1359">
        <v>-22535667</v>
      </c>
      <c r="P1359">
        <v>79</v>
      </c>
      <c r="Q1359" t="s">
        <v>3020</v>
      </c>
    </row>
    <row r="1360" spans="1:17" x14ac:dyDescent="0.3">
      <c r="A1360" t="s">
        <v>33</v>
      </c>
      <c r="B1360" t="str">
        <f>"300972"</f>
        <v>300972</v>
      </c>
      <c r="C1360" t="s">
        <v>3021</v>
      </c>
      <c r="D1360" t="s">
        <v>1840</v>
      </c>
      <c r="E1360">
        <v>42803711</v>
      </c>
      <c r="F1360">
        <v>60909106</v>
      </c>
      <c r="G1360">
        <v>60548945</v>
      </c>
      <c r="P1360">
        <v>22</v>
      </c>
      <c r="Q1360" t="s">
        <v>3022</v>
      </c>
    </row>
    <row r="1361" spans="1:17" x14ac:dyDescent="0.3">
      <c r="A1361" t="s">
        <v>17</v>
      </c>
      <c r="B1361" t="str">
        <f>"600605"</f>
        <v>600605</v>
      </c>
      <c r="C1361" t="s">
        <v>3023</v>
      </c>
      <c r="D1361" t="s">
        <v>394</v>
      </c>
      <c r="E1361">
        <v>42755619</v>
      </c>
      <c r="F1361">
        <v>-577082139</v>
      </c>
      <c r="G1361">
        <v>-6367326</v>
      </c>
      <c r="H1361">
        <v>-7820582</v>
      </c>
      <c r="I1361">
        <v>-92285943</v>
      </c>
      <c r="J1361">
        <v>19818051</v>
      </c>
      <c r="K1361">
        <v>-42477449</v>
      </c>
      <c r="L1361">
        <v>-7735955</v>
      </c>
      <c r="M1361">
        <v>81378032</v>
      </c>
      <c r="N1361">
        <v>-2229055</v>
      </c>
      <c r="O1361">
        <v>17840337</v>
      </c>
      <c r="P1361">
        <v>71</v>
      </c>
      <c r="Q1361" t="s">
        <v>3024</v>
      </c>
    </row>
    <row r="1362" spans="1:17" x14ac:dyDescent="0.3">
      <c r="A1362" t="s">
        <v>17</v>
      </c>
      <c r="B1362" t="str">
        <f>"600776"</f>
        <v>600776</v>
      </c>
      <c r="C1362" t="s">
        <v>3025</v>
      </c>
      <c r="D1362" t="s">
        <v>2475</v>
      </c>
      <c r="E1362">
        <v>42641651</v>
      </c>
      <c r="F1362">
        <v>-129175104</v>
      </c>
      <c r="G1362">
        <v>-232873729</v>
      </c>
      <c r="H1362">
        <v>-109163360</v>
      </c>
      <c r="I1362">
        <v>-202204385</v>
      </c>
      <c r="J1362">
        <v>-228584497</v>
      </c>
      <c r="K1362">
        <v>-243629601</v>
      </c>
      <c r="L1362">
        <v>-162390996</v>
      </c>
      <c r="M1362">
        <v>-254525575</v>
      </c>
      <c r="N1362">
        <v>-174985569</v>
      </c>
      <c r="O1362">
        <v>-108755465</v>
      </c>
      <c r="P1362">
        <v>284</v>
      </c>
      <c r="Q1362" t="s">
        <v>3026</v>
      </c>
    </row>
    <row r="1363" spans="1:17" x14ac:dyDescent="0.3">
      <c r="A1363" t="s">
        <v>17</v>
      </c>
      <c r="B1363" t="str">
        <f>"600444"</f>
        <v>600444</v>
      </c>
      <c r="C1363" t="s">
        <v>3027</v>
      </c>
      <c r="D1363" t="s">
        <v>1895</v>
      </c>
      <c r="E1363">
        <v>42524004</v>
      </c>
      <c r="F1363">
        <v>-51659776</v>
      </c>
      <c r="G1363">
        <v>2515717</v>
      </c>
      <c r="H1363">
        <v>-7986621</v>
      </c>
      <c r="I1363">
        <v>-25868333</v>
      </c>
      <c r="J1363">
        <v>-70188212</v>
      </c>
      <c r="K1363">
        <v>2855915</v>
      </c>
      <c r="L1363">
        <v>-6431007</v>
      </c>
      <c r="M1363">
        <v>-1553666</v>
      </c>
      <c r="N1363">
        <v>-22947321</v>
      </c>
      <c r="O1363">
        <v>-4040293</v>
      </c>
      <c r="P1363">
        <v>69</v>
      </c>
      <c r="Q1363" t="s">
        <v>3028</v>
      </c>
    </row>
    <row r="1364" spans="1:17" x14ac:dyDescent="0.3">
      <c r="A1364" t="s">
        <v>17</v>
      </c>
      <c r="B1364" t="str">
        <f>"603536"</f>
        <v>603536</v>
      </c>
      <c r="C1364" t="s">
        <v>3029</v>
      </c>
      <c r="D1364" t="s">
        <v>886</v>
      </c>
      <c r="E1364">
        <v>42480091</v>
      </c>
      <c r="F1364">
        <v>-36163182</v>
      </c>
      <c r="G1364">
        <v>-1518848</v>
      </c>
      <c r="H1364">
        <v>27996427</v>
      </c>
      <c r="I1364">
        <v>42773510</v>
      </c>
      <c r="J1364">
        <v>-1463076</v>
      </c>
      <c r="P1364">
        <v>125</v>
      </c>
      <c r="Q1364" t="s">
        <v>3030</v>
      </c>
    </row>
    <row r="1365" spans="1:17" x14ac:dyDescent="0.3">
      <c r="A1365" t="s">
        <v>33</v>
      </c>
      <c r="B1365" t="str">
        <f>"002444"</f>
        <v>002444</v>
      </c>
      <c r="C1365" t="s">
        <v>3031</v>
      </c>
      <c r="D1365" t="s">
        <v>1033</v>
      </c>
      <c r="E1365">
        <v>42355100</v>
      </c>
      <c r="F1365">
        <v>-67541516</v>
      </c>
      <c r="G1365">
        <v>-1369766</v>
      </c>
      <c r="H1365">
        <v>-269222965</v>
      </c>
      <c r="I1365">
        <v>135439457</v>
      </c>
      <c r="J1365">
        <v>129149899</v>
      </c>
      <c r="K1365">
        <v>82091688</v>
      </c>
      <c r="L1365">
        <v>106436791</v>
      </c>
      <c r="M1365">
        <v>27544921</v>
      </c>
      <c r="N1365">
        <v>173447663</v>
      </c>
      <c r="O1365">
        <v>159894088</v>
      </c>
      <c r="P1365">
        <v>656</v>
      </c>
      <c r="Q1365" t="s">
        <v>3032</v>
      </c>
    </row>
    <row r="1366" spans="1:17" x14ac:dyDescent="0.3">
      <c r="A1366" t="s">
        <v>33</v>
      </c>
      <c r="B1366" t="str">
        <f>"300928"</f>
        <v>300928</v>
      </c>
      <c r="C1366" t="s">
        <v>3033</v>
      </c>
      <c r="D1366" t="s">
        <v>603</v>
      </c>
      <c r="E1366">
        <v>42345630</v>
      </c>
      <c r="F1366">
        <v>-105695026</v>
      </c>
      <c r="G1366">
        <v>-51188958</v>
      </c>
      <c r="H1366">
        <v>-37875200</v>
      </c>
      <c r="P1366">
        <v>27</v>
      </c>
      <c r="Q1366" t="s">
        <v>3034</v>
      </c>
    </row>
    <row r="1367" spans="1:17" x14ac:dyDescent="0.3">
      <c r="A1367" t="s">
        <v>33</v>
      </c>
      <c r="B1367" t="str">
        <f>"002422"</f>
        <v>002422</v>
      </c>
      <c r="C1367" t="s">
        <v>3035</v>
      </c>
      <c r="D1367" t="s">
        <v>590</v>
      </c>
      <c r="E1367">
        <v>42128261</v>
      </c>
      <c r="F1367">
        <v>-92535222</v>
      </c>
      <c r="G1367">
        <v>-149779141</v>
      </c>
      <c r="H1367">
        <v>542592001</v>
      </c>
      <c r="I1367">
        <v>739537581</v>
      </c>
      <c r="J1367">
        <v>207044923</v>
      </c>
      <c r="K1367">
        <v>534132570</v>
      </c>
      <c r="L1367">
        <v>61723002</v>
      </c>
      <c r="M1367">
        <v>75302437</v>
      </c>
      <c r="N1367">
        <v>45511568</v>
      </c>
      <c r="O1367">
        <v>122100378</v>
      </c>
      <c r="P1367">
        <v>927</v>
      </c>
      <c r="Q1367" t="s">
        <v>3036</v>
      </c>
    </row>
    <row r="1368" spans="1:17" x14ac:dyDescent="0.3">
      <c r="A1368" t="s">
        <v>17</v>
      </c>
      <c r="B1368" t="str">
        <f>"600209"</f>
        <v>600209</v>
      </c>
      <c r="C1368" t="s">
        <v>3037</v>
      </c>
      <c r="D1368" t="s">
        <v>1779</v>
      </c>
      <c r="E1368">
        <v>41992466</v>
      </c>
      <c r="F1368">
        <v>-13730747</v>
      </c>
      <c r="G1368">
        <v>-13832060</v>
      </c>
      <c r="H1368">
        <v>-2459492</v>
      </c>
      <c r="I1368">
        <v>-11071229</v>
      </c>
      <c r="J1368">
        <v>-8182479</v>
      </c>
      <c r="K1368">
        <v>-18912058</v>
      </c>
      <c r="L1368">
        <v>-7389550</v>
      </c>
      <c r="M1368">
        <v>-3988424</v>
      </c>
      <c r="N1368">
        <v>-35718491</v>
      </c>
      <c r="O1368">
        <v>17262928</v>
      </c>
      <c r="P1368">
        <v>49</v>
      </c>
      <c r="Q1368" t="s">
        <v>3038</v>
      </c>
    </row>
    <row r="1369" spans="1:17" x14ac:dyDescent="0.3">
      <c r="A1369" t="s">
        <v>17</v>
      </c>
      <c r="B1369" t="str">
        <f>"605058"</f>
        <v>605058</v>
      </c>
      <c r="C1369" t="s">
        <v>3039</v>
      </c>
      <c r="D1369" t="s">
        <v>239</v>
      </c>
      <c r="E1369">
        <v>41857315</v>
      </c>
      <c r="F1369">
        <v>58167704</v>
      </c>
      <c r="G1369">
        <v>1643581</v>
      </c>
      <c r="P1369">
        <v>48</v>
      </c>
      <c r="Q1369" t="s">
        <v>3040</v>
      </c>
    </row>
    <row r="1370" spans="1:17" x14ac:dyDescent="0.3">
      <c r="A1370" t="s">
        <v>17</v>
      </c>
      <c r="B1370" t="str">
        <f>"600512"</f>
        <v>600512</v>
      </c>
      <c r="C1370" t="s">
        <v>3041</v>
      </c>
      <c r="D1370" t="s">
        <v>1527</v>
      </c>
      <c r="E1370">
        <v>41821435</v>
      </c>
      <c r="F1370">
        <v>434270351</v>
      </c>
      <c r="G1370">
        <v>20374248</v>
      </c>
      <c r="H1370">
        <v>155665744</v>
      </c>
      <c r="I1370">
        <v>-295882259</v>
      </c>
      <c r="J1370">
        <v>-223152825</v>
      </c>
      <c r="K1370">
        <v>54691443</v>
      </c>
      <c r="L1370">
        <v>-192985200</v>
      </c>
      <c r="M1370">
        <v>20919938</v>
      </c>
      <c r="N1370">
        <v>52363147</v>
      </c>
      <c r="O1370">
        <v>-60761048</v>
      </c>
      <c r="P1370">
        <v>161</v>
      </c>
      <c r="Q1370" t="s">
        <v>3042</v>
      </c>
    </row>
    <row r="1371" spans="1:17" x14ac:dyDescent="0.3">
      <c r="A1371" t="s">
        <v>17</v>
      </c>
      <c r="B1371" t="str">
        <f>"600475"</f>
        <v>600475</v>
      </c>
      <c r="C1371" t="s">
        <v>3043</v>
      </c>
      <c r="D1371" t="s">
        <v>3044</v>
      </c>
      <c r="E1371">
        <v>41587350</v>
      </c>
      <c r="F1371">
        <v>-8691109</v>
      </c>
      <c r="G1371">
        <v>-142954958</v>
      </c>
      <c r="H1371">
        <v>-916582</v>
      </c>
      <c r="I1371">
        <v>-344534406</v>
      </c>
      <c r="J1371">
        <v>-20744230</v>
      </c>
      <c r="K1371">
        <v>-74292947</v>
      </c>
      <c r="L1371">
        <v>92052310</v>
      </c>
      <c r="M1371">
        <v>-6958312</v>
      </c>
      <c r="N1371">
        <v>-177443412</v>
      </c>
      <c r="O1371">
        <v>-38683273</v>
      </c>
      <c r="P1371">
        <v>169</v>
      </c>
      <c r="Q1371" t="s">
        <v>3045</v>
      </c>
    </row>
    <row r="1372" spans="1:17" x14ac:dyDescent="0.3">
      <c r="A1372" t="s">
        <v>33</v>
      </c>
      <c r="B1372" t="str">
        <f>"300473"</f>
        <v>300473</v>
      </c>
      <c r="C1372" t="s">
        <v>3046</v>
      </c>
      <c r="D1372" t="s">
        <v>1419</v>
      </c>
      <c r="E1372">
        <v>41504178</v>
      </c>
      <c r="F1372">
        <v>-73319729</v>
      </c>
      <c r="G1372">
        <v>78412173</v>
      </c>
      <c r="H1372">
        <v>57087232</v>
      </c>
      <c r="I1372">
        <v>25685636</v>
      </c>
      <c r="J1372">
        <v>-6716165</v>
      </c>
      <c r="K1372">
        <v>86884717</v>
      </c>
      <c r="L1372">
        <v>55549700</v>
      </c>
      <c r="M1372">
        <v>74531300</v>
      </c>
      <c r="P1372">
        <v>142</v>
      </c>
      <c r="Q1372" t="s">
        <v>3047</v>
      </c>
    </row>
    <row r="1373" spans="1:17" x14ac:dyDescent="0.3">
      <c r="A1373" t="s">
        <v>33</v>
      </c>
      <c r="B1373" t="str">
        <f>"300969"</f>
        <v>300969</v>
      </c>
      <c r="C1373" t="s">
        <v>3048</v>
      </c>
      <c r="D1373" t="s">
        <v>200</v>
      </c>
      <c r="E1373">
        <v>41495119</v>
      </c>
      <c r="F1373">
        <v>4214010</v>
      </c>
      <c r="G1373">
        <v>19153867</v>
      </c>
      <c r="P1373">
        <v>42</v>
      </c>
      <c r="Q1373" t="s">
        <v>3049</v>
      </c>
    </row>
    <row r="1374" spans="1:17" x14ac:dyDescent="0.3">
      <c r="A1374" t="s">
        <v>33</v>
      </c>
      <c r="B1374" t="str">
        <f>"300352"</f>
        <v>300352</v>
      </c>
      <c r="C1374" t="s">
        <v>3050</v>
      </c>
      <c r="D1374" t="s">
        <v>807</v>
      </c>
      <c r="E1374">
        <v>41466025</v>
      </c>
      <c r="F1374">
        <v>-160789676</v>
      </c>
      <c r="G1374">
        <v>-43232274</v>
      </c>
      <c r="H1374">
        <v>-47494923</v>
      </c>
      <c r="I1374">
        <v>-78196313</v>
      </c>
      <c r="J1374">
        <v>-50018437</v>
      </c>
      <c r="K1374">
        <v>-36609819</v>
      </c>
      <c r="L1374">
        <v>-16553043</v>
      </c>
      <c r="M1374">
        <v>-26100149</v>
      </c>
      <c r="N1374">
        <v>-30173263</v>
      </c>
      <c r="O1374">
        <v>-12393686</v>
      </c>
      <c r="P1374">
        <v>255</v>
      </c>
      <c r="Q1374" t="s">
        <v>3051</v>
      </c>
    </row>
    <row r="1375" spans="1:17" x14ac:dyDescent="0.3">
      <c r="A1375" t="s">
        <v>33</v>
      </c>
      <c r="B1375" t="str">
        <f>"300790"</f>
        <v>300790</v>
      </c>
      <c r="C1375" t="s">
        <v>3052</v>
      </c>
      <c r="D1375" t="s">
        <v>2597</v>
      </c>
      <c r="E1375">
        <v>41092636</v>
      </c>
      <c r="F1375">
        <v>123963394</v>
      </c>
      <c r="G1375">
        <v>77898734</v>
      </c>
      <c r="H1375">
        <v>70080530</v>
      </c>
      <c r="P1375">
        <v>158</v>
      </c>
      <c r="Q1375" t="s">
        <v>3053</v>
      </c>
    </row>
    <row r="1376" spans="1:17" x14ac:dyDescent="0.3">
      <c r="A1376" t="s">
        <v>33</v>
      </c>
      <c r="B1376" t="str">
        <f>"000899"</f>
        <v>000899</v>
      </c>
      <c r="C1376" t="s">
        <v>3054</v>
      </c>
      <c r="D1376" t="s">
        <v>145</v>
      </c>
      <c r="E1376">
        <v>40977299</v>
      </c>
      <c r="F1376">
        <v>90999176</v>
      </c>
      <c r="G1376">
        <v>69694113</v>
      </c>
      <c r="H1376">
        <v>224066329</v>
      </c>
      <c r="I1376">
        <v>192948806</v>
      </c>
      <c r="J1376">
        <v>312590431</v>
      </c>
      <c r="K1376">
        <v>194437474</v>
      </c>
      <c r="L1376">
        <v>269041954</v>
      </c>
      <c r="M1376">
        <v>270130182</v>
      </c>
      <c r="N1376">
        <v>155895011</v>
      </c>
      <c r="O1376">
        <v>258284534</v>
      </c>
      <c r="P1376">
        <v>174</v>
      </c>
      <c r="Q1376" t="s">
        <v>3055</v>
      </c>
    </row>
    <row r="1377" spans="1:17" x14ac:dyDescent="0.3">
      <c r="A1377" t="s">
        <v>33</v>
      </c>
      <c r="B1377" t="str">
        <f>"300528"</f>
        <v>300528</v>
      </c>
      <c r="C1377" t="s">
        <v>3056</v>
      </c>
      <c r="D1377" t="s">
        <v>1047</v>
      </c>
      <c r="E1377">
        <v>40966834</v>
      </c>
      <c r="F1377">
        <v>286747044</v>
      </c>
      <c r="G1377">
        <v>-4773041</v>
      </c>
      <c r="H1377">
        <v>33721527</v>
      </c>
      <c r="I1377">
        <v>-25226578</v>
      </c>
      <c r="J1377">
        <v>108803965</v>
      </c>
      <c r="K1377">
        <v>93061538</v>
      </c>
      <c r="L1377">
        <v>67731815</v>
      </c>
      <c r="P1377">
        <v>81</v>
      </c>
      <c r="Q1377" t="s">
        <v>3057</v>
      </c>
    </row>
    <row r="1378" spans="1:17" x14ac:dyDescent="0.3">
      <c r="A1378" t="s">
        <v>17</v>
      </c>
      <c r="B1378" t="str">
        <f>"600293"</f>
        <v>600293</v>
      </c>
      <c r="C1378" t="s">
        <v>3058</v>
      </c>
      <c r="D1378" t="s">
        <v>1025</v>
      </c>
      <c r="E1378">
        <v>40898057</v>
      </c>
      <c r="F1378">
        <v>16350820</v>
      </c>
      <c r="G1378">
        <v>-21440072</v>
      </c>
      <c r="H1378">
        <v>83563343</v>
      </c>
      <c r="I1378">
        <v>187584811</v>
      </c>
      <c r="J1378">
        <v>438869962</v>
      </c>
      <c r="K1378">
        <v>7428267</v>
      </c>
      <c r="L1378">
        <v>4294239</v>
      </c>
      <c r="M1378">
        <v>10952801</v>
      </c>
      <c r="N1378">
        <v>19326235</v>
      </c>
      <c r="O1378">
        <v>6614240</v>
      </c>
      <c r="P1378">
        <v>126</v>
      </c>
      <c r="Q1378" t="s">
        <v>3059</v>
      </c>
    </row>
    <row r="1379" spans="1:17" x14ac:dyDescent="0.3">
      <c r="A1379" t="s">
        <v>17</v>
      </c>
      <c r="B1379" t="str">
        <f>"688050"</f>
        <v>688050</v>
      </c>
      <c r="C1379" t="s">
        <v>3060</v>
      </c>
      <c r="D1379" t="s">
        <v>903</v>
      </c>
      <c r="E1379">
        <v>40870537</v>
      </c>
      <c r="F1379">
        <v>30512473</v>
      </c>
      <c r="G1379">
        <v>-6460002</v>
      </c>
      <c r="H1379">
        <v>299116</v>
      </c>
      <c r="P1379">
        <v>411</v>
      </c>
      <c r="Q1379" t="s">
        <v>3061</v>
      </c>
    </row>
    <row r="1380" spans="1:17" x14ac:dyDescent="0.3">
      <c r="A1380" t="s">
        <v>17</v>
      </c>
      <c r="B1380" t="str">
        <f>"603059"</f>
        <v>603059</v>
      </c>
      <c r="C1380" t="s">
        <v>3062</v>
      </c>
      <c r="D1380" t="s">
        <v>1794</v>
      </c>
      <c r="E1380">
        <v>40855933</v>
      </c>
      <c r="F1380">
        <v>27387207</v>
      </c>
      <c r="G1380">
        <v>-752465</v>
      </c>
      <c r="H1380">
        <v>33036820</v>
      </c>
      <c r="I1380">
        <v>-7834537</v>
      </c>
      <c r="J1380">
        <v>12251919</v>
      </c>
      <c r="P1380">
        <v>99</v>
      </c>
      <c r="Q1380" t="s">
        <v>3063</v>
      </c>
    </row>
    <row r="1381" spans="1:17" x14ac:dyDescent="0.3">
      <c r="A1381" t="s">
        <v>33</v>
      </c>
      <c r="B1381" t="str">
        <f>"000935"</f>
        <v>000935</v>
      </c>
      <c r="C1381" t="s">
        <v>3064</v>
      </c>
      <c r="D1381" t="s">
        <v>260</v>
      </c>
      <c r="E1381">
        <v>40565031</v>
      </c>
      <c r="F1381">
        <v>54839827</v>
      </c>
      <c r="G1381">
        <v>97779663</v>
      </c>
      <c r="H1381">
        <v>40201214</v>
      </c>
      <c r="I1381">
        <v>37143583</v>
      </c>
      <c r="J1381">
        <v>-54087847</v>
      </c>
      <c r="K1381">
        <v>23112673</v>
      </c>
      <c r="L1381">
        <v>-143390139</v>
      </c>
      <c r="M1381">
        <v>22085061</v>
      </c>
      <c r="N1381">
        <v>42192937</v>
      </c>
      <c r="O1381">
        <v>-35031737</v>
      </c>
      <c r="P1381">
        <v>230</v>
      </c>
      <c r="Q1381" t="s">
        <v>3065</v>
      </c>
    </row>
    <row r="1382" spans="1:17" x14ac:dyDescent="0.3">
      <c r="A1382" t="s">
        <v>33</v>
      </c>
      <c r="B1382" t="str">
        <f>"300307"</f>
        <v>300307</v>
      </c>
      <c r="C1382" t="s">
        <v>3066</v>
      </c>
      <c r="D1382" t="s">
        <v>2847</v>
      </c>
      <c r="E1382">
        <v>40445919</v>
      </c>
      <c r="F1382">
        <v>50063881</v>
      </c>
      <c r="G1382">
        <v>12589721</v>
      </c>
      <c r="H1382">
        <v>55889142</v>
      </c>
      <c r="I1382">
        <v>23966100</v>
      </c>
      <c r="J1382">
        <v>119302387</v>
      </c>
      <c r="K1382">
        <v>29500142</v>
      </c>
      <c r="L1382">
        <v>-15389888</v>
      </c>
      <c r="M1382">
        <v>-278650075</v>
      </c>
      <c r="N1382">
        <v>185160557</v>
      </c>
      <c r="O1382">
        <v>416978666</v>
      </c>
      <c r="P1382">
        <v>2981</v>
      </c>
      <c r="Q1382" t="s">
        <v>3067</v>
      </c>
    </row>
    <row r="1383" spans="1:17" x14ac:dyDescent="0.3">
      <c r="A1383" t="s">
        <v>17</v>
      </c>
      <c r="B1383" t="str">
        <f>"603339"</f>
        <v>603339</v>
      </c>
      <c r="C1383" t="s">
        <v>3068</v>
      </c>
      <c r="D1383" t="s">
        <v>2883</v>
      </c>
      <c r="E1383">
        <v>40410628</v>
      </c>
      <c r="F1383">
        <v>-116279017</v>
      </c>
      <c r="G1383">
        <v>-68613633</v>
      </c>
      <c r="H1383">
        <v>-26274046</v>
      </c>
      <c r="I1383">
        <v>-50219366</v>
      </c>
      <c r="J1383">
        <v>34422945</v>
      </c>
      <c r="K1383">
        <v>75032582</v>
      </c>
      <c r="L1383">
        <v>87724005</v>
      </c>
      <c r="P1383">
        <v>163</v>
      </c>
      <c r="Q1383" t="s">
        <v>3069</v>
      </c>
    </row>
    <row r="1384" spans="1:17" x14ac:dyDescent="0.3">
      <c r="A1384" t="s">
        <v>33</v>
      </c>
      <c r="B1384" t="str">
        <f>"002897"</f>
        <v>002897</v>
      </c>
      <c r="C1384" t="s">
        <v>3070</v>
      </c>
      <c r="D1384" t="s">
        <v>461</v>
      </c>
      <c r="E1384">
        <v>40223208</v>
      </c>
      <c r="F1384">
        <v>-108047129</v>
      </c>
      <c r="G1384">
        <v>13284731</v>
      </c>
      <c r="H1384">
        <v>17954881</v>
      </c>
      <c r="I1384">
        <v>11479644</v>
      </c>
      <c r="J1384">
        <v>2587905</v>
      </c>
      <c r="P1384">
        <v>234</v>
      </c>
      <c r="Q1384" t="s">
        <v>3071</v>
      </c>
    </row>
    <row r="1385" spans="1:17" x14ac:dyDescent="0.3">
      <c r="A1385" t="s">
        <v>33</v>
      </c>
      <c r="B1385" t="str">
        <f>"300111"</f>
        <v>300111</v>
      </c>
      <c r="C1385" t="s">
        <v>3072</v>
      </c>
      <c r="D1385" t="s">
        <v>690</v>
      </c>
      <c r="E1385">
        <v>40096954</v>
      </c>
      <c r="F1385">
        <v>7216802</v>
      </c>
      <c r="G1385">
        <v>-38160259</v>
      </c>
      <c r="H1385">
        <v>-14236977</v>
      </c>
      <c r="I1385">
        <v>62962436</v>
      </c>
      <c r="J1385">
        <v>-89189967</v>
      </c>
      <c r="K1385">
        <v>4414400</v>
      </c>
      <c r="L1385">
        <v>3218381</v>
      </c>
      <c r="M1385">
        <v>20644573</v>
      </c>
      <c r="N1385">
        <v>14260086</v>
      </c>
      <c r="O1385">
        <v>24202720</v>
      </c>
      <c r="P1385">
        <v>124</v>
      </c>
      <c r="Q1385" t="s">
        <v>3073</v>
      </c>
    </row>
    <row r="1386" spans="1:17" x14ac:dyDescent="0.3">
      <c r="A1386" t="s">
        <v>17</v>
      </c>
      <c r="B1386" t="str">
        <f>"688312"</f>
        <v>688312</v>
      </c>
      <c r="C1386" t="s">
        <v>3074</v>
      </c>
      <c r="D1386" t="s">
        <v>1895</v>
      </c>
      <c r="E1386">
        <v>40033629</v>
      </c>
      <c r="F1386">
        <v>85225423</v>
      </c>
      <c r="G1386">
        <v>53409628</v>
      </c>
      <c r="H1386">
        <v>81722424</v>
      </c>
      <c r="P1386">
        <v>64</v>
      </c>
      <c r="Q1386" t="s">
        <v>3075</v>
      </c>
    </row>
    <row r="1387" spans="1:17" x14ac:dyDescent="0.3">
      <c r="A1387" t="s">
        <v>33</v>
      </c>
      <c r="B1387" t="str">
        <f>"002947"</f>
        <v>002947</v>
      </c>
      <c r="C1387" t="s">
        <v>3076</v>
      </c>
      <c r="D1387" t="s">
        <v>226</v>
      </c>
      <c r="E1387">
        <v>39662799</v>
      </c>
      <c r="F1387">
        <v>5038286</v>
      </c>
      <c r="G1387">
        <v>90081668</v>
      </c>
      <c r="H1387">
        <v>89274172</v>
      </c>
      <c r="I1387">
        <v>36703650</v>
      </c>
      <c r="J1387">
        <v>29728472</v>
      </c>
      <c r="P1387">
        <v>266</v>
      </c>
      <c r="Q1387" t="s">
        <v>3077</v>
      </c>
    </row>
    <row r="1388" spans="1:17" x14ac:dyDescent="0.3">
      <c r="A1388" t="s">
        <v>17</v>
      </c>
      <c r="B1388" t="str">
        <f>"688162"</f>
        <v>688162</v>
      </c>
      <c r="C1388" t="s">
        <v>3078</v>
      </c>
      <c r="D1388" t="s">
        <v>858</v>
      </c>
      <c r="E1388">
        <v>39652057</v>
      </c>
      <c r="F1388">
        <v>-3619598</v>
      </c>
      <c r="P1388">
        <v>31</v>
      </c>
      <c r="Q1388" t="s">
        <v>3079</v>
      </c>
    </row>
    <row r="1389" spans="1:17" x14ac:dyDescent="0.3">
      <c r="A1389" t="s">
        <v>33</v>
      </c>
      <c r="B1389" t="str">
        <f>"300833"</f>
        <v>300833</v>
      </c>
      <c r="C1389" t="s">
        <v>3080</v>
      </c>
      <c r="D1389" t="s">
        <v>1895</v>
      </c>
      <c r="E1389">
        <v>39525771</v>
      </c>
      <c r="F1389">
        <v>9982080</v>
      </c>
      <c r="G1389">
        <v>14941818</v>
      </c>
      <c r="H1389">
        <v>-1675188</v>
      </c>
      <c r="P1389">
        <v>89</v>
      </c>
      <c r="Q1389" t="s">
        <v>3081</v>
      </c>
    </row>
    <row r="1390" spans="1:17" x14ac:dyDescent="0.3">
      <c r="A1390" t="s">
        <v>17</v>
      </c>
      <c r="B1390" t="str">
        <f>"688135"</f>
        <v>688135</v>
      </c>
      <c r="C1390" t="s">
        <v>3082</v>
      </c>
      <c r="D1390" t="s">
        <v>370</v>
      </c>
      <c r="E1390">
        <v>39470613</v>
      </c>
      <c r="F1390">
        <v>45206606</v>
      </c>
      <c r="G1390">
        <v>16667391</v>
      </c>
      <c r="P1390">
        <v>87</v>
      </c>
      <c r="Q1390" t="s">
        <v>3083</v>
      </c>
    </row>
    <row r="1391" spans="1:17" x14ac:dyDescent="0.3">
      <c r="A1391" t="s">
        <v>33</v>
      </c>
      <c r="B1391" t="str">
        <f>"002864"</f>
        <v>002864</v>
      </c>
      <c r="C1391" t="s">
        <v>3084</v>
      </c>
      <c r="D1391" t="s">
        <v>533</v>
      </c>
      <c r="E1391">
        <v>39416073</v>
      </c>
      <c r="F1391">
        <v>4493507</v>
      </c>
      <c r="G1391">
        <v>21217101</v>
      </c>
      <c r="H1391">
        <v>9613393</v>
      </c>
      <c r="I1391">
        <v>3697480</v>
      </c>
      <c r="J1391">
        <v>1932939</v>
      </c>
      <c r="P1391">
        <v>184</v>
      </c>
      <c r="Q1391" t="s">
        <v>3085</v>
      </c>
    </row>
    <row r="1392" spans="1:17" x14ac:dyDescent="0.3">
      <c r="A1392" t="s">
        <v>17</v>
      </c>
      <c r="B1392" t="str">
        <f>"600818"</f>
        <v>600818</v>
      </c>
      <c r="C1392" t="s">
        <v>3086</v>
      </c>
      <c r="D1392" t="s">
        <v>1069</v>
      </c>
      <c r="E1392">
        <v>39294591</v>
      </c>
      <c r="F1392">
        <v>-28518104</v>
      </c>
      <c r="G1392">
        <v>-11407249</v>
      </c>
      <c r="H1392">
        <v>-7035716</v>
      </c>
      <c r="I1392">
        <v>-18162952</v>
      </c>
      <c r="J1392">
        <v>-43991693</v>
      </c>
      <c r="K1392">
        <v>45088985</v>
      </c>
      <c r="L1392">
        <v>1297349</v>
      </c>
      <c r="M1392">
        <v>-33398417</v>
      </c>
      <c r="N1392">
        <v>-13999836</v>
      </c>
      <c r="O1392">
        <v>-1065900</v>
      </c>
      <c r="P1392">
        <v>82</v>
      </c>
      <c r="Q1392" t="s">
        <v>3087</v>
      </c>
    </row>
    <row r="1393" spans="1:17" x14ac:dyDescent="0.3">
      <c r="A1393" t="s">
        <v>17</v>
      </c>
      <c r="B1393" t="str">
        <f>"603998"</f>
        <v>603998</v>
      </c>
      <c r="C1393" t="s">
        <v>3088</v>
      </c>
      <c r="D1393" t="s">
        <v>533</v>
      </c>
      <c r="E1393">
        <v>39252445</v>
      </c>
      <c r="F1393">
        <v>7035706</v>
      </c>
      <c r="G1393">
        <v>8257271</v>
      </c>
      <c r="H1393">
        <v>22080480</v>
      </c>
      <c r="I1393">
        <v>44133919</v>
      </c>
      <c r="J1393">
        <v>-3820371</v>
      </c>
      <c r="K1393">
        <v>4158243</v>
      </c>
      <c r="L1393">
        <v>7935949</v>
      </c>
      <c r="M1393">
        <v>-26586151</v>
      </c>
      <c r="P1393">
        <v>126</v>
      </c>
      <c r="Q1393" t="s">
        <v>3089</v>
      </c>
    </row>
    <row r="1394" spans="1:17" x14ac:dyDescent="0.3">
      <c r="A1394" t="s">
        <v>33</v>
      </c>
      <c r="B1394" t="str">
        <f>"002956"</f>
        <v>002956</v>
      </c>
      <c r="C1394" t="s">
        <v>3090</v>
      </c>
      <c r="D1394" t="s">
        <v>1356</v>
      </c>
      <c r="E1394">
        <v>39245713</v>
      </c>
      <c r="F1394">
        <v>13809165</v>
      </c>
      <c r="G1394">
        <v>-1323823</v>
      </c>
      <c r="H1394">
        <v>63940155</v>
      </c>
      <c r="I1394">
        <v>32523185</v>
      </c>
      <c r="P1394">
        <v>281</v>
      </c>
      <c r="Q1394" t="s">
        <v>3091</v>
      </c>
    </row>
    <row r="1395" spans="1:17" x14ac:dyDescent="0.3">
      <c r="A1395" t="s">
        <v>17</v>
      </c>
      <c r="B1395" t="str">
        <f>"603681"</f>
        <v>603681</v>
      </c>
      <c r="C1395" t="s">
        <v>3092</v>
      </c>
      <c r="D1395" t="s">
        <v>3093</v>
      </c>
      <c r="E1395">
        <v>39001009</v>
      </c>
      <c r="F1395">
        <v>-96606969</v>
      </c>
      <c r="G1395">
        <v>22586550</v>
      </c>
      <c r="H1395">
        <v>51050240</v>
      </c>
      <c r="I1395">
        <v>21595596</v>
      </c>
      <c r="P1395">
        <v>113</v>
      </c>
      <c r="Q1395" t="s">
        <v>3094</v>
      </c>
    </row>
    <row r="1396" spans="1:17" x14ac:dyDescent="0.3">
      <c r="A1396" t="s">
        <v>33</v>
      </c>
      <c r="B1396" t="str">
        <f>"002566"</f>
        <v>002566</v>
      </c>
      <c r="C1396" t="s">
        <v>3095</v>
      </c>
      <c r="D1396" t="s">
        <v>533</v>
      </c>
      <c r="E1396">
        <v>38973399</v>
      </c>
      <c r="F1396">
        <v>29363113</v>
      </c>
      <c r="G1396">
        <v>31724684</v>
      </c>
      <c r="H1396">
        <v>72102073</v>
      </c>
      <c r="I1396">
        <v>17082514</v>
      </c>
      <c r="J1396">
        <v>78349548</v>
      </c>
      <c r="K1396">
        <v>59313031</v>
      </c>
      <c r="L1396">
        <v>-324392201</v>
      </c>
      <c r="M1396">
        <v>-116694418</v>
      </c>
      <c r="N1396">
        <v>47138761</v>
      </c>
      <c r="O1396">
        <v>50504958</v>
      </c>
      <c r="P1396">
        <v>134</v>
      </c>
      <c r="Q1396" t="s">
        <v>3096</v>
      </c>
    </row>
    <row r="1397" spans="1:17" x14ac:dyDescent="0.3">
      <c r="A1397" t="s">
        <v>17</v>
      </c>
      <c r="B1397" t="str">
        <f>"603867"</f>
        <v>603867</v>
      </c>
      <c r="C1397" t="s">
        <v>3097</v>
      </c>
      <c r="D1397" t="s">
        <v>418</v>
      </c>
      <c r="E1397">
        <v>38876621</v>
      </c>
      <c r="F1397">
        <v>-64809725</v>
      </c>
      <c r="G1397">
        <v>-35068303</v>
      </c>
      <c r="H1397">
        <v>24556500</v>
      </c>
      <c r="I1397">
        <v>-21802000</v>
      </c>
      <c r="P1397">
        <v>88</v>
      </c>
      <c r="Q1397" t="s">
        <v>3098</v>
      </c>
    </row>
    <row r="1398" spans="1:17" x14ac:dyDescent="0.3">
      <c r="A1398" t="s">
        <v>33</v>
      </c>
      <c r="B1398" t="str">
        <f>"002779"</f>
        <v>002779</v>
      </c>
      <c r="C1398" t="s">
        <v>3099</v>
      </c>
      <c r="D1398" t="s">
        <v>1895</v>
      </c>
      <c r="E1398">
        <v>38779827</v>
      </c>
      <c r="F1398">
        <v>-24035647</v>
      </c>
      <c r="G1398">
        <v>7901007</v>
      </c>
      <c r="H1398">
        <v>-37290</v>
      </c>
      <c r="I1398">
        <v>4109299</v>
      </c>
      <c r="J1398">
        <v>-25698208</v>
      </c>
      <c r="K1398">
        <v>21423066</v>
      </c>
      <c r="L1398">
        <v>14778711</v>
      </c>
      <c r="M1398">
        <v>7987523</v>
      </c>
      <c r="P1398">
        <v>54</v>
      </c>
      <c r="Q1398" t="s">
        <v>3100</v>
      </c>
    </row>
    <row r="1399" spans="1:17" x14ac:dyDescent="0.3">
      <c r="A1399" t="s">
        <v>33</v>
      </c>
      <c r="B1399" t="str">
        <f>"300481"</f>
        <v>300481</v>
      </c>
      <c r="C1399" t="s">
        <v>3101</v>
      </c>
      <c r="D1399" t="s">
        <v>1330</v>
      </c>
      <c r="E1399">
        <v>38683619</v>
      </c>
      <c r="F1399">
        <v>-18264642</v>
      </c>
      <c r="G1399">
        <v>9244596</v>
      </c>
      <c r="H1399">
        <v>22315221</v>
      </c>
      <c r="I1399">
        <v>10021063</v>
      </c>
      <c r="J1399">
        <v>-4571690</v>
      </c>
      <c r="K1399">
        <v>16506835</v>
      </c>
      <c r="L1399">
        <v>1546657</v>
      </c>
      <c r="M1399">
        <v>1013756</v>
      </c>
      <c r="P1399">
        <v>352</v>
      </c>
      <c r="Q1399" t="s">
        <v>3102</v>
      </c>
    </row>
    <row r="1400" spans="1:17" x14ac:dyDescent="0.3">
      <c r="A1400" t="s">
        <v>17</v>
      </c>
      <c r="B1400" t="str">
        <f>"605099"</f>
        <v>605099</v>
      </c>
      <c r="C1400" t="s">
        <v>3103</v>
      </c>
      <c r="D1400" t="s">
        <v>927</v>
      </c>
      <c r="E1400">
        <v>38504442</v>
      </c>
      <c r="F1400">
        <v>7321124</v>
      </c>
      <c r="G1400">
        <v>79836049</v>
      </c>
      <c r="P1400">
        <v>166</v>
      </c>
      <c r="Q1400" t="s">
        <v>3104</v>
      </c>
    </row>
    <row r="1401" spans="1:17" x14ac:dyDescent="0.3">
      <c r="A1401" t="s">
        <v>33</v>
      </c>
      <c r="B1401" t="str">
        <f>"300179"</f>
        <v>300179</v>
      </c>
      <c r="C1401" t="s">
        <v>3105</v>
      </c>
      <c r="D1401" t="s">
        <v>1219</v>
      </c>
      <c r="E1401">
        <v>38407158</v>
      </c>
      <c r="F1401">
        <v>31353524</v>
      </c>
      <c r="G1401">
        <v>31711773</v>
      </c>
      <c r="H1401">
        <v>41087790</v>
      </c>
      <c r="I1401">
        <v>31441635</v>
      </c>
      <c r="J1401">
        <v>8402881</v>
      </c>
      <c r="K1401">
        <v>3868861</v>
      </c>
      <c r="L1401">
        <v>4101901</v>
      </c>
      <c r="M1401">
        <v>-3827586</v>
      </c>
      <c r="N1401">
        <v>4841106</v>
      </c>
      <c r="O1401">
        <v>3859558</v>
      </c>
      <c r="P1401">
        <v>166</v>
      </c>
      <c r="Q1401" t="s">
        <v>3106</v>
      </c>
    </row>
    <row r="1402" spans="1:17" x14ac:dyDescent="0.3">
      <c r="A1402" t="s">
        <v>33</v>
      </c>
      <c r="B1402" t="str">
        <f>"300850"</f>
        <v>300850</v>
      </c>
      <c r="C1402" t="s">
        <v>3107</v>
      </c>
      <c r="D1402" t="s">
        <v>1437</v>
      </c>
      <c r="E1402">
        <v>38390666</v>
      </c>
      <c r="F1402">
        <v>-318744843</v>
      </c>
      <c r="G1402">
        <v>98841055</v>
      </c>
      <c r="H1402">
        <v>-29469998</v>
      </c>
      <c r="P1402">
        <v>264</v>
      </c>
      <c r="Q1402" t="s">
        <v>3108</v>
      </c>
    </row>
    <row r="1403" spans="1:17" x14ac:dyDescent="0.3">
      <c r="A1403" t="s">
        <v>33</v>
      </c>
      <c r="B1403" t="str">
        <f>"300922"</f>
        <v>300922</v>
      </c>
      <c r="C1403" t="s">
        <v>3109</v>
      </c>
      <c r="D1403" t="s">
        <v>967</v>
      </c>
      <c r="E1403">
        <v>38374918</v>
      </c>
      <c r="F1403">
        <v>38343500</v>
      </c>
      <c r="G1403">
        <v>24299417</v>
      </c>
      <c r="H1403">
        <v>-4023900</v>
      </c>
      <c r="I1403">
        <v>-1495690</v>
      </c>
      <c r="P1403">
        <v>83</v>
      </c>
      <c r="Q1403" t="s">
        <v>3110</v>
      </c>
    </row>
    <row r="1404" spans="1:17" x14ac:dyDescent="0.3">
      <c r="A1404" t="s">
        <v>17</v>
      </c>
      <c r="B1404" t="str">
        <f>"603729"</f>
        <v>603729</v>
      </c>
      <c r="C1404" t="s">
        <v>3111</v>
      </c>
      <c r="D1404" t="s">
        <v>1125</v>
      </c>
      <c r="E1404">
        <v>38224583</v>
      </c>
      <c r="F1404">
        <v>76230797</v>
      </c>
      <c r="G1404">
        <v>23256833</v>
      </c>
      <c r="H1404">
        <v>21095948</v>
      </c>
      <c r="I1404">
        <v>85446645</v>
      </c>
      <c r="J1404">
        <v>17349358</v>
      </c>
      <c r="K1404">
        <v>15292577</v>
      </c>
      <c r="L1404">
        <v>-113762394</v>
      </c>
      <c r="M1404">
        <v>-119202650</v>
      </c>
      <c r="P1404">
        <v>51</v>
      </c>
      <c r="Q1404" t="s">
        <v>3112</v>
      </c>
    </row>
    <row r="1405" spans="1:17" x14ac:dyDescent="0.3">
      <c r="A1405" t="s">
        <v>17</v>
      </c>
      <c r="B1405" t="str">
        <f>"688667"</f>
        <v>688667</v>
      </c>
      <c r="C1405" t="s">
        <v>3113</v>
      </c>
      <c r="D1405" t="s">
        <v>603</v>
      </c>
      <c r="E1405">
        <v>38173262</v>
      </c>
      <c r="F1405">
        <v>-22202124</v>
      </c>
      <c r="G1405">
        <v>14580404</v>
      </c>
      <c r="P1405">
        <v>66</v>
      </c>
      <c r="Q1405" t="s">
        <v>3114</v>
      </c>
    </row>
    <row r="1406" spans="1:17" x14ac:dyDescent="0.3">
      <c r="A1406" t="s">
        <v>17</v>
      </c>
      <c r="B1406" t="str">
        <f>"688739"</f>
        <v>688739</v>
      </c>
      <c r="C1406" t="s">
        <v>3115</v>
      </c>
      <c r="D1406" t="s">
        <v>1321</v>
      </c>
      <c r="E1406">
        <v>38146276</v>
      </c>
      <c r="G1406">
        <v>121674681</v>
      </c>
      <c r="H1406">
        <v>47407047</v>
      </c>
      <c r="P1406">
        <v>36</v>
      </c>
      <c r="Q1406" t="s">
        <v>3116</v>
      </c>
    </row>
    <row r="1407" spans="1:17" x14ac:dyDescent="0.3">
      <c r="A1407" t="s">
        <v>33</v>
      </c>
      <c r="B1407" t="str">
        <f>"300962"</f>
        <v>300962</v>
      </c>
      <c r="C1407" t="s">
        <v>3117</v>
      </c>
      <c r="D1407" t="s">
        <v>3118</v>
      </c>
      <c r="E1407">
        <v>38146129</v>
      </c>
      <c r="F1407">
        <v>29993137</v>
      </c>
      <c r="G1407">
        <v>9318196</v>
      </c>
      <c r="P1407">
        <v>32</v>
      </c>
      <c r="Q1407" t="s">
        <v>3119</v>
      </c>
    </row>
    <row r="1408" spans="1:17" x14ac:dyDescent="0.3">
      <c r="A1408" t="s">
        <v>17</v>
      </c>
      <c r="B1408" t="str">
        <f>"603178"</f>
        <v>603178</v>
      </c>
      <c r="C1408" t="s">
        <v>3120</v>
      </c>
      <c r="D1408" t="s">
        <v>858</v>
      </c>
      <c r="E1408">
        <v>37961879</v>
      </c>
      <c r="F1408">
        <v>67130773</v>
      </c>
      <c r="G1408">
        <v>70957437</v>
      </c>
      <c r="H1408">
        <v>-19488672</v>
      </c>
      <c r="I1408">
        <v>111940359</v>
      </c>
      <c r="J1408">
        <v>35396385</v>
      </c>
      <c r="K1408">
        <v>77183343</v>
      </c>
      <c r="P1408">
        <v>80</v>
      </c>
      <c r="Q1408" t="s">
        <v>3121</v>
      </c>
    </row>
    <row r="1409" spans="1:17" x14ac:dyDescent="0.3">
      <c r="A1409" t="s">
        <v>17</v>
      </c>
      <c r="B1409" t="str">
        <f>"603813"</f>
        <v>603813</v>
      </c>
      <c r="C1409" t="s">
        <v>3122</v>
      </c>
      <c r="D1409" t="s">
        <v>556</v>
      </c>
      <c r="E1409">
        <v>37901558</v>
      </c>
      <c r="F1409">
        <v>41934398</v>
      </c>
      <c r="G1409">
        <v>15373849</v>
      </c>
      <c r="H1409">
        <v>25633676</v>
      </c>
      <c r="I1409">
        <v>-7524902</v>
      </c>
      <c r="J1409">
        <v>11172414</v>
      </c>
      <c r="P1409">
        <v>59</v>
      </c>
      <c r="Q1409" t="s">
        <v>3123</v>
      </c>
    </row>
    <row r="1410" spans="1:17" x14ac:dyDescent="0.3">
      <c r="A1410" t="s">
        <v>33</v>
      </c>
      <c r="B1410" t="str">
        <f>"300041"</f>
        <v>300041</v>
      </c>
      <c r="C1410" t="s">
        <v>3124</v>
      </c>
      <c r="D1410" t="s">
        <v>729</v>
      </c>
      <c r="E1410">
        <v>37868441</v>
      </c>
      <c r="F1410">
        <v>47883632</v>
      </c>
      <c r="G1410">
        <v>-4215617</v>
      </c>
      <c r="H1410">
        <v>108127128</v>
      </c>
      <c r="I1410">
        <v>-23144769</v>
      </c>
      <c r="J1410">
        <v>28541185</v>
      </c>
      <c r="K1410">
        <v>-9647683</v>
      </c>
      <c r="L1410">
        <v>-15394254</v>
      </c>
      <c r="M1410">
        <v>9471986</v>
      </c>
      <c r="N1410">
        <v>-7416921</v>
      </c>
      <c r="O1410">
        <v>27950480</v>
      </c>
      <c r="P1410">
        <v>253</v>
      </c>
      <c r="Q1410" t="s">
        <v>3125</v>
      </c>
    </row>
    <row r="1411" spans="1:17" x14ac:dyDescent="0.3">
      <c r="A1411" t="s">
        <v>17</v>
      </c>
      <c r="B1411" t="str">
        <f>"603607"</f>
        <v>603607</v>
      </c>
      <c r="C1411" t="s">
        <v>3126</v>
      </c>
      <c r="D1411" t="s">
        <v>3127</v>
      </c>
      <c r="E1411">
        <v>37705635</v>
      </c>
      <c r="F1411">
        <v>43241986</v>
      </c>
      <c r="G1411">
        <v>23723540</v>
      </c>
      <c r="H1411">
        <v>20602104</v>
      </c>
      <c r="I1411">
        <v>11277425</v>
      </c>
      <c r="J1411">
        <v>46595188</v>
      </c>
      <c r="P1411">
        <v>109</v>
      </c>
      <c r="Q1411" t="s">
        <v>3128</v>
      </c>
    </row>
    <row r="1412" spans="1:17" x14ac:dyDescent="0.3">
      <c r="A1412" t="s">
        <v>33</v>
      </c>
      <c r="B1412" t="str">
        <f>"301088"</f>
        <v>301088</v>
      </c>
      <c r="C1412" t="s">
        <v>3129</v>
      </c>
      <c r="D1412" t="s">
        <v>581</v>
      </c>
      <c r="E1412">
        <v>37684033</v>
      </c>
      <c r="P1412">
        <v>28</v>
      </c>
      <c r="Q1412" t="s">
        <v>3130</v>
      </c>
    </row>
    <row r="1413" spans="1:17" x14ac:dyDescent="0.3">
      <c r="A1413" t="s">
        <v>33</v>
      </c>
      <c r="B1413" t="str">
        <f>"002150"</f>
        <v>002150</v>
      </c>
      <c r="C1413" t="s">
        <v>3131</v>
      </c>
      <c r="D1413" t="s">
        <v>164</v>
      </c>
      <c r="E1413">
        <v>37479368</v>
      </c>
      <c r="F1413">
        <v>-47016435</v>
      </c>
      <c r="G1413">
        <v>-67054887</v>
      </c>
      <c r="H1413">
        <v>-12597733</v>
      </c>
      <c r="I1413">
        <v>-31357181</v>
      </c>
      <c r="J1413">
        <v>-32482834</v>
      </c>
      <c r="K1413">
        <v>24016054</v>
      </c>
      <c r="L1413">
        <v>-9060701</v>
      </c>
      <c r="M1413">
        <v>-14861376</v>
      </c>
      <c r="N1413">
        <v>6890387</v>
      </c>
      <c r="O1413">
        <v>484644</v>
      </c>
      <c r="P1413">
        <v>103</v>
      </c>
      <c r="Q1413" t="s">
        <v>3132</v>
      </c>
    </row>
    <row r="1414" spans="1:17" x14ac:dyDescent="0.3">
      <c r="A1414" t="s">
        <v>17</v>
      </c>
      <c r="B1414" t="str">
        <f>"605060"</f>
        <v>605060</v>
      </c>
      <c r="C1414" t="s">
        <v>3133</v>
      </c>
      <c r="D1414" t="s">
        <v>1033</v>
      </c>
      <c r="E1414">
        <v>37474259</v>
      </c>
      <c r="F1414">
        <v>32978849</v>
      </c>
      <c r="G1414">
        <v>18547823</v>
      </c>
      <c r="P1414">
        <v>43</v>
      </c>
      <c r="Q1414" t="s">
        <v>3134</v>
      </c>
    </row>
    <row r="1415" spans="1:17" x14ac:dyDescent="0.3">
      <c r="A1415" t="s">
        <v>17</v>
      </c>
      <c r="B1415" t="str">
        <f>"688199"</f>
        <v>688199</v>
      </c>
      <c r="C1415" t="s">
        <v>3135</v>
      </c>
      <c r="D1415" t="s">
        <v>418</v>
      </c>
      <c r="E1415">
        <v>37454292</v>
      </c>
      <c r="F1415">
        <v>3347152</v>
      </c>
      <c r="G1415">
        <v>52880521</v>
      </c>
      <c r="H1415">
        <v>11957112</v>
      </c>
      <c r="I1415">
        <v>29824382</v>
      </c>
      <c r="P1415">
        <v>94</v>
      </c>
      <c r="Q1415" t="s">
        <v>3136</v>
      </c>
    </row>
    <row r="1416" spans="1:17" x14ac:dyDescent="0.3">
      <c r="A1416" t="s">
        <v>17</v>
      </c>
      <c r="B1416" t="str">
        <f>"600331"</f>
        <v>600331</v>
      </c>
      <c r="C1416" t="s">
        <v>3137</v>
      </c>
      <c r="D1416" t="s">
        <v>702</v>
      </c>
      <c r="E1416">
        <v>37418843</v>
      </c>
      <c r="F1416">
        <v>-16501234</v>
      </c>
      <c r="G1416">
        <v>29934829</v>
      </c>
      <c r="H1416">
        <v>55263002</v>
      </c>
      <c r="I1416">
        <v>259656185</v>
      </c>
      <c r="J1416">
        <v>-238850649</v>
      </c>
      <c r="K1416">
        <v>146097254</v>
      </c>
      <c r="L1416">
        <v>41475733</v>
      </c>
      <c r="M1416">
        <v>89237138</v>
      </c>
      <c r="N1416">
        <v>-47718576</v>
      </c>
      <c r="O1416">
        <v>345913393</v>
      </c>
      <c r="P1416">
        <v>117</v>
      </c>
      <c r="Q1416" t="s">
        <v>3138</v>
      </c>
    </row>
    <row r="1417" spans="1:17" x14ac:dyDescent="0.3">
      <c r="A1417" t="s">
        <v>33</v>
      </c>
      <c r="B1417" t="str">
        <f>"300596"</f>
        <v>300596</v>
      </c>
      <c r="C1417" t="s">
        <v>3139</v>
      </c>
      <c r="D1417" t="s">
        <v>1483</v>
      </c>
      <c r="E1417">
        <v>37360730</v>
      </c>
      <c r="F1417">
        <v>45599776</v>
      </c>
      <c r="G1417">
        <v>12341394</v>
      </c>
      <c r="H1417">
        <v>-18727897</v>
      </c>
      <c r="I1417">
        <v>-40978383</v>
      </c>
      <c r="J1417">
        <v>9442380</v>
      </c>
      <c r="K1417">
        <v>4898435</v>
      </c>
      <c r="P1417">
        <v>391</v>
      </c>
      <c r="Q1417" t="s">
        <v>3140</v>
      </c>
    </row>
    <row r="1418" spans="1:17" x14ac:dyDescent="0.3">
      <c r="A1418" t="s">
        <v>17</v>
      </c>
      <c r="B1418" t="str">
        <f>"600812"</f>
        <v>600812</v>
      </c>
      <c r="C1418" t="s">
        <v>3141</v>
      </c>
      <c r="D1418" t="s">
        <v>590</v>
      </c>
      <c r="E1418">
        <v>37265495</v>
      </c>
      <c r="F1418">
        <v>42262764</v>
      </c>
      <c r="G1418">
        <v>74673263</v>
      </c>
      <c r="H1418">
        <v>234407319</v>
      </c>
      <c r="I1418">
        <v>277337768</v>
      </c>
      <c r="J1418">
        <v>8980869</v>
      </c>
      <c r="K1418">
        <v>10011636</v>
      </c>
      <c r="L1418">
        <v>-56595871</v>
      </c>
      <c r="M1418">
        <v>-132246878</v>
      </c>
      <c r="N1418">
        <v>-135095806</v>
      </c>
      <c r="O1418">
        <v>-138487055</v>
      </c>
      <c r="P1418">
        <v>226</v>
      </c>
      <c r="Q1418" t="s">
        <v>3142</v>
      </c>
    </row>
    <row r="1419" spans="1:17" x14ac:dyDescent="0.3">
      <c r="A1419" t="s">
        <v>17</v>
      </c>
      <c r="B1419" t="str">
        <f>"603209"</f>
        <v>603209</v>
      </c>
      <c r="C1419" t="s">
        <v>3143</v>
      </c>
      <c r="E1419">
        <v>37248975</v>
      </c>
      <c r="P1419">
        <v>12</v>
      </c>
      <c r="Q1419" t="s">
        <v>3144</v>
      </c>
    </row>
    <row r="1420" spans="1:17" x14ac:dyDescent="0.3">
      <c r="A1420" t="s">
        <v>17</v>
      </c>
      <c r="B1420" t="str">
        <f>"688513"</f>
        <v>688513</v>
      </c>
      <c r="C1420" t="s">
        <v>3145</v>
      </c>
      <c r="D1420" t="s">
        <v>590</v>
      </c>
      <c r="E1420">
        <v>37228405</v>
      </c>
      <c r="F1420">
        <v>28095991</v>
      </c>
      <c r="G1420">
        <v>19856680</v>
      </c>
      <c r="P1420">
        <v>58</v>
      </c>
      <c r="Q1420" t="s">
        <v>3146</v>
      </c>
    </row>
    <row r="1421" spans="1:17" x14ac:dyDescent="0.3">
      <c r="A1421" t="s">
        <v>33</v>
      </c>
      <c r="B1421" t="str">
        <f>"301189"</f>
        <v>301189</v>
      </c>
      <c r="C1421" t="s">
        <v>3147</v>
      </c>
      <c r="D1421" t="s">
        <v>1514</v>
      </c>
      <c r="E1421">
        <v>37198108</v>
      </c>
      <c r="P1421">
        <v>10</v>
      </c>
      <c r="Q1421" t="s">
        <v>3148</v>
      </c>
    </row>
    <row r="1422" spans="1:17" x14ac:dyDescent="0.3">
      <c r="A1422" t="s">
        <v>33</v>
      </c>
      <c r="B1422" t="str">
        <f>"300049"</f>
        <v>300049</v>
      </c>
      <c r="C1422" t="s">
        <v>3149</v>
      </c>
      <c r="D1422" t="s">
        <v>111</v>
      </c>
      <c r="E1422">
        <v>37137060</v>
      </c>
      <c r="F1422">
        <v>38658176</v>
      </c>
      <c r="G1422">
        <v>69587237</v>
      </c>
      <c r="H1422">
        <v>47456241</v>
      </c>
      <c r="I1422">
        <v>3697824</v>
      </c>
      <c r="J1422">
        <v>-2934499</v>
      </c>
      <c r="K1422">
        <v>32310812</v>
      </c>
      <c r="L1422">
        <v>23176719</v>
      </c>
      <c r="M1422">
        <v>1823557</v>
      </c>
      <c r="N1422">
        <v>3391740</v>
      </c>
      <c r="O1422">
        <v>23712668</v>
      </c>
      <c r="P1422">
        <v>144</v>
      </c>
      <c r="Q1422" t="s">
        <v>3150</v>
      </c>
    </row>
    <row r="1423" spans="1:17" x14ac:dyDescent="0.3">
      <c r="A1423" t="s">
        <v>33</v>
      </c>
      <c r="B1423" t="str">
        <f>"002688"</f>
        <v>002688</v>
      </c>
      <c r="C1423" t="s">
        <v>3151</v>
      </c>
      <c r="D1423" t="s">
        <v>2035</v>
      </c>
      <c r="E1423">
        <v>36811868</v>
      </c>
      <c r="F1423">
        <v>-25322457</v>
      </c>
      <c r="G1423">
        <v>169026</v>
      </c>
      <c r="H1423">
        <v>3731561</v>
      </c>
      <c r="I1423">
        <v>10724236</v>
      </c>
      <c r="J1423">
        <v>33575748</v>
      </c>
      <c r="K1423">
        <v>47652963</v>
      </c>
      <c r="L1423">
        <v>-1218274</v>
      </c>
      <c r="M1423">
        <v>14582108</v>
      </c>
      <c r="N1423">
        <v>47383835</v>
      </c>
      <c r="O1423">
        <v>-4417783</v>
      </c>
      <c r="P1423">
        <v>167</v>
      </c>
      <c r="Q1423" t="s">
        <v>3152</v>
      </c>
    </row>
    <row r="1424" spans="1:17" x14ac:dyDescent="0.3">
      <c r="A1424" t="s">
        <v>33</v>
      </c>
      <c r="B1424" t="str">
        <f>"002069"</f>
        <v>002069</v>
      </c>
      <c r="C1424" t="s">
        <v>3153</v>
      </c>
      <c r="D1424" t="s">
        <v>1490</v>
      </c>
      <c r="E1424">
        <v>36798488</v>
      </c>
      <c r="F1424">
        <v>52212334</v>
      </c>
      <c r="G1424">
        <v>-2527489</v>
      </c>
      <c r="H1424">
        <v>-15591415</v>
      </c>
      <c r="I1424">
        <v>78426315</v>
      </c>
      <c r="J1424">
        <v>-199542607</v>
      </c>
      <c r="K1424">
        <v>-35091873</v>
      </c>
      <c r="L1424">
        <v>81832974</v>
      </c>
      <c r="M1424">
        <v>-9596515</v>
      </c>
      <c r="N1424">
        <v>-88792666</v>
      </c>
      <c r="O1424">
        <v>-330919359</v>
      </c>
      <c r="P1424">
        <v>406</v>
      </c>
      <c r="Q1424" t="s">
        <v>3154</v>
      </c>
    </row>
    <row r="1425" spans="1:17" x14ac:dyDescent="0.3">
      <c r="A1425" t="s">
        <v>33</v>
      </c>
      <c r="B1425" t="str">
        <f>"300456"</f>
        <v>300456</v>
      </c>
      <c r="C1425" t="s">
        <v>3155</v>
      </c>
      <c r="D1425" t="s">
        <v>517</v>
      </c>
      <c r="E1425">
        <v>36765243</v>
      </c>
      <c r="F1425">
        <v>-44453247</v>
      </c>
      <c r="G1425">
        <v>-12979694</v>
      </c>
      <c r="H1425">
        <v>56737857</v>
      </c>
      <c r="I1425">
        <v>-49618006</v>
      </c>
      <c r="J1425">
        <v>-8775986</v>
      </c>
      <c r="K1425">
        <v>-13398575</v>
      </c>
      <c r="L1425">
        <v>-25302600</v>
      </c>
      <c r="M1425">
        <v>-7585300</v>
      </c>
      <c r="P1425">
        <v>376</v>
      </c>
      <c r="Q1425" t="s">
        <v>3156</v>
      </c>
    </row>
    <row r="1426" spans="1:17" x14ac:dyDescent="0.3">
      <c r="A1426" t="s">
        <v>33</v>
      </c>
      <c r="B1426" t="str">
        <f>"300056"</f>
        <v>300056</v>
      </c>
      <c r="C1426" t="s">
        <v>3157</v>
      </c>
      <c r="D1426" t="s">
        <v>3158</v>
      </c>
      <c r="E1426">
        <v>36740857</v>
      </c>
      <c r="F1426">
        <v>-52677735</v>
      </c>
      <c r="G1426">
        <v>-176536649</v>
      </c>
      <c r="H1426">
        <v>28624965</v>
      </c>
      <c r="I1426">
        <v>106288766</v>
      </c>
      <c r="J1426">
        <v>-5561421</v>
      </c>
      <c r="K1426">
        <v>-70134164</v>
      </c>
      <c r="L1426">
        <v>-24862890</v>
      </c>
      <c r="M1426">
        <v>-13164947</v>
      </c>
      <c r="N1426">
        <v>-11482911</v>
      </c>
      <c r="O1426">
        <v>-33637779</v>
      </c>
      <c r="P1426">
        <v>87</v>
      </c>
      <c r="Q1426" t="s">
        <v>3159</v>
      </c>
    </row>
    <row r="1427" spans="1:17" x14ac:dyDescent="0.3">
      <c r="A1427" t="s">
        <v>33</v>
      </c>
      <c r="B1427" t="str">
        <f>"301080"</f>
        <v>301080</v>
      </c>
      <c r="C1427" t="s">
        <v>3160</v>
      </c>
      <c r="D1427" t="s">
        <v>846</v>
      </c>
      <c r="E1427">
        <v>36664835</v>
      </c>
      <c r="F1427">
        <v>15913196</v>
      </c>
      <c r="P1427">
        <v>52</v>
      </c>
      <c r="Q1427" t="s">
        <v>3161</v>
      </c>
    </row>
    <row r="1428" spans="1:17" x14ac:dyDescent="0.3">
      <c r="A1428" t="s">
        <v>33</v>
      </c>
      <c r="B1428" t="str">
        <f>"300975"</f>
        <v>300975</v>
      </c>
      <c r="C1428" t="s">
        <v>3162</v>
      </c>
      <c r="D1428" t="s">
        <v>499</v>
      </c>
      <c r="E1428">
        <v>36598085</v>
      </c>
      <c r="F1428">
        <v>-184768097</v>
      </c>
      <c r="G1428">
        <v>-99190907</v>
      </c>
      <c r="P1428">
        <v>30</v>
      </c>
      <c r="Q1428" t="s">
        <v>3163</v>
      </c>
    </row>
    <row r="1429" spans="1:17" x14ac:dyDescent="0.3">
      <c r="A1429" t="s">
        <v>33</v>
      </c>
      <c r="B1429" t="str">
        <f>"300858"</f>
        <v>300858</v>
      </c>
      <c r="C1429" t="s">
        <v>3164</v>
      </c>
      <c r="D1429" t="s">
        <v>1028</v>
      </c>
      <c r="E1429">
        <v>36584759</v>
      </c>
      <c r="F1429">
        <v>19110814</v>
      </c>
      <c r="G1429">
        <v>-1481424</v>
      </c>
      <c r="H1429">
        <v>4768113</v>
      </c>
      <c r="P1429">
        <v>75</v>
      </c>
      <c r="Q1429" t="s">
        <v>3165</v>
      </c>
    </row>
    <row r="1430" spans="1:17" x14ac:dyDescent="0.3">
      <c r="A1430" t="s">
        <v>33</v>
      </c>
      <c r="B1430" t="str">
        <f>"300511"</f>
        <v>300511</v>
      </c>
      <c r="C1430" t="s">
        <v>3166</v>
      </c>
      <c r="D1430" t="s">
        <v>1840</v>
      </c>
      <c r="E1430">
        <v>36207316</v>
      </c>
      <c r="F1430">
        <v>94171489</v>
      </c>
      <c r="G1430">
        <v>210012723</v>
      </c>
      <c r="H1430">
        <v>211754875</v>
      </c>
      <c r="I1430">
        <v>158839802</v>
      </c>
      <c r="J1430">
        <v>75865339</v>
      </c>
      <c r="K1430">
        <v>68450522</v>
      </c>
      <c r="L1430">
        <v>37769641</v>
      </c>
      <c r="P1430">
        <v>301</v>
      </c>
      <c r="Q1430" t="s">
        <v>3167</v>
      </c>
    </row>
    <row r="1431" spans="1:17" x14ac:dyDescent="0.3">
      <c r="A1431" t="s">
        <v>33</v>
      </c>
      <c r="B1431" t="str">
        <f>"301021"</f>
        <v>301021</v>
      </c>
      <c r="C1431" t="s">
        <v>3168</v>
      </c>
      <c r="D1431" t="s">
        <v>3169</v>
      </c>
      <c r="E1431">
        <v>36022108</v>
      </c>
      <c r="F1431">
        <v>-5848870</v>
      </c>
      <c r="G1431">
        <v>-3348350</v>
      </c>
      <c r="P1431">
        <v>35</v>
      </c>
      <c r="Q1431" t="s">
        <v>3170</v>
      </c>
    </row>
    <row r="1432" spans="1:17" x14ac:dyDescent="0.3">
      <c r="A1432" t="s">
        <v>33</v>
      </c>
      <c r="B1432" t="str">
        <f>"000520"</f>
        <v>000520</v>
      </c>
      <c r="C1432" t="s">
        <v>3171</v>
      </c>
      <c r="D1432" t="s">
        <v>55</v>
      </c>
      <c r="E1432">
        <v>35910315</v>
      </c>
      <c r="F1432">
        <v>-2042880</v>
      </c>
      <c r="G1432">
        <v>18395018</v>
      </c>
      <c r="H1432">
        <v>-26357170</v>
      </c>
      <c r="I1432">
        <v>27589537</v>
      </c>
      <c r="J1432">
        <v>11933152</v>
      </c>
      <c r="K1432">
        <v>1948316</v>
      </c>
      <c r="L1432">
        <v>-15483689</v>
      </c>
      <c r="M1432">
        <v>-12594564</v>
      </c>
      <c r="N1432">
        <v>-8360921</v>
      </c>
      <c r="O1432">
        <v>-72237009</v>
      </c>
      <c r="P1432">
        <v>110</v>
      </c>
      <c r="Q1432" t="s">
        <v>3172</v>
      </c>
    </row>
    <row r="1433" spans="1:17" x14ac:dyDescent="0.3">
      <c r="A1433" t="s">
        <v>33</v>
      </c>
      <c r="B1433" t="str">
        <f>"300143"</f>
        <v>300143</v>
      </c>
      <c r="C1433" t="s">
        <v>3173</v>
      </c>
      <c r="D1433" t="s">
        <v>520</v>
      </c>
      <c r="E1433">
        <v>35865963</v>
      </c>
      <c r="F1433">
        <v>48937553</v>
      </c>
      <c r="G1433">
        <v>33956613</v>
      </c>
      <c r="H1433">
        <v>-15094320</v>
      </c>
      <c r="I1433">
        <v>-12572061</v>
      </c>
      <c r="J1433">
        <v>1849354</v>
      </c>
      <c r="K1433">
        <v>-3958210</v>
      </c>
      <c r="L1433">
        <v>8938178</v>
      </c>
      <c r="M1433">
        <v>10806205</v>
      </c>
      <c r="N1433">
        <v>-4205666</v>
      </c>
      <c r="O1433">
        <v>9741819</v>
      </c>
      <c r="P1433">
        <v>150</v>
      </c>
      <c r="Q1433" t="s">
        <v>3174</v>
      </c>
    </row>
    <row r="1434" spans="1:17" x14ac:dyDescent="0.3">
      <c r="A1434" t="s">
        <v>17</v>
      </c>
      <c r="B1434" t="str">
        <f>"603615"</f>
        <v>603615</v>
      </c>
      <c r="C1434" t="s">
        <v>3175</v>
      </c>
      <c r="D1434" t="s">
        <v>927</v>
      </c>
      <c r="E1434">
        <v>35865661</v>
      </c>
      <c r="F1434">
        <v>-7719129</v>
      </c>
      <c r="G1434">
        <v>-16274781</v>
      </c>
      <c r="H1434">
        <v>27877553</v>
      </c>
      <c r="I1434">
        <v>24349430</v>
      </c>
      <c r="J1434">
        <v>6470842</v>
      </c>
      <c r="K1434">
        <v>3875294</v>
      </c>
      <c r="P1434">
        <v>107</v>
      </c>
      <c r="Q1434" t="s">
        <v>3176</v>
      </c>
    </row>
    <row r="1435" spans="1:17" x14ac:dyDescent="0.3">
      <c r="A1435" t="s">
        <v>17</v>
      </c>
      <c r="B1435" t="str">
        <f>"603667"</f>
        <v>603667</v>
      </c>
      <c r="C1435" t="s">
        <v>3177</v>
      </c>
      <c r="D1435" t="s">
        <v>164</v>
      </c>
      <c r="E1435">
        <v>35865165</v>
      </c>
      <c r="F1435">
        <v>92295961</v>
      </c>
      <c r="G1435">
        <v>80396669</v>
      </c>
      <c r="H1435">
        <v>59490504</v>
      </c>
      <c r="I1435">
        <v>-8500543</v>
      </c>
      <c r="J1435">
        <v>43782471</v>
      </c>
      <c r="K1435">
        <v>31278486</v>
      </c>
      <c r="P1435">
        <v>115</v>
      </c>
      <c r="Q1435" t="s">
        <v>3178</v>
      </c>
    </row>
    <row r="1436" spans="1:17" x14ac:dyDescent="0.3">
      <c r="A1436" t="s">
        <v>33</v>
      </c>
      <c r="B1436" t="str">
        <f>"002907"</f>
        <v>002907</v>
      </c>
      <c r="C1436" t="s">
        <v>3179</v>
      </c>
      <c r="D1436" t="s">
        <v>533</v>
      </c>
      <c r="E1436">
        <v>35765741</v>
      </c>
      <c r="F1436">
        <v>17248596</v>
      </c>
      <c r="G1436">
        <v>9075927</v>
      </c>
      <c r="H1436">
        <v>-40644513</v>
      </c>
      <c r="I1436">
        <v>3162671</v>
      </c>
      <c r="J1436">
        <v>29679968</v>
      </c>
      <c r="P1436">
        <v>286</v>
      </c>
      <c r="Q1436" t="s">
        <v>3180</v>
      </c>
    </row>
    <row r="1437" spans="1:17" x14ac:dyDescent="0.3">
      <c r="A1437" t="s">
        <v>17</v>
      </c>
      <c r="B1437" t="str">
        <f>"600573"</f>
        <v>600573</v>
      </c>
      <c r="C1437" t="s">
        <v>3181</v>
      </c>
      <c r="D1437" t="s">
        <v>481</v>
      </c>
      <c r="E1437">
        <v>35712672</v>
      </c>
      <c r="F1437">
        <v>40566863</v>
      </c>
      <c r="G1437">
        <v>32982577</v>
      </c>
      <c r="H1437">
        <v>22693647</v>
      </c>
      <c r="I1437">
        <v>6011552</v>
      </c>
      <c r="J1437">
        <v>-9535659</v>
      </c>
      <c r="K1437">
        <v>4133189</v>
      </c>
      <c r="L1437">
        <v>3733258</v>
      </c>
      <c r="M1437">
        <v>21759015</v>
      </c>
      <c r="N1437">
        <v>12689146</v>
      </c>
      <c r="O1437">
        <v>-15793109</v>
      </c>
      <c r="P1437">
        <v>191</v>
      </c>
      <c r="Q1437" t="s">
        <v>3182</v>
      </c>
    </row>
    <row r="1438" spans="1:17" x14ac:dyDescent="0.3">
      <c r="A1438" t="s">
        <v>33</v>
      </c>
      <c r="B1438" t="str">
        <f>"300869"</f>
        <v>300869</v>
      </c>
      <c r="C1438" t="s">
        <v>3183</v>
      </c>
      <c r="D1438" t="s">
        <v>111</v>
      </c>
      <c r="E1438">
        <v>35551531</v>
      </c>
      <c r="F1438">
        <v>2435482</v>
      </c>
      <c r="G1438">
        <v>88386986</v>
      </c>
      <c r="P1438">
        <v>174</v>
      </c>
      <c r="Q1438" t="s">
        <v>3184</v>
      </c>
    </row>
    <row r="1439" spans="1:17" x14ac:dyDescent="0.3">
      <c r="A1439" t="s">
        <v>33</v>
      </c>
      <c r="B1439" t="str">
        <f>"000757"</f>
        <v>000757</v>
      </c>
      <c r="C1439" t="s">
        <v>3185</v>
      </c>
      <c r="D1439" t="s">
        <v>2478</v>
      </c>
      <c r="E1439">
        <v>35475440</v>
      </c>
      <c r="F1439">
        <v>-52183147</v>
      </c>
      <c r="G1439">
        <v>-34438400</v>
      </c>
      <c r="H1439">
        <v>26636346</v>
      </c>
      <c r="I1439">
        <v>19958638</v>
      </c>
      <c r="J1439">
        <v>14538183</v>
      </c>
      <c r="K1439">
        <v>11014281</v>
      </c>
      <c r="L1439">
        <v>-3182657</v>
      </c>
      <c r="M1439">
        <v>-3528686</v>
      </c>
      <c r="N1439">
        <v>20775118</v>
      </c>
      <c r="O1439">
        <v>4907848</v>
      </c>
      <c r="P1439">
        <v>88</v>
      </c>
      <c r="Q1439" t="s">
        <v>3186</v>
      </c>
    </row>
    <row r="1440" spans="1:17" x14ac:dyDescent="0.3">
      <c r="A1440" t="s">
        <v>17</v>
      </c>
      <c r="B1440" t="str">
        <f>"605277"</f>
        <v>605277</v>
      </c>
      <c r="C1440" t="s">
        <v>3187</v>
      </c>
      <c r="D1440" t="s">
        <v>226</v>
      </c>
      <c r="E1440">
        <v>35329603</v>
      </c>
      <c r="F1440">
        <v>-78554257</v>
      </c>
      <c r="G1440">
        <v>-3874953</v>
      </c>
      <c r="P1440">
        <v>68</v>
      </c>
      <c r="Q1440" t="s">
        <v>3188</v>
      </c>
    </row>
    <row r="1441" spans="1:17" x14ac:dyDescent="0.3">
      <c r="A1441" t="s">
        <v>33</v>
      </c>
      <c r="B1441" t="str">
        <f>"301020"</f>
        <v>301020</v>
      </c>
      <c r="C1441" t="s">
        <v>3189</v>
      </c>
      <c r="D1441" t="s">
        <v>858</v>
      </c>
      <c r="E1441">
        <v>35190035</v>
      </c>
      <c r="F1441">
        <v>44515472</v>
      </c>
      <c r="G1441">
        <v>62579168</v>
      </c>
      <c r="P1441">
        <v>54</v>
      </c>
      <c r="Q1441" t="s">
        <v>3190</v>
      </c>
    </row>
    <row r="1442" spans="1:17" x14ac:dyDescent="0.3">
      <c r="A1442" t="s">
        <v>17</v>
      </c>
      <c r="B1442" t="str">
        <f>"600280"</f>
        <v>600280</v>
      </c>
      <c r="C1442" t="s">
        <v>3191</v>
      </c>
      <c r="D1442" t="s">
        <v>989</v>
      </c>
      <c r="E1442">
        <v>35168545</v>
      </c>
      <c r="F1442">
        <v>69019821</v>
      </c>
      <c r="G1442">
        <v>-203907938</v>
      </c>
      <c r="H1442">
        <v>-19806612</v>
      </c>
      <c r="I1442">
        <v>-319087996</v>
      </c>
      <c r="J1442">
        <v>-233488481</v>
      </c>
      <c r="K1442">
        <v>653625717</v>
      </c>
      <c r="L1442">
        <v>280751920</v>
      </c>
      <c r="M1442">
        <v>-759398989</v>
      </c>
      <c r="N1442">
        <v>-56565286</v>
      </c>
      <c r="O1442">
        <v>-133720872</v>
      </c>
      <c r="P1442">
        <v>81</v>
      </c>
      <c r="Q1442" t="s">
        <v>3192</v>
      </c>
    </row>
    <row r="1443" spans="1:17" x14ac:dyDescent="0.3">
      <c r="A1443" t="s">
        <v>33</v>
      </c>
      <c r="B1443" t="str">
        <f>"002549"</f>
        <v>002549</v>
      </c>
      <c r="C1443" t="s">
        <v>3193</v>
      </c>
      <c r="D1443" t="s">
        <v>418</v>
      </c>
      <c r="E1443">
        <v>35135438</v>
      </c>
      <c r="F1443">
        <v>36021068</v>
      </c>
      <c r="G1443">
        <v>16121258</v>
      </c>
      <c r="H1443">
        <v>14172123</v>
      </c>
      <c r="I1443">
        <v>34103798</v>
      </c>
      <c r="J1443">
        <v>26559537</v>
      </c>
      <c r="K1443">
        <v>22361627</v>
      </c>
      <c r="L1443">
        <v>12167234</v>
      </c>
      <c r="M1443">
        <v>14525121</v>
      </c>
      <c r="N1443">
        <v>4514781</v>
      </c>
      <c r="O1443">
        <v>-1353865</v>
      </c>
      <c r="P1443">
        <v>172</v>
      </c>
      <c r="Q1443" t="s">
        <v>3194</v>
      </c>
    </row>
    <row r="1444" spans="1:17" x14ac:dyDescent="0.3">
      <c r="A1444" t="s">
        <v>33</v>
      </c>
      <c r="B1444" t="str">
        <f>"300149"</f>
        <v>300149</v>
      </c>
      <c r="C1444" t="s">
        <v>3195</v>
      </c>
      <c r="D1444" t="s">
        <v>846</v>
      </c>
      <c r="E1444">
        <v>34944776</v>
      </c>
      <c r="F1444">
        <v>65025424</v>
      </c>
      <c r="G1444">
        <v>17227621</v>
      </c>
      <c r="H1444">
        <v>49439948</v>
      </c>
      <c r="I1444">
        <v>9947825</v>
      </c>
      <c r="J1444">
        <v>5702234</v>
      </c>
      <c r="K1444">
        <v>21767393</v>
      </c>
      <c r="L1444">
        <v>30254508</v>
      </c>
      <c r="M1444">
        <v>3493982</v>
      </c>
      <c r="N1444">
        <v>-4454046</v>
      </c>
      <c r="O1444">
        <v>11573102</v>
      </c>
      <c r="P1444">
        <v>193</v>
      </c>
      <c r="Q1444" t="s">
        <v>3196</v>
      </c>
    </row>
    <row r="1445" spans="1:17" x14ac:dyDescent="0.3">
      <c r="A1445" t="s">
        <v>33</v>
      </c>
      <c r="B1445" t="str">
        <f>"300176"</f>
        <v>300176</v>
      </c>
      <c r="C1445" t="s">
        <v>3197</v>
      </c>
      <c r="D1445" t="s">
        <v>858</v>
      </c>
      <c r="E1445">
        <v>34778483</v>
      </c>
      <c r="F1445">
        <v>10256491</v>
      </c>
      <c r="G1445">
        <v>17022847</v>
      </c>
      <c r="H1445">
        <v>-63038768</v>
      </c>
      <c r="I1445">
        <v>135094104</v>
      </c>
      <c r="J1445">
        <v>126660463</v>
      </c>
      <c r="K1445">
        <v>35657523</v>
      </c>
      <c r="L1445">
        <v>54706765</v>
      </c>
      <c r="M1445">
        <v>-13317109</v>
      </c>
      <c r="N1445">
        <v>29146469</v>
      </c>
      <c r="O1445">
        <v>17128214</v>
      </c>
      <c r="P1445">
        <v>151</v>
      </c>
      <c r="Q1445" t="s">
        <v>3198</v>
      </c>
    </row>
    <row r="1446" spans="1:17" x14ac:dyDescent="0.3">
      <c r="A1446" t="s">
        <v>33</v>
      </c>
      <c r="B1446" t="str">
        <f>"002855"</f>
        <v>002855</v>
      </c>
      <c r="C1446" t="s">
        <v>3199</v>
      </c>
      <c r="D1446" t="s">
        <v>226</v>
      </c>
      <c r="E1446">
        <v>34647472</v>
      </c>
      <c r="F1446">
        <v>-43960306</v>
      </c>
      <c r="G1446">
        <v>68580762</v>
      </c>
      <c r="H1446">
        <v>15869691</v>
      </c>
      <c r="I1446">
        <v>22135879</v>
      </c>
      <c r="J1446">
        <v>64021552</v>
      </c>
      <c r="K1446">
        <v>126643510</v>
      </c>
      <c r="P1446">
        <v>138</v>
      </c>
      <c r="Q1446" t="s">
        <v>3200</v>
      </c>
    </row>
    <row r="1447" spans="1:17" x14ac:dyDescent="0.3">
      <c r="A1447" t="s">
        <v>33</v>
      </c>
      <c r="B1447" t="str">
        <f>"002547"</f>
        <v>002547</v>
      </c>
      <c r="C1447" t="s">
        <v>3201</v>
      </c>
      <c r="D1447" t="s">
        <v>226</v>
      </c>
      <c r="E1447">
        <v>34630581</v>
      </c>
      <c r="F1447">
        <v>37019191</v>
      </c>
      <c r="G1447">
        <v>-42782753</v>
      </c>
      <c r="H1447">
        <v>15617119</v>
      </c>
      <c r="I1447">
        <v>13057814</v>
      </c>
      <c r="J1447">
        <v>-72108478</v>
      </c>
      <c r="K1447">
        <v>17126913</v>
      </c>
      <c r="L1447">
        <v>55591024</v>
      </c>
      <c r="M1447">
        <v>6091809</v>
      </c>
      <c r="N1447">
        <v>-31059235</v>
      </c>
      <c r="O1447">
        <v>-20220443</v>
      </c>
      <c r="P1447">
        <v>306</v>
      </c>
      <c r="Q1447" t="s">
        <v>3202</v>
      </c>
    </row>
    <row r="1448" spans="1:17" x14ac:dyDescent="0.3">
      <c r="A1448" t="s">
        <v>17</v>
      </c>
      <c r="B1448" t="str">
        <f>"688113"</f>
        <v>688113</v>
      </c>
      <c r="C1448" t="s">
        <v>3203</v>
      </c>
      <c r="D1448" t="s">
        <v>1895</v>
      </c>
      <c r="E1448">
        <v>34578362</v>
      </c>
      <c r="F1448">
        <v>13059731</v>
      </c>
      <c r="G1448">
        <v>-12440411</v>
      </c>
      <c r="P1448">
        <v>40</v>
      </c>
      <c r="Q1448" t="s">
        <v>3204</v>
      </c>
    </row>
    <row r="1449" spans="1:17" x14ac:dyDescent="0.3">
      <c r="A1449" t="s">
        <v>33</v>
      </c>
      <c r="B1449" t="str">
        <f>"300902"</f>
        <v>300902</v>
      </c>
      <c r="C1449" t="s">
        <v>3205</v>
      </c>
      <c r="D1449" t="s">
        <v>1895</v>
      </c>
      <c r="E1449">
        <v>34472998</v>
      </c>
      <c r="F1449">
        <v>-19666079</v>
      </c>
      <c r="P1449">
        <v>40</v>
      </c>
      <c r="Q1449" t="s">
        <v>3206</v>
      </c>
    </row>
    <row r="1450" spans="1:17" x14ac:dyDescent="0.3">
      <c r="A1450" t="s">
        <v>33</v>
      </c>
      <c r="B1450" t="str">
        <f>"300107"</f>
        <v>300107</v>
      </c>
      <c r="C1450" t="s">
        <v>3207</v>
      </c>
      <c r="D1450" t="s">
        <v>735</v>
      </c>
      <c r="E1450">
        <v>34330538</v>
      </c>
      <c r="F1450">
        <v>8895663</v>
      </c>
      <c r="G1450">
        <v>-137441984</v>
      </c>
      <c r="H1450">
        <v>38285163</v>
      </c>
      <c r="I1450">
        <v>94211053</v>
      </c>
      <c r="J1450">
        <v>7793390</v>
      </c>
      <c r="K1450">
        <v>30591732</v>
      </c>
      <c r="L1450">
        <v>14727483</v>
      </c>
      <c r="M1450">
        <v>5953123</v>
      </c>
      <c r="N1450">
        <v>5505135</v>
      </c>
      <c r="O1450">
        <v>2703002</v>
      </c>
      <c r="P1450">
        <v>239</v>
      </c>
      <c r="Q1450" t="s">
        <v>3208</v>
      </c>
    </row>
    <row r="1451" spans="1:17" x14ac:dyDescent="0.3">
      <c r="A1451" t="s">
        <v>33</v>
      </c>
      <c r="B1451" t="str">
        <f>"300217"</f>
        <v>300217</v>
      </c>
      <c r="C1451" t="s">
        <v>3209</v>
      </c>
      <c r="D1451" t="s">
        <v>1869</v>
      </c>
      <c r="E1451">
        <v>34276160</v>
      </c>
      <c r="F1451">
        <v>-125427692</v>
      </c>
      <c r="G1451">
        <v>56543678</v>
      </c>
      <c r="H1451">
        <v>-206446997</v>
      </c>
      <c r="I1451">
        <v>-148812731</v>
      </c>
      <c r="J1451">
        <v>-175332249</v>
      </c>
      <c r="K1451">
        <v>88827016</v>
      </c>
      <c r="L1451">
        <v>33130437</v>
      </c>
      <c r="M1451">
        <v>-15447033</v>
      </c>
      <c r="N1451">
        <v>-32418832</v>
      </c>
      <c r="O1451">
        <v>74148735</v>
      </c>
      <c r="P1451">
        <v>160</v>
      </c>
      <c r="Q1451" t="s">
        <v>3210</v>
      </c>
    </row>
    <row r="1452" spans="1:17" x14ac:dyDescent="0.3">
      <c r="A1452" t="s">
        <v>17</v>
      </c>
      <c r="B1452" t="str">
        <f>"601619"</f>
        <v>601619</v>
      </c>
      <c r="C1452" t="s">
        <v>3211</v>
      </c>
      <c r="D1452" t="s">
        <v>367</v>
      </c>
      <c r="E1452">
        <v>34263347</v>
      </c>
      <c r="F1452">
        <v>73668084</v>
      </c>
      <c r="G1452">
        <v>49938694</v>
      </c>
      <c r="H1452">
        <v>76924636</v>
      </c>
      <c r="I1452">
        <v>57100575</v>
      </c>
      <c r="J1452">
        <v>36115600</v>
      </c>
      <c r="K1452">
        <v>59715900</v>
      </c>
      <c r="P1452">
        <v>184</v>
      </c>
      <c r="Q1452" t="s">
        <v>3212</v>
      </c>
    </row>
    <row r="1453" spans="1:17" x14ac:dyDescent="0.3">
      <c r="A1453" t="s">
        <v>17</v>
      </c>
      <c r="B1453" t="str">
        <f>"600235"</f>
        <v>600235</v>
      </c>
      <c r="C1453" t="s">
        <v>3213</v>
      </c>
      <c r="D1453" t="s">
        <v>1119</v>
      </c>
      <c r="E1453">
        <v>34007122</v>
      </c>
      <c r="F1453">
        <v>-10380646</v>
      </c>
      <c r="G1453">
        <v>31982354</v>
      </c>
      <c r="H1453">
        <v>37570058</v>
      </c>
      <c r="I1453">
        <v>-36814367</v>
      </c>
      <c r="J1453">
        <v>-26898022</v>
      </c>
      <c r="K1453">
        <v>2497842</v>
      </c>
      <c r="L1453">
        <v>17936137</v>
      </c>
      <c r="M1453">
        <v>33575759</v>
      </c>
      <c r="N1453">
        <v>4630312</v>
      </c>
      <c r="O1453">
        <v>47563853</v>
      </c>
      <c r="P1453">
        <v>71</v>
      </c>
      <c r="Q1453" t="s">
        <v>3214</v>
      </c>
    </row>
    <row r="1454" spans="1:17" x14ac:dyDescent="0.3">
      <c r="A1454" t="s">
        <v>33</v>
      </c>
      <c r="B1454" t="str">
        <f>"002735"</f>
        <v>002735</v>
      </c>
      <c r="C1454" t="s">
        <v>3215</v>
      </c>
      <c r="D1454" t="s">
        <v>1609</v>
      </c>
      <c r="E1454">
        <v>33994336</v>
      </c>
      <c r="F1454">
        <v>-4239783</v>
      </c>
      <c r="G1454">
        <v>28471055</v>
      </c>
      <c r="H1454">
        <v>31814448</v>
      </c>
      <c r="I1454">
        <v>15715750</v>
      </c>
      <c r="J1454">
        <v>25113441</v>
      </c>
      <c r="K1454">
        <v>28949687</v>
      </c>
      <c r="L1454">
        <v>15489999</v>
      </c>
      <c r="M1454">
        <v>13494219</v>
      </c>
      <c r="P1454">
        <v>71</v>
      </c>
      <c r="Q1454" t="s">
        <v>3216</v>
      </c>
    </row>
    <row r="1455" spans="1:17" x14ac:dyDescent="0.3">
      <c r="A1455" t="s">
        <v>17</v>
      </c>
      <c r="B1455" t="str">
        <f>"603811"</f>
        <v>603811</v>
      </c>
      <c r="C1455" t="s">
        <v>3217</v>
      </c>
      <c r="D1455" t="s">
        <v>590</v>
      </c>
      <c r="E1455">
        <v>33901895</v>
      </c>
      <c r="F1455">
        <v>20069585</v>
      </c>
      <c r="G1455">
        <v>13301534</v>
      </c>
      <c r="H1455">
        <v>39778002</v>
      </c>
      <c r="I1455">
        <v>26192090</v>
      </c>
      <c r="J1455">
        <v>-7644857</v>
      </c>
      <c r="K1455">
        <v>7149627</v>
      </c>
      <c r="P1455">
        <v>327</v>
      </c>
      <c r="Q1455" t="s">
        <v>3218</v>
      </c>
    </row>
    <row r="1456" spans="1:17" x14ac:dyDescent="0.3">
      <c r="A1456" t="s">
        <v>17</v>
      </c>
      <c r="B1456" t="str">
        <f>"605086"</f>
        <v>605086</v>
      </c>
      <c r="C1456" t="s">
        <v>3219</v>
      </c>
      <c r="D1456" t="s">
        <v>790</v>
      </c>
      <c r="E1456">
        <v>33762507</v>
      </c>
      <c r="F1456">
        <v>31727814</v>
      </c>
      <c r="G1456">
        <v>12768790</v>
      </c>
      <c r="P1456">
        <v>29</v>
      </c>
      <c r="Q1456" t="s">
        <v>3220</v>
      </c>
    </row>
    <row r="1457" spans="1:17" x14ac:dyDescent="0.3">
      <c r="A1457" t="s">
        <v>33</v>
      </c>
      <c r="B1457" t="str">
        <f>"002802"</f>
        <v>002802</v>
      </c>
      <c r="C1457" t="s">
        <v>3221</v>
      </c>
      <c r="D1457" t="s">
        <v>418</v>
      </c>
      <c r="E1457">
        <v>33634256</v>
      </c>
      <c r="F1457">
        <v>-14616946</v>
      </c>
      <c r="G1457">
        <v>41793204</v>
      </c>
      <c r="H1457">
        <v>18716714</v>
      </c>
      <c r="I1457">
        <v>-5919389</v>
      </c>
      <c r="J1457">
        <v>-633779</v>
      </c>
      <c r="K1457">
        <v>5636443</v>
      </c>
      <c r="L1457">
        <v>5427914</v>
      </c>
      <c r="P1457">
        <v>102</v>
      </c>
      <c r="Q1457" t="s">
        <v>3222</v>
      </c>
    </row>
    <row r="1458" spans="1:17" x14ac:dyDescent="0.3">
      <c r="A1458" t="s">
        <v>17</v>
      </c>
      <c r="B1458" t="str">
        <f>"605300"</f>
        <v>605300</v>
      </c>
      <c r="C1458" t="s">
        <v>3223</v>
      </c>
      <c r="D1458" t="s">
        <v>918</v>
      </c>
      <c r="E1458">
        <v>33604099</v>
      </c>
      <c r="F1458">
        <v>6997344</v>
      </c>
      <c r="G1458">
        <v>-167340601</v>
      </c>
      <c r="P1458">
        <v>56</v>
      </c>
      <c r="Q1458" t="s">
        <v>3224</v>
      </c>
    </row>
    <row r="1459" spans="1:17" x14ac:dyDescent="0.3">
      <c r="A1459" t="s">
        <v>33</v>
      </c>
      <c r="B1459" t="str">
        <f>"300690"</f>
        <v>300690</v>
      </c>
      <c r="C1459" t="s">
        <v>3225</v>
      </c>
      <c r="D1459" t="s">
        <v>1437</v>
      </c>
      <c r="E1459">
        <v>33600781</v>
      </c>
      <c r="F1459">
        <v>1882584</v>
      </c>
      <c r="G1459">
        <v>12247625</v>
      </c>
      <c r="H1459">
        <v>28141357</v>
      </c>
      <c r="I1459">
        <v>2888188</v>
      </c>
      <c r="J1459">
        <v>4457000</v>
      </c>
      <c r="K1459">
        <v>13085300</v>
      </c>
      <c r="P1459">
        <v>214</v>
      </c>
      <c r="Q1459" t="s">
        <v>3226</v>
      </c>
    </row>
    <row r="1460" spans="1:17" x14ac:dyDescent="0.3">
      <c r="A1460" t="s">
        <v>17</v>
      </c>
      <c r="B1460" t="str">
        <f>"603040"</f>
        <v>603040</v>
      </c>
      <c r="C1460" t="s">
        <v>3227</v>
      </c>
      <c r="D1460" t="s">
        <v>858</v>
      </c>
      <c r="E1460">
        <v>33575642</v>
      </c>
      <c r="F1460">
        <v>23727088</v>
      </c>
      <c r="G1460">
        <v>39458555</v>
      </c>
      <c r="H1460">
        <v>22846974</v>
      </c>
      <c r="I1460">
        <v>12879347</v>
      </c>
      <c r="J1460">
        <v>17045630</v>
      </c>
      <c r="K1460">
        <v>10639953</v>
      </c>
      <c r="P1460">
        <v>619</v>
      </c>
      <c r="Q1460" t="s">
        <v>3228</v>
      </c>
    </row>
    <row r="1461" spans="1:17" x14ac:dyDescent="0.3">
      <c r="A1461" t="s">
        <v>17</v>
      </c>
      <c r="B1461" t="str">
        <f>"688301"</f>
        <v>688301</v>
      </c>
      <c r="C1461" t="s">
        <v>3229</v>
      </c>
      <c r="D1461" t="s">
        <v>111</v>
      </c>
      <c r="E1461">
        <v>33561831</v>
      </c>
      <c r="F1461">
        <v>67127560</v>
      </c>
      <c r="G1461">
        <v>22214419</v>
      </c>
      <c r="P1461">
        <v>178</v>
      </c>
      <c r="Q1461" t="s">
        <v>3230</v>
      </c>
    </row>
    <row r="1462" spans="1:17" x14ac:dyDescent="0.3">
      <c r="A1462" t="s">
        <v>17</v>
      </c>
      <c r="B1462" t="str">
        <f>"603677"</f>
        <v>603677</v>
      </c>
      <c r="C1462" t="s">
        <v>3231</v>
      </c>
      <c r="D1462" t="s">
        <v>1869</v>
      </c>
      <c r="E1462">
        <v>33510200</v>
      </c>
      <c r="F1462">
        <v>-6196123</v>
      </c>
      <c r="G1462">
        <v>46234241</v>
      </c>
      <c r="H1462">
        <v>19430935</v>
      </c>
      <c r="I1462">
        <v>-17760043</v>
      </c>
      <c r="J1462">
        <v>-50581691</v>
      </c>
      <c r="K1462">
        <v>43300455</v>
      </c>
      <c r="P1462">
        <v>124</v>
      </c>
      <c r="Q1462" t="s">
        <v>3232</v>
      </c>
    </row>
    <row r="1463" spans="1:17" x14ac:dyDescent="0.3">
      <c r="A1463" t="s">
        <v>17</v>
      </c>
      <c r="B1463" t="str">
        <f>"603398"</f>
        <v>603398</v>
      </c>
      <c r="C1463" t="s">
        <v>3233</v>
      </c>
      <c r="D1463" t="s">
        <v>3234</v>
      </c>
      <c r="E1463">
        <v>33445179</v>
      </c>
      <c r="F1463">
        <v>13027023</v>
      </c>
      <c r="G1463">
        <v>-10412025</v>
      </c>
      <c r="H1463">
        <v>2772947</v>
      </c>
      <c r="I1463">
        <v>-3159720</v>
      </c>
      <c r="J1463">
        <v>4338986</v>
      </c>
      <c r="K1463">
        <v>15490983</v>
      </c>
      <c r="L1463">
        <v>15451046</v>
      </c>
      <c r="M1463">
        <v>11759728</v>
      </c>
      <c r="P1463">
        <v>89</v>
      </c>
      <c r="Q1463" t="s">
        <v>3235</v>
      </c>
    </row>
    <row r="1464" spans="1:17" x14ac:dyDescent="0.3">
      <c r="A1464" t="s">
        <v>33</v>
      </c>
      <c r="B1464" t="str">
        <f>"300694"</f>
        <v>300694</v>
      </c>
      <c r="C1464" t="s">
        <v>3236</v>
      </c>
      <c r="D1464" t="s">
        <v>858</v>
      </c>
      <c r="E1464">
        <v>33382717</v>
      </c>
      <c r="F1464">
        <v>42570659</v>
      </c>
      <c r="G1464">
        <v>61259655</v>
      </c>
      <c r="H1464">
        <v>61169035</v>
      </c>
      <c r="I1464">
        <v>2670086</v>
      </c>
      <c r="P1464">
        <v>74</v>
      </c>
      <c r="Q1464" t="s">
        <v>3237</v>
      </c>
    </row>
    <row r="1465" spans="1:17" x14ac:dyDescent="0.3">
      <c r="A1465" t="s">
        <v>17</v>
      </c>
      <c r="B1465" t="str">
        <f>"603759"</f>
        <v>603759</v>
      </c>
      <c r="C1465" t="s">
        <v>3238</v>
      </c>
      <c r="D1465" t="s">
        <v>932</v>
      </c>
      <c r="E1465">
        <v>33322377</v>
      </c>
      <c r="F1465">
        <v>28412007</v>
      </c>
      <c r="G1465">
        <v>2927975</v>
      </c>
      <c r="P1465">
        <v>48</v>
      </c>
      <c r="Q1465" t="s">
        <v>3239</v>
      </c>
    </row>
    <row r="1466" spans="1:17" x14ac:dyDescent="0.3">
      <c r="A1466" t="s">
        <v>33</v>
      </c>
      <c r="B1466" t="str">
        <f>"300622"</f>
        <v>300622</v>
      </c>
      <c r="C1466" t="s">
        <v>3240</v>
      </c>
      <c r="D1466" t="s">
        <v>351</v>
      </c>
      <c r="E1466">
        <v>33227744</v>
      </c>
      <c r="F1466">
        <v>50530403</v>
      </c>
      <c r="G1466">
        <v>6251111</v>
      </c>
      <c r="H1466">
        <v>17057989</v>
      </c>
      <c r="I1466">
        <v>5240111</v>
      </c>
      <c r="J1466">
        <v>20390033</v>
      </c>
      <c r="K1466">
        <v>15408217</v>
      </c>
      <c r="P1466">
        <v>123</v>
      </c>
      <c r="Q1466" t="s">
        <v>3241</v>
      </c>
    </row>
    <row r="1467" spans="1:17" x14ac:dyDescent="0.3">
      <c r="A1467" t="s">
        <v>17</v>
      </c>
      <c r="B1467" t="str">
        <f>"603238"</f>
        <v>603238</v>
      </c>
      <c r="C1467" t="s">
        <v>3242</v>
      </c>
      <c r="D1467" t="s">
        <v>974</v>
      </c>
      <c r="E1467">
        <v>33199792</v>
      </c>
      <c r="F1467">
        <v>75105357</v>
      </c>
      <c r="G1467">
        <v>91082400</v>
      </c>
      <c r="H1467">
        <v>37385786</v>
      </c>
      <c r="I1467">
        <v>-14806690</v>
      </c>
      <c r="J1467">
        <v>-4873917</v>
      </c>
      <c r="K1467">
        <v>3404326</v>
      </c>
      <c r="P1467">
        <v>240</v>
      </c>
      <c r="Q1467" t="s">
        <v>3243</v>
      </c>
    </row>
    <row r="1468" spans="1:17" x14ac:dyDescent="0.3">
      <c r="A1468" t="s">
        <v>33</v>
      </c>
      <c r="B1468" t="str">
        <f>"002991"</f>
        <v>002991</v>
      </c>
      <c r="C1468" t="s">
        <v>3244</v>
      </c>
      <c r="D1468" t="s">
        <v>1157</v>
      </c>
      <c r="E1468">
        <v>32899676</v>
      </c>
      <c r="F1468">
        <v>27692895</v>
      </c>
      <c r="G1468">
        <v>8649503</v>
      </c>
      <c r="H1468">
        <v>18749150</v>
      </c>
      <c r="P1468">
        <v>211</v>
      </c>
      <c r="Q1468" t="s">
        <v>3245</v>
      </c>
    </row>
    <row r="1469" spans="1:17" x14ac:dyDescent="0.3">
      <c r="A1469" t="s">
        <v>17</v>
      </c>
      <c r="B1469" t="str">
        <f>"600490"</f>
        <v>600490</v>
      </c>
      <c r="C1469" t="s">
        <v>3246</v>
      </c>
      <c r="D1469" t="s">
        <v>153</v>
      </c>
      <c r="E1469">
        <v>32890924</v>
      </c>
      <c r="F1469">
        <v>-31492146</v>
      </c>
      <c r="G1469">
        <v>24184825</v>
      </c>
      <c r="H1469">
        <v>185546282</v>
      </c>
      <c r="I1469">
        <v>231729467</v>
      </c>
      <c r="J1469">
        <v>125193031</v>
      </c>
      <c r="K1469">
        <v>43097920</v>
      </c>
      <c r="L1469">
        <v>87715549</v>
      </c>
      <c r="M1469">
        <v>-113180249</v>
      </c>
      <c r="N1469">
        <v>51016812</v>
      </c>
      <c r="O1469">
        <v>-13020468</v>
      </c>
      <c r="P1469">
        <v>144</v>
      </c>
      <c r="Q1469" t="s">
        <v>3247</v>
      </c>
    </row>
    <row r="1470" spans="1:17" x14ac:dyDescent="0.3">
      <c r="A1470" t="s">
        <v>33</v>
      </c>
      <c r="B1470" t="str">
        <f>"301002"</f>
        <v>301002</v>
      </c>
      <c r="C1470" t="s">
        <v>3248</v>
      </c>
      <c r="D1470" t="s">
        <v>298</v>
      </c>
      <c r="E1470">
        <v>32890449</v>
      </c>
      <c r="F1470">
        <v>-18693500</v>
      </c>
      <c r="G1470">
        <v>21402669</v>
      </c>
      <c r="P1470">
        <v>43</v>
      </c>
      <c r="Q1470" t="s">
        <v>3249</v>
      </c>
    </row>
    <row r="1471" spans="1:17" x14ac:dyDescent="0.3">
      <c r="A1471" t="s">
        <v>33</v>
      </c>
      <c r="B1471" t="str">
        <f>"002393"</f>
        <v>002393</v>
      </c>
      <c r="C1471" t="s">
        <v>3250</v>
      </c>
      <c r="D1471" t="s">
        <v>590</v>
      </c>
      <c r="E1471">
        <v>32867367</v>
      </c>
      <c r="F1471">
        <v>21507113</v>
      </c>
      <c r="G1471">
        <v>86913364</v>
      </c>
      <c r="H1471">
        <v>50535197</v>
      </c>
      <c r="I1471">
        <v>64111548</v>
      </c>
      <c r="J1471">
        <v>-12281773</v>
      </c>
      <c r="K1471">
        <v>32177582</v>
      </c>
      <c r="L1471">
        <v>73482550</v>
      </c>
      <c r="M1471">
        <v>-4471486</v>
      </c>
      <c r="N1471">
        <v>43419265</v>
      </c>
      <c r="O1471">
        <v>9849178</v>
      </c>
      <c r="P1471">
        <v>153</v>
      </c>
      <c r="Q1471" t="s">
        <v>3251</v>
      </c>
    </row>
    <row r="1472" spans="1:17" x14ac:dyDescent="0.3">
      <c r="A1472" t="s">
        <v>17</v>
      </c>
      <c r="B1472" t="str">
        <f>"603803"</f>
        <v>603803</v>
      </c>
      <c r="C1472" t="s">
        <v>3252</v>
      </c>
      <c r="D1472" t="s">
        <v>1347</v>
      </c>
      <c r="E1472">
        <v>32839943</v>
      </c>
      <c r="F1472">
        <v>-176621005</v>
      </c>
      <c r="G1472">
        <v>-103872331</v>
      </c>
      <c r="H1472">
        <v>-148240798</v>
      </c>
      <c r="I1472">
        <v>-90252490</v>
      </c>
      <c r="J1472">
        <v>-165513621</v>
      </c>
      <c r="K1472">
        <v>3953762</v>
      </c>
      <c r="P1472">
        <v>153</v>
      </c>
      <c r="Q1472" t="s">
        <v>3253</v>
      </c>
    </row>
    <row r="1473" spans="1:17" x14ac:dyDescent="0.3">
      <c r="A1473" t="s">
        <v>33</v>
      </c>
      <c r="B1473" t="str">
        <f>"002165"</f>
        <v>002165</v>
      </c>
      <c r="C1473" t="s">
        <v>3254</v>
      </c>
      <c r="D1473" t="s">
        <v>195</v>
      </c>
      <c r="E1473">
        <v>32760582</v>
      </c>
      <c r="F1473">
        <v>-206547903</v>
      </c>
      <c r="G1473">
        <v>-51414430</v>
      </c>
      <c r="H1473">
        <v>-70787970</v>
      </c>
      <c r="I1473">
        <v>24227763</v>
      </c>
      <c r="J1473">
        <v>-93812940</v>
      </c>
      <c r="K1473">
        <v>83176320</v>
      </c>
      <c r="L1473">
        <v>19841882</v>
      </c>
      <c r="M1473">
        <v>6879339</v>
      </c>
      <c r="N1473">
        <v>92747475</v>
      </c>
      <c r="O1473">
        <v>92368527</v>
      </c>
      <c r="P1473">
        <v>100</v>
      </c>
      <c r="Q1473" t="s">
        <v>3255</v>
      </c>
    </row>
    <row r="1474" spans="1:17" x14ac:dyDescent="0.3">
      <c r="A1474" t="s">
        <v>33</v>
      </c>
      <c r="B1474" t="str">
        <f>"300985"</f>
        <v>300985</v>
      </c>
      <c r="C1474" t="s">
        <v>3256</v>
      </c>
      <c r="D1474" t="s">
        <v>164</v>
      </c>
      <c r="E1474">
        <v>32589779</v>
      </c>
      <c r="F1474">
        <v>-58796710</v>
      </c>
      <c r="G1474">
        <v>-86327972</v>
      </c>
      <c r="P1474">
        <v>32</v>
      </c>
      <c r="Q1474" t="s">
        <v>3257</v>
      </c>
    </row>
    <row r="1475" spans="1:17" x14ac:dyDescent="0.3">
      <c r="A1475" t="s">
        <v>17</v>
      </c>
      <c r="B1475" t="str">
        <f>"600358"</f>
        <v>600358</v>
      </c>
      <c r="C1475" t="s">
        <v>3258</v>
      </c>
      <c r="D1475" t="s">
        <v>1125</v>
      </c>
      <c r="E1475">
        <v>32561779</v>
      </c>
      <c r="F1475">
        <v>-2474659</v>
      </c>
      <c r="G1475">
        <v>1110079</v>
      </c>
      <c r="H1475">
        <v>-33666488</v>
      </c>
      <c r="I1475">
        <v>-26026369</v>
      </c>
      <c r="J1475">
        <v>-9254826</v>
      </c>
      <c r="K1475">
        <v>-9182640</v>
      </c>
      <c r="L1475">
        <v>-18566606</v>
      </c>
      <c r="M1475">
        <v>-6405803</v>
      </c>
      <c r="N1475">
        <v>-440296</v>
      </c>
      <c r="O1475">
        <v>-13271727</v>
      </c>
      <c r="P1475">
        <v>64</v>
      </c>
      <c r="Q1475" t="s">
        <v>3259</v>
      </c>
    </row>
    <row r="1476" spans="1:17" x14ac:dyDescent="0.3">
      <c r="A1476" t="s">
        <v>33</v>
      </c>
      <c r="B1476" t="str">
        <f>"002522"</f>
        <v>002522</v>
      </c>
      <c r="C1476" t="s">
        <v>3260</v>
      </c>
      <c r="D1476" t="s">
        <v>1734</v>
      </c>
      <c r="E1476">
        <v>32537954</v>
      </c>
      <c r="F1476">
        <v>46442890</v>
      </c>
      <c r="G1476">
        <v>-29586172</v>
      </c>
      <c r="H1476">
        <v>4496862</v>
      </c>
      <c r="I1476">
        <v>3040249</v>
      </c>
      <c r="J1476">
        <v>10936649</v>
      </c>
      <c r="K1476">
        <v>1697799</v>
      </c>
      <c r="L1476">
        <v>4133284</v>
      </c>
      <c r="M1476">
        <v>12436056</v>
      </c>
      <c r="N1476">
        <v>24656072</v>
      </c>
      <c r="O1476">
        <v>13448279</v>
      </c>
      <c r="P1476">
        <v>367</v>
      </c>
      <c r="Q1476" t="s">
        <v>3261</v>
      </c>
    </row>
    <row r="1477" spans="1:17" x14ac:dyDescent="0.3">
      <c r="A1477" t="s">
        <v>33</v>
      </c>
      <c r="B1477" t="str">
        <f>"000797"</f>
        <v>000797</v>
      </c>
      <c r="C1477" t="s">
        <v>3262</v>
      </c>
      <c r="D1477" t="s">
        <v>167</v>
      </c>
      <c r="E1477">
        <v>32527270</v>
      </c>
      <c r="F1477">
        <v>143763784</v>
      </c>
      <c r="G1477">
        <v>-1719294527</v>
      </c>
      <c r="H1477">
        <v>-820169183</v>
      </c>
      <c r="I1477">
        <v>-969438120</v>
      </c>
      <c r="J1477">
        <v>-65699681</v>
      </c>
      <c r="K1477">
        <v>-136961996</v>
      </c>
      <c r="L1477">
        <v>-37354856</v>
      </c>
      <c r="M1477">
        <v>-250330483</v>
      </c>
      <c r="N1477">
        <v>-19183410</v>
      </c>
      <c r="O1477">
        <v>-41193045</v>
      </c>
      <c r="P1477">
        <v>121</v>
      </c>
      <c r="Q1477" t="s">
        <v>3263</v>
      </c>
    </row>
    <row r="1478" spans="1:17" x14ac:dyDescent="0.3">
      <c r="A1478" t="s">
        <v>17</v>
      </c>
      <c r="B1478" t="str">
        <f>"605028"</f>
        <v>605028</v>
      </c>
      <c r="C1478" t="s">
        <v>3264</v>
      </c>
      <c r="D1478" t="s">
        <v>1094</v>
      </c>
      <c r="E1478">
        <v>32401676</v>
      </c>
      <c r="F1478">
        <v>44106070</v>
      </c>
      <c r="G1478">
        <v>5183707</v>
      </c>
      <c r="P1478">
        <v>46</v>
      </c>
      <c r="Q1478" t="s">
        <v>3265</v>
      </c>
    </row>
    <row r="1479" spans="1:17" x14ac:dyDescent="0.3">
      <c r="A1479" t="s">
        <v>17</v>
      </c>
      <c r="B1479" t="str">
        <f>"603359"</f>
        <v>603359</v>
      </c>
      <c r="C1479" t="s">
        <v>3266</v>
      </c>
      <c r="D1479" t="s">
        <v>2330</v>
      </c>
      <c r="E1479">
        <v>32353527</v>
      </c>
      <c r="F1479">
        <v>-136572631</v>
      </c>
      <c r="G1479">
        <v>-144984871</v>
      </c>
      <c r="H1479">
        <v>-115913484</v>
      </c>
      <c r="I1479">
        <v>-144899844</v>
      </c>
      <c r="J1479">
        <v>99899526</v>
      </c>
      <c r="K1479">
        <v>13591712</v>
      </c>
      <c r="P1479">
        <v>187</v>
      </c>
      <c r="Q1479" t="s">
        <v>3267</v>
      </c>
    </row>
    <row r="1480" spans="1:17" x14ac:dyDescent="0.3">
      <c r="A1480" t="s">
        <v>33</v>
      </c>
      <c r="B1480" t="str">
        <f>"002881"</f>
        <v>002881</v>
      </c>
      <c r="C1480" t="s">
        <v>3268</v>
      </c>
      <c r="D1480" t="s">
        <v>226</v>
      </c>
      <c r="E1480">
        <v>32328875</v>
      </c>
      <c r="F1480">
        <v>-74406326</v>
      </c>
      <c r="G1480">
        <v>-47705726</v>
      </c>
      <c r="H1480">
        <v>-20782591</v>
      </c>
      <c r="I1480">
        <v>10755130</v>
      </c>
      <c r="J1480">
        <v>9804069</v>
      </c>
      <c r="K1480">
        <v>7070301</v>
      </c>
      <c r="P1480">
        <v>240</v>
      </c>
      <c r="Q1480" t="s">
        <v>3269</v>
      </c>
    </row>
    <row r="1481" spans="1:17" x14ac:dyDescent="0.3">
      <c r="A1481" t="s">
        <v>33</v>
      </c>
      <c r="B1481" t="str">
        <f>"000153"</f>
        <v>000153</v>
      </c>
      <c r="C1481" t="s">
        <v>3270</v>
      </c>
      <c r="D1481" t="s">
        <v>590</v>
      </c>
      <c r="E1481">
        <v>32242267</v>
      </c>
      <c r="F1481">
        <v>36640216</v>
      </c>
      <c r="G1481">
        <v>10220385</v>
      </c>
      <c r="H1481">
        <v>8207468</v>
      </c>
      <c r="I1481">
        <v>16564706</v>
      </c>
      <c r="J1481">
        <v>13654051</v>
      </c>
      <c r="K1481">
        <v>8616181</v>
      </c>
      <c r="L1481">
        <v>14678305</v>
      </c>
      <c r="M1481">
        <v>16261717</v>
      </c>
      <c r="N1481">
        <v>14144727</v>
      </c>
      <c r="O1481">
        <v>17472040</v>
      </c>
      <c r="P1481">
        <v>118</v>
      </c>
      <c r="Q1481" t="s">
        <v>3271</v>
      </c>
    </row>
    <row r="1482" spans="1:17" x14ac:dyDescent="0.3">
      <c r="A1482" t="s">
        <v>33</v>
      </c>
      <c r="B1482" t="str">
        <f>"300254"</f>
        <v>300254</v>
      </c>
      <c r="C1482" t="s">
        <v>3272</v>
      </c>
      <c r="D1482" t="s">
        <v>590</v>
      </c>
      <c r="E1482">
        <v>32222075</v>
      </c>
      <c r="F1482">
        <v>15554487</v>
      </c>
      <c r="G1482">
        <v>-17385577</v>
      </c>
      <c r="H1482">
        <v>10220919</v>
      </c>
      <c r="I1482">
        <v>5372759</v>
      </c>
      <c r="J1482">
        <v>2703093</v>
      </c>
      <c r="K1482">
        <v>2340892</v>
      </c>
      <c r="L1482">
        <v>-14680395</v>
      </c>
      <c r="M1482">
        <v>11966387</v>
      </c>
      <c r="N1482">
        <v>16507739</v>
      </c>
      <c r="O1482">
        <v>6704740</v>
      </c>
      <c r="P1482">
        <v>82</v>
      </c>
      <c r="Q1482" t="s">
        <v>3273</v>
      </c>
    </row>
    <row r="1483" spans="1:17" x14ac:dyDescent="0.3">
      <c r="A1483" t="s">
        <v>33</v>
      </c>
      <c r="B1483" t="str">
        <f>"001216"</f>
        <v>001216</v>
      </c>
      <c r="C1483" t="s">
        <v>3274</v>
      </c>
      <c r="D1483" t="s">
        <v>927</v>
      </c>
      <c r="E1483">
        <v>32182031</v>
      </c>
      <c r="F1483">
        <v>1690361</v>
      </c>
      <c r="P1483">
        <v>19</v>
      </c>
      <c r="Q1483" t="s">
        <v>3275</v>
      </c>
    </row>
    <row r="1484" spans="1:17" x14ac:dyDescent="0.3">
      <c r="A1484" t="s">
        <v>33</v>
      </c>
      <c r="B1484" t="str">
        <f>"002219"</f>
        <v>002219</v>
      </c>
      <c r="C1484" t="s">
        <v>3276</v>
      </c>
      <c r="D1484" t="s">
        <v>520</v>
      </c>
      <c r="E1484">
        <v>32049044</v>
      </c>
      <c r="F1484">
        <v>18991307</v>
      </c>
      <c r="G1484">
        <v>45716745</v>
      </c>
      <c r="H1484">
        <v>101220317</v>
      </c>
      <c r="I1484">
        <v>-8666209</v>
      </c>
      <c r="J1484">
        <v>-104423848</v>
      </c>
      <c r="K1484">
        <v>45947396</v>
      </c>
      <c r="L1484">
        <v>26551190</v>
      </c>
      <c r="M1484">
        <v>42885506</v>
      </c>
      <c r="N1484">
        <v>64644693</v>
      </c>
      <c r="O1484">
        <v>8973287</v>
      </c>
      <c r="P1484">
        <v>94</v>
      </c>
      <c r="Q1484" t="s">
        <v>3277</v>
      </c>
    </row>
    <row r="1485" spans="1:17" x14ac:dyDescent="0.3">
      <c r="A1485" t="s">
        <v>17</v>
      </c>
      <c r="B1485" t="str">
        <f>"603633"</f>
        <v>603633</v>
      </c>
      <c r="C1485" t="s">
        <v>3278</v>
      </c>
      <c r="D1485" t="s">
        <v>226</v>
      </c>
      <c r="E1485">
        <v>31926016</v>
      </c>
      <c r="F1485">
        <v>27248801</v>
      </c>
      <c r="G1485">
        <v>47919429</v>
      </c>
      <c r="H1485">
        <v>24149429</v>
      </c>
      <c r="I1485">
        <v>16705758</v>
      </c>
      <c r="J1485">
        <v>12945881</v>
      </c>
      <c r="K1485">
        <v>34062440</v>
      </c>
      <c r="P1485">
        <v>90</v>
      </c>
      <c r="Q1485" t="s">
        <v>3279</v>
      </c>
    </row>
    <row r="1486" spans="1:17" x14ac:dyDescent="0.3">
      <c r="A1486" t="s">
        <v>33</v>
      </c>
      <c r="B1486" t="str">
        <f>"002757"</f>
        <v>002757</v>
      </c>
      <c r="C1486" t="s">
        <v>3280</v>
      </c>
      <c r="D1486" t="s">
        <v>1895</v>
      </c>
      <c r="E1486">
        <v>31923018</v>
      </c>
      <c r="F1486">
        <v>53994538</v>
      </c>
      <c r="G1486">
        <v>13185225</v>
      </c>
      <c r="H1486">
        <v>78029776</v>
      </c>
      <c r="I1486">
        <v>6786398</v>
      </c>
      <c r="J1486">
        <v>14259071</v>
      </c>
      <c r="K1486">
        <v>2884188</v>
      </c>
      <c r="L1486">
        <v>1583336</v>
      </c>
      <c r="M1486">
        <v>7900914</v>
      </c>
      <c r="P1486">
        <v>267</v>
      </c>
      <c r="Q1486" t="s">
        <v>3281</v>
      </c>
    </row>
    <row r="1487" spans="1:17" x14ac:dyDescent="0.3">
      <c r="A1487" t="s">
        <v>17</v>
      </c>
      <c r="B1487" t="str">
        <f>"688019"</f>
        <v>688019</v>
      </c>
      <c r="C1487" t="s">
        <v>3282</v>
      </c>
      <c r="D1487" t="s">
        <v>1330</v>
      </c>
      <c r="E1487">
        <v>31839635</v>
      </c>
      <c r="F1487">
        <v>-41862151</v>
      </c>
      <c r="G1487">
        <v>-3233327</v>
      </c>
      <c r="H1487">
        <v>-23775500</v>
      </c>
      <c r="I1487">
        <v>10972100</v>
      </c>
      <c r="P1487">
        <v>286</v>
      </c>
      <c r="Q1487" t="s">
        <v>3283</v>
      </c>
    </row>
    <row r="1488" spans="1:17" x14ac:dyDescent="0.3">
      <c r="A1488" t="s">
        <v>33</v>
      </c>
      <c r="B1488" t="str">
        <f>"300952"</f>
        <v>300952</v>
      </c>
      <c r="C1488" t="s">
        <v>3284</v>
      </c>
      <c r="D1488" t="s">
        <v>1680</v>
      </c>
      <c r="E1488">
        <v>31804559</v>
      </c>
      <c r="F1488">
        <v>21960841</v>
      </c>
      <c r="G1488">
        <v>14079056</v>
      </c>
      <c r="P1488">
        <v>38</v>
      </c>
      <c r="Q1488" t="s">
        <v>3285</v>
      </c>
    </row>
    <row r="1489" spans="1:17" x14ac:dyDescent="0.3">
      <c r="A1489" t="s">
        <v>17</v>
      </c>
      <c r="B1489" t="str">
        <f>"688388"</f>
        <v>688388</v>
      </c>
      <c r="C1489" t="s">
        <v>3286</v>
      </c>
      <c r="D1489" t="s">
        <v>153</v>
      </c>
      <c r="E1489">
        <v>31715798</v>
      </c>
      <c r="F1489">
        <v>-64111737</v>
      </c>
      <c r="G1489">
        <v>-4407190</v>
      </c>
      <c r="H1489">
        <v>136344876</v>
      </c>
      <c r="I1489">
        <v>-1178300</v>
      </c>
      <c r="J1489">
        <v>37666991</v>
      </c>
      <c r="P1489">
        <v>286</v>
      </c>
      <c r="Q1489" t="s">
        <v>3287</v>
      </c>
    </row>
    <row r="1490" spans="1:17" x14ac:dyDescent="0.3">
      <c r="A1490" t="s">
        <v>17</v>
      </c>
      <c r="B1490" t="str">
        <f>"601020"</f>
        <v>601020</v>
      </c>
      <c r="C1490" t="s">
        <v>3288</v>
      </c>
      <c r="D1490" t="s">
        <v>777</v>
      </c>
      <c r="E1490">
        <v>31687549</v>
      </c>
      <c r="F1490">
        <v>30669083</v>
      </c>
      <c r="G1490">
        <v>31390241</v>
      </c>
      <c r="H1490">
        <v>-65732698</v>
      </c>
      <c r="I1490">
        <v>83876041</v>
      </c>
      <c r="J1490">
        <v>-147254682</v>
      </c>
      <c r="K1490">
        <v>-189385763</v>
      </c>
      <c r="L1490">
        <v>-45266073</v>
      </c>
      <c r="P1490">
        <v>180</v>
      </c>
      <c r="Q1490" t="s">
        <v>3289</v>
      </c>
    </row>
    <row r="1491" spans="1:17" x14ac:dyDescent="0.3">
      <c r="A1491" t="s">
        <v>17</v>
      </c>
      <c r="B1491" t="str">
        <f>"600641"</f>
        <v>600641</v>
      </c>
      <c r="C1491" t="s">
        <v>3290</v>
      </c>
      <c r="D1491" t="s">
        <v>167</v>
      </c>
      <c r="E1491">
        <v>31684117</v>
      </c>
      <c r="F1491">
        <v>-45788331</v>
      </c>
      <c r="G1491">
        <v>-78550345</v>
      </c>
      <c r="H1491">
        <v>152080105</v>
      </c>
      <c r="I1491">
        <v>168036700</v>
      </c>
      <c r="J1491">
        <v>-116160427</v>
      </c>
      <c r="K1491">
        <v>441755966</v>
      </c>
      <c r="L1491">
        <v>-193705546</v>
      </c>
      <c r="M1491">
        <v>79294038</v>
      </c>
      <c r="N1491">
        <v>203420544</v>
      </c>
      <c r="O1491">
        <v>57688811</v>
      </c>
      <c r="P1491">
        <v>404</v>
      </c>
      <c r="Q1491" t="s">
        <v>3291</v>
      </c>
    </row>
    <row r="1492" spans="1:17" x14ac:dyDescent="0.3">
      <c r="A1492" t="s">
        <v>17</v>
      </c>
      <c r="B1492" t="str">
        <f>"688195"</f>
        <v>688195</v>
      </c>
      <c r="C1492" t="s">
        <v>3292</v>
      </c>
      <c r="D1492" t="s">
        <v>2017</v>
      </c>
      <c r="E1492">
        <v>31626873</v>
      </c>
      <c r="F1492">
        <v>13409072</v>
      </c>
      <c r="G1492">
        <v>7719019</v>
      </c>
      <c r="P1492">
        <v>41</v>
      </c>
      <c r="Q1492" t="s">
        <v>3293</v>
      </c>
    </row>
    <row r="1493" spans="1:17" x14ac:dyDescent="0.3">
      <c r="A1493" t="s">
        <v>33</v>
      </c>
      <c r="B1493" t="str">
        <f>"002084"</f>
        <v>002084</v>
      </c>
      <c r="C1493" t="s">
        <v>3294</v>
      </c>
      <c r="D1493" t="s">
        <v>1710</v>
      </c>
      <c r="E1493">
        <v>31264310</v>
      </c>
      <c r="F1493">
        <v>49259834</v>
      </c>
      <c r="G1493">
        <v>47104125</v>
      </c>
      <c r="H1493">
        <v>75493438</v>
      </c>
      <c r="I1493">
        <v>17251123</v>
      </c>
      <c r="J1493">
        <v>164130916</v>
      </c>
      <c r="K1493">
        <v>-5093260</v>
      </c>
      <c r="L1493">
        <v>60044414</v>
      </c>
      <c r="M1493">
        <v>55112493</v>
      </c>
      <c r="N1493">
        <v>43144152</v>
      </c>
      <c r="O1493">
        <v>17393146</v>
      </c>
      <c r="P1493">
        <v>148</v>
      </c>
      <c r="Q1493" t="s">
        <v>3295</v>
      </c>
    </row>
    <row r="1494" spans="1:17" x14ac:dyDescent="0.3">
      <c r="A1494" t="s">
        <v>17</v>
      </c>
      <c r="B1494" t="str">
        <f>"688093"</f>
        <v>688093</v>
      </c>
      <c r="C1494" t="s">
        <v>3296</v>
      </c>
      <c r="D1494" t="s">
        <v>499</v>
      </c>
      <c r="E1494">
        <v>31104569</v>
      </c>
      <c r="F1494">
        <v>72100130</v>
      </c>
      <c r="G1494">
        <v>30625674</v>
      </c>
      <c r="H1494">
        <v>24837800</v>
      </c>
      <c r="P1494">
        <v>59</v>
      </c>
      <c r="Q1494" t="s">
        <v>3297</v>
      </c>
    </row>
    <row r="1495" spans="1:17" x14ac:dyDescent="0.3">
      <c r="A1495" t="s">
        <v>33</v>
      </c>
      <c r="B1495" t="str">
        <f>"300995"</f>
        <v>300995</v>
      </c>
      <c r="C1495" t="s">
        <v>3298</v>
      </c>
      <c r="D1495" t="s">
        <v>1556</v>
      </c>
      <c r="E1495">
        <v>30984772</v>
      </c>
      <c r="F1495">
        <v>-1743696</v>
      </c>
      <c r="G1495">
        <v>8213092</v>
      </c>
      <c r="P1495">
        <v>26</v>
      </c>
      <c r="Q1495" t="s">
        <v>3299</v>
      </c>
    </row>
    <row r="1496" spans="1:17" x14ac:dyDescent="0.3">
      <c r="A1496" t="s">
        <v>17</v>
      </c>
      <c r="B1496" t="str">
        <f>"688662"</f>
        <v>688662</v>
      </c>
      <c r="C1496" t="s">
        <v>3300</v>
      </c>
      <c r="D1496" t="s">
        <v>499</v>
      </c>
      <c r="E1496">
        <v>30910751</v>
      </c>
      <c r="F1496">
        <v>-24397052</v>
      </c>
      <c r="G1496">
        <v>9339018</v>
      </c>
      <c r="P1496">
        <v>23</v>
      </c>
      <c r="Q1496" t="s">
        <v>3301</v>
      </c>
    </row>
    <row r="1497" spans="1:17" x14ac:dyDescent="0.3">
      <c r="A1497" t="s">
        <v>33</v>
      </c>
      <c r="B1497" t="str">
        <f>"300626"</f>
        <v>300626</v>
      </c>
      <c r="C1497" t="s">
        <v>3302</v>
      </c>
      <c r="D1497" t="s">
        <v>1091</v>
      </c>
      <c r="E1497">
        <v>30900170</v>
      </c>
      <c r="F1497">
        <v>1596119</v>
      </c>
      <c r="G1497">
        <v>-6141310</v>
      </c>
      <c r="H1497">
        <v>64133439</v>
      </c>
      <c r="I1497">
        <v>-25044627</v>
      </c>
      <c r="J1497">
        <v>-22529963</v>
      </c>
      <c r="K1497">
        <v>48873452</v>
      </c>
      <c r="P1497">
        <v>55</v>
      </c>
      <c r="Q1497" t="s">
        <v>3303</v>
      </c>
    </row>
    <row r="1498" spans="1:17" x14ac:dyDescent="0.3">
      <c r="A1498" t="s">
        <v>33</v>
      </c>
      <c r="B1498" t="str">
        <f>"300956"</f>
        <v>300956</v>
      </c>
      <c r="C1498" t="s">
        <v>3304</v>
      </c>
      <c r="D1498" t="s">
        <v>226</v>
      </c>
      <c r="E1498">
        <v>30883437</v>
      </c>
      <c r="F1498">
        <v>42315167</v>
      </c>
      <c r="G1498">
        <v>59971490</v>
      </c>
      <c r="P1498">
        <v>45</v>
      </c>
      <c r="Q1498" t="s">
        <v>3305</v>
      </c>
    </row>
    <row r="1499" spans="1:17" x14ac:dyDescent="0.3">
      <c r="A1499" t="s">
        <v>17</v>
      </c>
      <c r="B1499" t="str">
        <f>"600692"</f>
        <v>600692</v>
      </c>
      <c r="C1499" t="s">
        <v>3306</v>
      </c>
      <c r="D1499" t="s">
        <v>167</v>
      </c>
      <c r="E1499">
        <v>30843605</v>
      </c>
      <c r="F1499">
        <v>-36729202</v>
      </c>
      <c r="G1499">
        <v>-13830459</v>
      </c>
      <c r="H1499">
        <v>-94817583</v>
      </c>
      <c r="I1499">
        <v>-71396851</v>
      </c>
      <c r="J1499">
        <v>-104606737</v>
      </c>
      <c r="K1499">
        <v>-2992728</v>
      </c>
      <c r="L1499">
        <v>1842051</v>
      </c>
      <c r="M1499">
        <v>-19471928</v>
      </c>
      <c r="N1499">
        <v>63485538</v>
      </c>
      <c r="O1499">
        <v>-56763614</v>
      </c>
      <c r="P1499">
        <v>76</v>
      </c>
      <c r="Q1499" t="s">
        <v>3307</v>
      </c>
    </row>
    <row r="1500" spans="1:17" x14ac:dyDescent="0.3">
      <c r="A1500" t="s">
        <v>33</v>
      </c>
      <c r="B1500" t="str">
        <f>"000557"</f>
        <v>000557</v>
      </c>
      <c r="C1500" t="s">
        <v>3308</v>
      </c>
      <c r="D1500" t="s">
        <v>403</v>
      </c>
      <c r="E1500">
        <v>30738093</v>
      </c>
      <c r="F1500">
        <v>80836650</v>
      </c>
      <c r="G1500">
        <v>58221723</v>
      </c>
      <c r="H1500">
        <v>-9145166</v>
      </c>
      <c r="I1500">
        <v>-16225555</v>
      </c>
      <c r="J1500">
        <v>37915389</v>
      </c>
      <c r="K1500">
        <v>2998430</v>
      </c>
      <c r="L1500">
        <v>-2309987</v>
      </c>
      <c r="M1500">
        <v>-1731828</v>
      </c>
      <c r="N1500">
        <v>-1213359</v>
      </c>
      <c r="O1500">
        <v>-321898</v>
      </c>
      <c r="P1500">
        <v>103</v>
      </c>
      <c r="Q1500" t="s">
        <v>3309</v>
      </c>
    </row>
    <row r="1501" spans="1:17" x14ac:dyDescent="0.3">
      <c r="A1501" t="s">
        <v>33</v>
      </c>
      <c r="B1501" t="str">
        <f>"003026"</f>
        <v>003026</v>
      </c>
      <c r="C1501" t="s">
        <v>3310</v>
      </c>
      <c r="D1501" t="s">
        <v>1177</v>
      </c>
      <c r="E1501">
        <v>30617721</v>
      </c>
      <c r="F1501">
        <v>23740319</v>
      </c>
      <c r="G1501">
        <v>15521780</v>
      </c>
      <c r="P1501">
        <v>106</v>
      </c>
      <c r="Q1501" t="s">
        <v>3311</v>
      </c>
    </row>
    <row r="1502" spans="1:17" x14ac:dyDescent="0.3">
      <c r="A1502" t="s">
        <v>17</v>
      </c>
      <c r="B1502" t="str">
        <f>"605011"</f>
        <v>605011</v>
      </c>
      <c r="C1502" t="s">
        <v>3312</v>
      </c>
      <c r="D1502" t="s">
        <v>1094</v>
      </c>
      <c r="E1502">
        <v>30580524</v>
      </c>
      <c r="F1502">
        <v>5953752</v>
      </c>
      <c r="G1502">
        <v>-3280957</v>
      </c>
      <c r="P1502">
        <v>27</v>
      </c>
      <c r="Q1502" t="s">
        <v>3313</v>
      </c>
    </row>
    <row r="1503" spans="1:17" x14ac:dyDescent="0.3">
      <c r="A1503" t="s">
        <v>17</v>
      </c>
      <c r="B1503" t="str">
        <f>"603168"</f>
        <v>603168</v>
      </c>
      <c r="C1503" t="s">
        <v>3314</v>
      </c>
      <c r="D1503" t="s">
        <v>590</v>
      </c>
      <c r="E1503">
        <v>30565574</v>
      </c>
      <c r="F1503">
        <v>12479811</v>
      </c>
      <c r="G1503">
        <v>13418138</v>
      </c>
      <c r="H1503">
        <v>46256242</v>
      </c>
      <c r="I1503">
        <v>89934958</v>
      </c>
      <c r="J1503">
        <v>32112851</v>
      </c>
      <c r="K1503">
        <v>64639541</v>
      </c>
      <c r="L1503">
        <v>25659927</v>
      </c>
      <c r="M1503">
        <v>31248200</v>
      </c>
      <c r="N1503">
        <v>8402700</v>
      </c>
      <c r="P1503">
        <v>528</v>
      </c>
      <c r="Q1503" t="s">
        <v>3315</v>
      </c>
    </row>
    <row r="1504" spans="1:17" x14ac:dyDescent="0.3">
      <c r="A1504" t="s">
        <v>33</v>
      </c>
      <c r="B1504" t="str">
        <f>"300614"</f>
        <v>300614</v>
      </c>
      <c r="C1504" t="s">
        <v>3316</v>
      </c>
      <c r="D1504" t="s">
        <v>897</v>
      </c>
      <c r="E1504">
        <v>30536941</v>
      </c>
      <c r="F1504">
        <v>21031568</v>
      </c>
      <c r="G1504">
        <v>26795466</v>
      </c>
      <c r="P1504">
        <v>41</v>
      </c>
      <c r="Q1504" t="s">
        <v>3317</v>
      </c>
    </row>
    <row r="1505" spans="1:17" x14ac:dyDescent="0.3">
      <c r="A1505" t="s">
        <v>17</v>
      </c>
      <c r="B1505" t="str">
        <f>"688182"</f>
        <v>688182</v>
      </c>
      <c r="C1505" t="s">
        <v>3318</v>
      </c>
      <c r="D1505" t="s">
        <v>461</v>
      </c>
      <c r="E1505">
        <v>30495238</v>
      </c>
      <c r="F1505">
        <v>-6311237</v>
      </c>
      <c r="G1505">
        <v>110637855</v>
      </c>
      <c r="P1505">
        <v>17</v>
      </c>
      <c r="Q1505" t="s">
        <v>3319</v>
      </c>
    </row>
    <row r="1506" spans="1:17" x14ac:dyDescent="0.3">
      <c r="A1506" t="s">
        <v>33</v>
      </c>
      <c r="B1506" t="str">
        <f>"300823"</f>
        <v>300823</v>
      </c>
      <c r="C1506" t="s">
        <v>3320</v>
      </c>
      <c r="D1506" t="s">
        <v>1895</v>
      </c>
      <c r="E1506">
        <v>30363164</v>
      </c>
      <c r="F1506">
        <v>20045510</v>
      </c>
      <c r="G1506">
        <v>-8550812</v>
      </c>
      <c r="H1506">
        <v>27850548</v>
      </c>
      <c r="P1506">
        <v>109</v>
      </c>
      <c r="Q1506" t="s">
        <v>3321</v>
      </c>
    </row>
    <row r="1507" spans="1:17" x14ac:dyDescent="0.3">
      <c r="A1507" t="s">
        <v>17</v>
      </c>
      <c r="B1507" t="str">
        <f>"603227"</f>
        <v>603227</v>
      </c>
      <c r="C1507" t="s">
        <v>3322</v>
      </c>
      <c r="D1507" t="s">
        <v>1474</v>
      </c>
      <c r="E1507">
        <v>30358844</v>
      </c>
      <c r="F1507">
        <v>-41642711</v>
      </c>
      <c r="G1507">
        <v>-67855135</v>
      </c>
      <c r="H1507">
        <v>-66376215</v>
      </c>
      <c r="I1507">
        <v>-70130403</v>
      </c>
      <c r="J1507">
        <v>-76674854</v>
      </c>
      <c r="K1507">
        <v>-61431797</v>
      </c>
      <c r="L1507">
        <v>-71716260</v>
      </c>
      <c r="M1507">
        <v>-67386267</v>
      </c>
      <c r="P1507">
        <v>80</v>
      </c>
      <c r="Q1507" t="s">
        <v>3323</v>
      </c>
    </row>
    <row r="1508" spans="1:17" x14ac:dyDescent="0.3">
      <c r="A1508" t="s">
        <v>33</v>
      </c>
      <c r="B1508" t="str">
        <f>"300637"</f>
        <v>300637</v>
      </c>
      <c r="C1508" t="s">
        <v>3324</v>
      </c>
      <c r="D1508" t="s">
        <v>1330</v>
      </c>
      <c r="E1508">
        <v>30266165</v>
      </c>
      <c r="F1508">
        <v>31138086</v>
      </c>
      <c r="G1508">
        <v>1361449</v>
      </c>
      <c r="H1508">
        <v>14489949</v>
      </c>
      <c r="I1508">
        <v>13428242</v>
      </c>
      <c r="J1508">
        <v>476614</v>
      </c>
      <c r="K1508">
        <v>12949428</v>
      </c>
      <c r="P1508">
        <v>117</v>
      </c>
      <c r="Q1508" t="s">
        <v>3325</v>
      </c>
    </row>
    <row r="1509" spans="1:17" x14ac:dyDescent="0.3">
      <c r="A1509" t="s">
        <v>33</v>
      </c>
      <c r="B1509" t="str">
        <f>"300930"</f>
        <v>300930</v>
      </c>
      <c r="C1509" t="s">
        <v>3326</v>
      </c>
      <c r="D1509" t="s">
        <v>2576</v>
      </c>
      <c r="E1509">
        <v>30246955</v>
      </c>
      <c r="F1509">
        <v>3059499</v>
      </c>
      <c r="G1509">
        <v>4019237</v>
      </c>
      <c r="P1509">
        <v>75</v>
      </c>
      <c r="Q1509" t="s">
        <v>3327</v>
      </c>
    </row>
    <row r="1510" spans="1:17" x14ac:dyDescent="0.3">
      <c r="A1510" t="s">
        <v>33</v>
      </c>
      <c r="B1510" t="str">
        <f>"300218"</f>
        <v>300218</v>
      </c>
      <c r="C1510" t="s">
        <v>3328</v>
      </c>
      <c r="D1510" t="s">
        <v>1483</v>
      </c>
      <c r="E1510">
        <v>30242236</v>
      </c>
      <c r="F1510">
        <v>-63940024</v>
      </c>
      <c r="G1510">
        <v>-85614275</v>
      </c>
      <c r="H1510">
        <v>-84937193</v>
      </c>
      <c r="I1510">
        <v>-45624837</v>
      </c>
      <c r="J1510">
        <v>-52274333</v>
      </c>
      <c r="K1510">
        <v>-45777161</v>
      </c>
      <c r="L1510">
        <v>-30288489</v>
      </c>
      <c r="M1510">
        <v>-17848100</v>
      </c>
      <c r="N1510">
        <v>-11239274</v>
      </c>
      <c r="O1510">
        <v>-31557779</v>
      </c>
      <c r="P1510">
        <v>108</v>
      </c>
      <c r="Q1510" t="s">
        <v>3329</v>
      </c>
    </row>
    <row r="1511" spans="1:17" x14ac:dyDescent="0.3">
      <c r="A1511" t="s">
        <v>33</v>
      </c>
      <c r="B1511" t="str">
        <f>"002102"</f>
        <v>002102</v>
      </c>
      <c r="C1511" t="s">
        <v>3330</v>
      </c>
      <c r="D1511" t="s">
        <v>941</v>
      </c>
      <c r="E1511">
        <v>30132614</v>
      </c>
      <c r="F1511">
        <v>-86028497</v>
      </c>
      <c r="G1511">
        <v>180102871</v>
      </c>
      <c r="H1511">
        <v>-160161308</v>
      </c>
      <c r="I1511">
        <v>-55171137</v>
      </c>
      <c r="J1511">
        <v>-6915902</v>
      </c>
      <c r="K1511">
        <v>-85045964</v>
      </c>
      <c r="L1511">
        <v>101693730</v>
      </c>
      <c r="M1511">
        <v>-224131307</v>
      </c>
      <c r="N1511">
        <v>6906131</v>
      </c>
      <c r="O1511">
        <v>17447420</v>
      </c>
      <c r="P1511">
        <v>119</v>
      </c>
      <c r="Q1511" t="s">
        <v>3331</v>
      </c>
    </row>
    <row r="1512" spans="1:17" x14ac:dyDescent="0.3">
      <c r="A1512" t="s">
        <v>17</v>
      </c>
      <c r="B1512" t="str">
        <f>"688233"</f>
        <v>688233</v>
      </c>
      <c r="C1512" t="s">
        <v>3332</v>
      </c>
      <c r="D1512" t="s">
        <v>1177</v>
      </c>
      <c r="E1512">
        <v>30116485</v>
      </c>
      <c r="F1512">
        <v>16665523</v>
      </c>
      <c r="G1512">
        <v>1062064</v>
      </c>
      <c r="H1512">
        <v>43116622</v>
      </c>
      <c r="P1512">
        <v>170</v>
      </c>
      <c r="Q1512" t="s">
        <v>3333</v>
      </c>
    </row>
    <row r="1513" spans="1:17" x14ac:dyDescent="0.3">
      <c r="A1513" t="s">
        <v>33</v>
      </c>
      <c r="B1513" t="str">
        <f>"300488"</f>
        <v>300488</v>
      </c>
      <c r="C1513" t="s">
        <v>3334</v>
      </c>
      <c r="D1513" t="s">
        <v>164</v>
      </c>
      <c r="E1513">
        <v>30074132</v>
      </c>
      <c r="F1513">
        <v>44373965</v>
      </c>
      <c r="G1513">
        <v>10054073</v>
      </c>
      <c r="H1513">
        <v>34901502</v>
      </c>
      <c r="I1513">
        <v>23715189</v>
      </c>
      <c r="J1513">
        <v>12355971</v>
      </c>
      <c r="K1513">
        <v>9251551</v>
      </c>
      <c r="L1513">
        <v>21756000</v>
      </c>
      <c r="M1513">
        <v>20820500</v>
      </c>
      <c r="P1513">
        <v>120</v>
      </c>
      <c r="Q1513" t="s">
        <v>3335</v>
      </c>
    </row>
    <row r="1514" spans="1:17" x14ac:dyDescent="0.3">
      <c r="A1514" t="s">
        <v>17</v>
      </c>
      <c r="B1514" t="str">
        <f>"600645"</f>
        <v>600645</v>
      </c>
      <c r="C1514" t="s">
        <v>3336</v>
      </c>
      <c r="D1514" t="s">
        <v>221</v>
      </c>
      <c r="E1514">
        <v>30064713</v>
      </c>
      <c r="F1514">
        <v>49151166</v>
      </c>
      <c r="G1514">
        <v>3088366</v>
      </c>
      <c r="H1514">
        <v>5063416</v>
      </c>
      <c r="I1514">
        <v>-27471359</v>
      </c>
      <c r="J1514">
        <v>-36158905</v>
      </c>
      <c r="K1514">
        <v>-20497877</v>
      </c>
      <c r="L1514">
        <v>4273623</v>
      </c>
      <c r="M1514">
        <v>23076805</v>
      </c>
      <c r="N1514">
        <v>-2988130</v>
      </c>
      <c r="O1514">
        <v>6493462</v>
      </c>
      <c r="P1514">
        <v>223</v>
      </c>
      <c r="Q1514" t="s">
        <v>3337</v>
      </c>
    </row>
    <row r="1515" spans="1:17" x14ac:dyDescent="0.3">
      <c r="A1515" t="s">
        <v>17</v>
      </c>
      <c r="B1515" t="str">
        <f>"603789"</f>
        <v>603789</v>
      </c>
      <c r="C1515" t="s">
        <v>3338</v>
      </c>
      <c r="D1515" t="s">
        <v>2941</v>
      </c>
      <c r="E1515">
        <v>30054164</v>
      </c>
      <c r="F1515">
        <v>16208517</v>
      </c>
      <c r="G1515">
        <v>-28256259</v>
      </c>
      <c r="H1515">
        <v>-24682624</v>
      </c>
      <c r="I1515">
        <v>-91546986</v>
      </c>
      <c r="J1515">
        <v>11765931</v>
      </c>
      <c r="K1515">
        <v>54182460</v>
      </c>
      <c r="L1515">
        <v>-50302564</v>
      </c>
      <c r="P1515">
        <v>64</v>
      </c>
      <c r="Q1515" t="s">
        <v>3339</v>
      </c>
    </row>
    <row r="1516" spans="1:17" x14ac:dyDescent="0.3">
      <c r="A1516" t="s">
        <v>17</v>
      </c>
      <c r="B1516" t="str">
        <f>"603289"</f>
        <v>603289</v>
      </c>
      <c r="C1516" t="s">
        <v>3340</v>
      </c>
      <c r="D1516" t="s">
        <v>1895</v>
      </c>
      <c r="E1516">
        <v>30044071</v>
      </c>
      <c r="F1516">
        <v>42886590</v>
      </c>
      <c r="G1516">
        <v>-35521668</v>
      </c>
      <c r="H1516">
        <v>28689755</v>
      </c>
      <c r="I1516">
        <v>-2679179</v>
      </c>
      <c r="J1516">
        <v>15306586</v>
      </c>
      <c r="P1516">
        <v>115</v>
      </c>
      <c r="Q1516" t="s">
        <v>3341</v>
      </c>
    </row>
    <row r="1517" spans="1:17" x14ac:dyDescent="0.3">
      <c r="A1517" t="s">
        <v>17</v>
      </c>
      <c r="B1517" t="str">
        <f>"600356"</f>
        <v>600356</v>
      </c>
      <c r="C1517" t="s">
        <v>3342</v>
      </c>
      <c r="D1517" t="s">
        <v>1119</v>
      </c>
      <c r="E1517">
        <v>29987569</v>
      </c>
      <c r="F1517">
        <v>99084662</v>
      </c>
      <c r="G1517">
        <v>-17164880</v>
      </c>
      <c r="H1517">
        <v>-81432280</v>
      </c>
      <c r="I1517">
        <v>-143155672</v>
      </c>
      <c r="J1517">
        <v>29549082</v>
      </c>
      <c r="K1517">
        <v>-128888190</v>
      </c>
      <c r="L1517">
        <v>-37403175</v>
      </c>
      <c r="M1517">
        <v>-5462073</v>
      </c>
      <c r="N1517">
        <v>-70912166</v>
      </c>
      <c r="O1517">
        <v>-24412470</v>
      </c>
      <c r="P1517">
        <v>116</v>
      </c>
      <c r="Q1517" t="s">
        <v>3343</v>
      </c>
    </row>
    <row r="1518" spans="1:17" x14ac:dyDescent="0.3">
      <c r="A1518" t="s">
        <v>17</v>
      </c>
      <c r="B1518" t="str">
        <f>"605133"</f>
        <v>605133</v>
      </c>
      <c r="C1518" t="s">
        <v>3344</v>
      </c>
      <c r="D1518" t="s">
        <v>858</v>
      </c>
      <c r="E1518">
        <v>29877789</v>
      </c>
      <c r="F1518">
        <v>42064022</v>
      </c>
      <c r="G1518">
        <v>112174154</v>
      </c>
      <c r="P1518">
        <v>36</v>
      </c>
      <c r="Q1518" t="s">
        <v>3345</v>
      </c>
    </row>
    <row r="1519" spans="1:17" x14ac:dyDescent="0.3">
      <c r="A1519" t="s">
        <v>17</v>
      </c>
      <c r="B1519" t="str">
        <f>"600684"</f>
        <v>600684</v>
      </c>
      <c r="C1519" t="s">
        <v>3346</v>
      </c>
      <c r="D1519" t="s">
        <v>167</v>
      </c>
      <c r="E1519">
        <v>29840029</v>
      </c>
      <c r="F1519">
        <v>134298876</v>
      </c>
      <c r="G1519">
        <v>-84456997</v>
      </c>
      <c r="H1519">
        <v>-206139068</v>
      </c>
      <c r="I1519">
        <v>238250457</v>
      </c>
      <c r="J1519">
        <v>527725007</v>
      </c>
      <c r="K1519">
        <v>-638307420</v>
      </c>
      <c r="L1519">
        <v>-1221428</v>
      </c>
      <c r="M1519">
        <v>-374926837</v>
      </c>
      <c r="N1519">
        <v>1139189</v>
      </c>
      <c r="O1519">
        <v>-10172305</v>
      </c>
      <c r="P1519">
        <v>124</v>
      </c>
      <c r="Q1519" t="s">
        <v>3347</v>
      </c>
    </row>
    <row r="1520" spans="1:17" x14ac:dyDescent="0.3">
      <c r="A1520" t="s">
        <v>33</v>
      </c>
      <c r="B1520" t="str">
        <f>"000733"</f>
        <v>000733</v>
      </c>
      <c r="C1520" t="s">
        <v>3348</v>
      </c>
      <c r="D1520" t="s">
        <v>617</v>
      </c>
      <c r="E1520">
        <v>29714199</v>
      </c>
      <c r="F1520">
        <v>23703091</v>
      </c>
      <c r="G1520">
        <v>-220215549</v>
      </c>
      <c r="H1520">
        <v>-192103243</v>
      </c>
      <c r="I1520">
        <v>-236113582</v>
      </c>
      <c r="J1520">
        <v>-378770525</v>
      </c>
      <c r="K1520">
        <v>-78069288</v>
      </c>
      <c r="L1520">
        <v>-62468200</v>
      </c>
      <c r="M1520">
        <v>-78508931</v>
      </c>
      <c r="N1520">
        <v>-89239922</v>
      </c>
      <c r="O1520">
        <v>-67595528</v>
      </c>
      <c r="P1520">
        <v>490</v>
      </c>
      <c r="Q1520" t="s">
        <v>3349</v>
      </c>
    </row>
    <row r="1521" spans="1:17" x14ac:dyDescent="0.3">
      <c r="A1521" t="s">
        <v>17</v>
      </c>
      <c r="B1521" t="str">
        <f>"688117"</f>
        <v>688117</v>
      </c>
      <c r="C1521" t="s">
        <v>3350</v>
      </c>
      <c r="D1521" t="s">
        <v>590</v>
      </c>
      <c r="E1521">
        <v>29565224</v>
      </c>
      <c r="F1521">
        <v>24612689</v>
      </c>
      <c r="G1521">
        <v>27589579</v>
      </c>
      <c r="P1521">
        <v>29</v>
      </c>
      <c r="Q1521" t="s">
        <v>3351</v>
      </c>
    </row>
    <row r="1522" spans="1:17" x14ac:dyDescent="0.3">
      <c r="A1522" t="s">
        <v>33</v>
      </c>
      <c r="B1522" t="str">
        <f>"300751"</f>
        <v>300751</v>
      </c>
      <c r="C1522" t="s">
        <v>3352</v>
      </c>
      <c r="D1522" t="s">
        <v>715</v>
      </c>
      <c r="E1522">
        <v>29431752</v>
      </c>
      <c r="F1522">
        <v>110334279</v>
      </c>
      <c r="G1522">
        <v>-28304208</v>
      </c>
      <c r="H1522">
        <v>42973302</v>
      </c>
      <c r="I1522">
        <v>-51029385</v>
      </c>
      <c r="P1522">
        <v>627</v>
      </c>
      <c r="Q1522" t="s">
        <v>3353</v>
      </c>
    </row>
    <row r="1523" spans="1:17" x14ac:dyDescent="0.3">
      <c r="A1523" t="s">
        <v>33</v>
      </c>
      <c r="B1523" t="str">
        <f>"002892"</f>
        <v>002892</v>
      </c>
      <c r="C1523" t="s">
        <v>3354</v>
      </c>
      <c r="D1523" t="s">
        <v>1091</v>
      </c>
      <c r="E1523">
        <v>29419299</v>
      </c>
      <c r="F1523">
        <v>914706</v>
      </c>
      <c r="G1523">
        <v>52485300</v>
      </c>
      <c r="H1523">
        <v>23359692</v>
      </c>
      <c r="I1523">
        <v>12098049</v>
      </c>
      <c r="J1523">
        <v>828185</v>
      </c>
      <c r="P1523">
        <v>145</v>
      </c>
      <c r="Q1523" t="s">
        <v>3355</v>
      </c>
    </row>
    <row r="1524" spans="1:17" x14ac:dyDescent="0.3">
      <c r="A1524" t="s">
        <v>17</v>
      </c>
      <c r="B1524" t="str">
        <f>"603879"</f>
        <v>603879</v>
      </c>
      <c r="C1524" t="s">
        <v>3356</v>
      </c>
      <c r="D1524" t="s">
        <v>1817</v>
      </c>
      <c r="E1524">
        <v>29322329</v>
      </c>
      <c r="F1524">
        <v>3985876</v>
      </c>
      <c r="G1524">
        <v>-28019938</v>
      </c>
      <c r="H1524">
        <v>-28374403</v>
      </c>
      <c r="I1524">
        <v>-16345308</v>
      </c>
      <c r="J1524">
        <v>-5683970</v>
      </c>
      <c r="K1524">
        <v>-4632807</v>
      </c>
      <c r="P1524">
        <v>55</v>
      </c>
      <c r="Q1524" t="s">
        <v>3357</v>
      </c>
    </row>
    <row r="1525" spans="1:17" x14ac:dyDescent="0.3">
      <c r="A1525" t="s">
        <v>17</v>
      </c>
      <c r="B1525" t="str">
        <f>"603819"</f>
        <v>603819</v>
      </c>
      <c r="C1525" t="s">
        <v>3358</v>
      </c>
      <c r="D1525" t="s">
        <v>1091</v>
      </c>
      <c r="E1525">
        <v>29318468</v>
      </c>
      <c r="F1525">
        <v>-107424098</v>
      </c>
      <c r="G1525">
        <v>-23135509</v>
      </c>
      <c r="H1525">
        <v>-82520415</v>
      </c>
      <c r="I1525">
        <v>-20741046</v>
      </c>
      <c r="J1525">
        <v>-35359720</v>
      </c>
      <c r="K1525">
        <v>-21288084</v>
      </c>
      <c r="P1525">
        <v>74</v>
      </c>
      <c r="Q1525" t="s">
        <v>3359</v>
      </c>
    </row>
    <row r="1526" spans="1:17" x14ac:dyDescent="0.3">
      <c r="A1526" t="s">
        <v>17</v>
      </c>
      <c r="B1526" t="str">
        <f>"688032"</f>
        <v>688032</v>
      </c>
      <c r="C1526" t="s">
        <v>3360</v>
      </c>
      <c r="D1526" t="s">
        <v>2708</v>
      </c>
      <c r="E1526">
        <v>29314958</v>
      </c>
      <c r="P1526">
        <v>31</v>
      </c>
      <c r="Q1526" t="s">
        <v>3361</v>
      </c>
    </row>
    <row r="1527" spans="1:17" x14ac:dyDescent="0.3">
      <c r="A1527" t="s">
        <v>33</v>
      </c>
      <c r="B1527" t="str">
        <f>"300558"</f>
        <v>300558</v>
      </c>
      <c r="C1527" t="s">
        <v>3362</v>
      </c>
      <c r="D1527" t="s">
        <v>590</v>
      </c>
      <c r="E1527">
        <v>29306886</v>
      </c>
      <c r="F1527">
        <v>77551313</v>
      </c>
      <c r="G1527">
        <v>284445195</v>
      </c>
      <c r="H1527">
        <v>100660403</v>
      </c>
      <c r="I1527">
        <v>73389658</v>
      </c>
      <c r="J1527">
        <v>70119684</v>
      </c>
      <c r="K1527">
        <v>122108538</v>
      </c>
      <c r="P1527">
        <v>756</v>
      </c>
      <c r="Q1527" t="s">
        <v>3363</v>
      </c>
    </row>
    <row r="1528" spans="1:17" x14ac:dyDescent="0.3">
      <c r="A1528" t="s">
        <v>33</v>
      </c>
      <c r="B1528" t="str">
        <f>"003003"</f>
        <v>003003</v>
      </c>
      <c r="C1528" t="s">
        <v>3364</v>
      </c>
      <c r="D1528" t="s">
        <v>3127</v>
      </c>
      <c r="E1528">
        <v>29236663</v>
      </c>
      <c r="F1528">
        <v>-43005153</v>
      </c>
      <c r="G1528">
        <v>-57945872</v>
      </c>
      <c r="P1528">
        <v>39</v>
      </c>
      <c r="Q1528" t="s">
        <v>3365</v>
      </c>
    </row>
    <row r="1529" spans="1:17" x14ac:dyDescent="0.3">
      <c r="A1529" t="s">
        <v>17</v>
      </c>
      <c r="B1529" t="str">
        <f>"600290"</f>
        <v>600290</v>
      </c>
      <c r="C1529" t="s">
        <v>3366</v>
      </c>
      <c r="D1529" t="s">
        <v>675</v>
      </c>
      <c r="E1529">
        <v>29169644</v>
      </c>
      <c r="F1529">
        <v>7799377</v>
      </c>
      <c r="G1529">
        <v>-68406778</v>
      </c>
      <c r="H1529">
        <v>141899544</v>
      </c>
      <c r="I1529">
        <v>-51691894</v>
      </c>
      <c r="J1529">
        <v>43467884</v>
      </c>
      <c r="K1529">
        <v>-296408429</v>
      </c>
      <c r="L1529">
        <v>-102949522</v>
      </c>
      <c r="M1529">
        <v>-112369784</v>
      </c>
      <c r="N1529">
        <v>148782484</v>
      </c>
      <c r="O1529">
        <v>-16193615</v>
      </c>
      <c r="P1529">
        <v>68</v>
      </c>
      <c r="Q1529" t="s">
        <v>3367</v>
      </c>
    </row>
    <row r="1530" spans="1:17" x14ac:dyDescent="0.3">
      <c r="A1530" t="s">
        <v>17</v>
      </c>
      <c r="B1530" t="str">
        <f>"603937"</f>
        <v>603937</v>
      </c>
      <c r="C1530" t="s">
        <v>3368</v>
      </c>
      <c r="D1530" t="s">
        <v>140</v>
      </c>
      <c r="E1530">
        <v>29111402</v>
      </c>
      <c r="F1530">
        <v>-48769875</v>
      </c>
      <c r="G1530">
        <v>30737047</v>
      </c>
      <c r="H1530">
        <v>52645685</v>
      </c>
      <c r="I1530">
        <v>24621526</v>
      </c>
      <c r="J1530">
        <v>33200429</v>
      </c>
      <c r="P1530">
        <v>61</v>
      </c>
      <c r="Q1530" t="s">
        <v>3369</v>
      </c>
    </row>
    <row r="1531" spans="1:17" x14ac:dyDescent="0.3">
      <c r="A1531" t="s">
        <v>33</v>
      </c>
      <c r="B1531" t="str">
        <f>"003015"</f>
        <v>003015</v>
      </c>
      <c r="C1531" t="s">
        <v>3370</v>
      </c>
      <c r="D1531" t="s">
        <v>2017</v>
      </c>
      <c r="E1531">
        <v>29098386</v>
      </c>
      <c r="F1531">
        <v>-3445623</v>
      </c>
      <c r="G1531">
        <v>-14697281</v>
      </c>
      <c r="P1531">
        <v>46</v>
      </c>
      <c r="Q1531" t="s">
        <v>3371</v>
      </c>
    </row>
    <row r="1532" spans="1:17" x14ac:dyDescent="0.3">
      <c r="A1532" t="s">
        <v>33</v>
      </c>
      <c r="B1532" t="str">
        <f>"301119"</f>
        <v>301119</v>
      </c>
      <c r="C1532" t="s">
        <v>3372</v>
      </c>
      <c r="D1532" t="s">
        <v>858</v>
      </c>
      <c r="E1532">
        <v>28896632</v>
      </c>
      <c r="P1532">
        <v>12</v>
      </c>
      <c r="Q1532" t="s">
        <v>3373</v>
      </c>
    </row>
    <row r="1533" spans="1:17" x14ac:dyDescent="0.3">
      <c r="A1533" t="s">
        <v>17</v>
      </c>
      <c r="B1533" t="str">
        <f>"603722"</f>
        <v>603722</v>
      </c>
      <c r="C1533" t="s">
        <v>3374</v>
      </c>
      <c r="D1533" t="s">
        <v>1483</v>
      </c>
      <c r="E1533">
        <v>28746512</v>
      </c>
      <c r="F1533">
        <v>15305065</v>
      </c>
      <c r="G1533">
        <v>9624363</v>
      </c>
      <c r="H1533">
        <v>13399534</v>
      </c>
      <c r="I1533">
        <v>-8375840</v>
      </c>
      <c r="J1533">
        <v>-6673290</v>
      </c>
      <c r="P1533">
        <v>83</v>
      </c>
      <c r="Q1533" t="s">
        <v>3375</v>
      </c>
    </row>
    <row r="1534" spans="1:17" x14ac:dyDescent="0.3">
      <c r="A1534" t="s">
        <v>17</v>
      </c>
      <c r="B1534" t="str">
        <f>"605196"</f>
        <v>605196</v>
      </c>
      <c r="C1534" t="s">
        <v>3376</v>
      </c>
      <c r="D1534" t="s">
        <v>1282</v>
      </c>
      <c r="E1534">
        <v>28592929</v>
      </c>
      <c r="F1534">
        <v>-76444656</v>
      </c>
      <c r="G1534">
        <v>-25412551</v>
      </c>
      <c r="P1534">
        <v>27</v>
      </c>
      <c r="Q1534" t="s">
        <v>3377</v>
      </c>
    </row>
    <row r="1535" spans="1:17" x14ac:dyDescent="0.3">
      <c r="A1535" t="s">
        <v>17</v>
      </c>
      <c r="B1535" t="str">
        <f>"600722"</f>
        <v>600722</v>
      </c>
      <c r="C1535" t="s">
        <v>3378</v>
      </c>
      <c r="D1535" t="s">
        <v>496</v>
      </c>
      <c r="E1535">
        <v>28533739</v>
      </c>
      <c r="F1535">
        <v>19913447</v>
      </c>
      <c r="G1535">
        <v>11676072</v>
      </c>
      <c r="H1535">
        <v>46638112</v>
      </c>
      <c r="I1535">
        <v>18382187</v>
      </c>
      <c r="J1535">
        <v>98564504</v>
      </c>
      <c r="K1535">
        <v>-67507752</v>
      </c>
      <c r="L1535">
        <v>-102897399</v>
      </c>
      <c r="M1535">
        <v>-54114514</v>
      </c>
      <c r="N1535">
        <v>53919366</v>
      </c>
      <c r="O1535">
        <v>25301110</v>
      </c>
      <c r="P1535">
        <v>97</v>
      </c>
      <c r="Q1535" t="s">
        <v>3379</v>
      </c>
    </row>
    <row r="1536" spans="1:17" x14ac:dyDescent="0.3">
      <c r="A1536" t="s">
        <v>33</v>
      </c>
      <c r="B1536" t="str">
        <f>"300632"</f>
        <v>300632</v>
      </c>
      <c r="C1536" t="s">
        <v>3380</v>
      </c>
      <c r="D1536" t="s">
        <v>1299</v>
      </c>
      <c r="E1536">
        <v>28516958</v>
      </c>
      <c r="F1536">
        <v>-47557070</v>
      </c>
      <c r="G1536">
        <v>10791886</v>
      </c>
      <c r="H1536">
        <v>111053929</v>
      </c>
      <c r="I1536">
        <v>9887004</v>
      </c>
      <c r="J1536">
        <v>12837614</v>
      </c>
      <c r="K1536">
        <v>-5112992</v>
      </c>
      <c r="P1536">
        <v>201</v>
      </c>
      <c r="Q1536" t="s">
        <v>3381</v>
      </c>
    </row>
    <row r="1537" spans="1:17" x14ac:dyDescent="0.3">
      <c r="A1537" t="s">
        <v>33</v>
      </c>
      <c r="B1537" t="str">
        <f>"002351"</f>
        <v>002351</v>
      </c>
      <c r="C1537" t="s">
        <v>3382</v>
      </c>
      <c r="D1537" t="s">
        <v>1514</v>
      </c>
      <c r="E1537">
        <v>28490708</v>
      </c>
      <c r="F1537">
        <v>-74888341</v>
      </c>
      <c r="G1537">
        <v>-47630180</v>
      </c>
      <c r="H1537">
        <v>37592952</v>
      </c>
      <c r="I1537">
        <v>-34570405</v>
      </c>
      <c r="J1537">
        <v>23192252</v>
      </c>
      <c r="K1537">
        <v>-39575229</v>
      </c>
      <c r="L1537">
        <v>1800517</v>
      </c>
      <c r="M1537">
        <v>-6246739</v>
      </c>
      <c r="N1537">
        <v>245453773</v>
      </c>
      <c r="O1537">
        <v>-15244170</v>
      </c>
      <c r="P1537">
        <v>339</v>
      </c>
      <c r="Q1537" t="s">
        <v>3383</v>
      </c>
    </row>
    <row r="1538" spans="1:17" x14ac:dyDescent="0.3">
      <c r="A1538" t="s">
        <v>17</v>
      </c>
      <c r="B1538" t="str">
        <f>"603009"</f>
        <v>603009</v>
      </c>
      <c r="C1538" t="s">
        <v>3384</v>
      </c>
      <c r="D1538" t="s">
        <v>858</v>
      </c>
      <c r="E1538">
        <v>28482476</v>
      </c>
      <c r="F1538">
        <v>75231669</v>
      </c>
      <c r="G1538">
        <v>98713161</v>
      </c>
      <c r="H1538">
        <v>65336860</v>
      </c>
      <c r="I1538">
        <v>56170785</v>
      </c>
      <c r="J1538">
        <v>25780149</v>
      </c>
      <c r="K1538">
        <v>-4255733</v>
      </c>
      <c r="L1538">
        <v>93180998</v>
      </c>
      <c r="M1538">
        <v>19769690</v>
      </c>
      <c r="P1538">
        <v>84</v>
      </c>
      <c r="Q1538" t="s">
        <v>3385</v>
      </c>
    </row>
    <row r="1539" spans="1:17" x14ac:dyDescent="0.3">
      <c r="A1539" t="s">
        <v>17</v>
      </c>
      <c r="B1539" t="str">
        <f>"603309"</f>
        <v>603309</v>
      </c>
      <c r="C1539" t="s">
        <v>3386</v>
      </c>
      <c r="D1539" t="s">
        <v>903</v>
      </c>
      <c r="E1539">
        <v>28301007</v>
      </c>
      <c r="F1539">
        <v>2394893</v>
      </c>
      <c r="G1539">
        <v>16638448</v>
      </c>
      <c r="H1539">
        <v>10870453</v>
      </c>
      <c r="I1539">
        <v>-13223806</v>
      </c>
      <c r="J1539">
        <v>-3302727</v>
      </c>
      <c r="K1539">
        <v>11013387</v>
      </c>
      <c r="L1539">
        <v>14362132</v>
      </c>
      <c r="M1539">
        <v>10880284</v>
      </c>
      <c r="P1539">
        <v>147</v>
      </c>
      <c r="Q1539" t="s">
        <v>3387</v>
      </c>
    </row>
    <row r="1540" spans="1:17" x14ac:dyDescent="0.3">
      <c r="A1540" t="s">
        <v>17</v>
      </c>
      <c r="B1540" t="str">
        <f>"603527"</f>
        <v>603527</v>
      </c>
      <c r="C1540" t="s">
        <v>3388</v>
      </c>
      <c r="D1540" t="s">
        <v>153</v>
      </c>
      <c r="E1540">
        <v>28258093</v>
      </c>
      <c r="F1540">
        <v>-72299798</v>
      </c>
      <c r="G1540">
        <v>-48874848</v>
      </c>
      <c r="H1540">
        <v>-35020209</v>
      </c>
      <c r="I1540">
        <v>-45345362</v>
      </c>
      <c r="J1540">
        <v>-72182383</v>
      </c>
      <c r="P1540">
        <v>53</v>
      </c>
      <c r="Q1540" t="s">
        <v>3389</v>
      </c>
    </row>
    <row r="1541" spans="1:17" x14ac:dyDescent="0.3">
      <c r="A1541" t="s">
        <v>33</v>
      </c>
      <c r="B1541" t="str">
        <f>"200054"</f>
        <v>200054</v>
      </c>
      <c r="C1541" t="s">
        <v>3390</v>
      </c>
      <c r="E1541">
        <v>28228590.353999998</v>
      </c>
      <c r="F1541">
        <v>19919216.504500002</v>
      </c>
      <c r="G1541">
        <v>23129253.629700001</v>
      </c>
      <c r="H1541">
        <v>34455987.600299999</v>
      </c>
      <c r="I1541">
        <v>23391925.528999999</v>
      </c>
      <c r="J1541">
        <v>48148794.987000003</v>
      </c>
      <c r="K1541">
        <v>29066179.085200001</v>
      </c>
      <c r="L1541">
        <v>7476388.75</v>
      </c>
      <c r="M1541">
        <v>72582926.032399997</v>
      </c>
      <c r="N1541">
        <v>48883799.840400003</v>
      </c>
      <c r="O1541">
        <v>-2215445.7689999999</v>
      </c>
      <c r="P1541">
        <v>7</v>
      </c>
      <c r="Q1541" t="s">
        <v>3391</v>
      </c>
    </row>
    <row r="1542" spans="1:17" x14ac:dyDescent="0.3">
      <c r="A1542" t="s">
        <v>17</v>
      </c>
      <c r="B1542" t="str">
        <f>"603989"</f>
        <v>603989</v>
      </c>
      <c r="C1542" t="s">
        <v>3392</v>
      </c>
      <c r="D1542" t="s">
        <v>869</v>
      </c>
      <c r="E1542">
        <v>28225434</v>
      </c>
      <c r="F1542">
        <v>102159796</v>
      </c>
      <c r="G1542">
        <v>92988827</v>
      </c>
      <c r="H1542">
        <v>19887174</v>
      </c>
      <c r="I1542">
        <v>81793912</v>
      </c>
      <c r="J1542">
        <v>47777413</v>
      </c>
      <c r="K1542">
        <v>67987438</v>
      </c>
      <c r="L1542">
        <v>57537802</v>
      </c>
      <c r="P1542">
        <v>12177</v>
      </c>
      <c r="Q1542" t="s">
        <v>3393</v>
      </c>
    </row>
    <row r="1543" spans="1:17" x14ac:dyDescent="0.3">
      <c r="A1543" t="s">
        <v>33</v>
      </c>
      <c r="B1543" t="str">
        <f>"300173"</f>
        <v>300173</v>
      </c>
      <c r="C1543" t="s">
        <v>3394</v>
      </c>
      <c r="D1543" t="s">
        <v>2148</v>
      </c>
      <c r="E1543">
        <v>28174784</v>
      </c>
      <c r="F1543">
        <v>-132176440</v>
      </c>
      <c r="G1543">
        <v>-7778990</v>
      </c>
      <c r="H1543">
        <v>-22139543</v>
      </c>
      <c r="I1543">
        <v>-46189272</v>
      </c>
      <c r="J1543">
        <v>-38382647</v>
      </c>
      <c r="K1543">
        <v>-52238579</v>
      </c>
      <c r="L1543">
        <v>803441</v>
      </c>
      <c r="M1543">
        <v>-9607782</v>
      </c>
      <c r="N1543">
        <v>-18822233</v>
      </c>
      <c r="O1543">
        <v>-26320790</v>
      </c>
      <c r="P1543">
        <v>61</v>
      </c>
      <c r="Q1543" t="s">
        <v>3395</v>
      </c>
    </row>
    <row r="1544" spans="1:17" x14ac:dyDescent="0.3">
      <c r="A1544" t="s">
        <v>33</v>
      </c>
      <c r="B1544" t="str">
        <f>"300623"</f>
        <v>300623</v>
      </c>
      <c r="C1544" t="s">
        <v>3396</v>
      </c>
      <c r="D1544" t="s">
        <v>1274</v>
      </c>
      <c r="E1544">
        <v>28120209</v>
      </c>
      <c r="F1544">
        <v>71682181</v>
      </c>
      <c r="G1544">
        <v>21260070</v>
      </c>
      <c r="H1544">
        <v>29337885</v>
      </c>
      <c r="I1544">
        <v>19719755</v>
      </c>
      <c r="J1544">
        <v>18374927</v>
      </c>
      <c r="K1544">
        <v>26282931</v>
      </c>
      <c r="P1544">
        <v>664</v>
      </c>
      <c r="Q1544" t="s">
        <v>3397</v>
      </c>
    </row>
    <row r="1545" spans="1:17" x14ac:dyDescent="0.3">
      <c r="A1545" t="s">
        <v>33</v>
      </c>
      <c r="B1545" t="str">
        <f>"002731"</f>
        <v>002731</v>
      </c>
      <c r="C1545" t="s">
        <v>3398</v>
      </c>
      <c r="D1545" t="s">
        <v>161</v>
      </c>
      <c r="E1545">
        <v>28073323</v>
      </c>
      <c r="F1545">
        <v>179569975</v>
      </c>
      <c r="G1545">
        <v>104347021</v>
      </c>
      <c r="H1545">
        <v>-60114493</v>
      </c>
      <c r="I1545">
        <v>79926779</v>
      </c>
      <c r="J1545">
        <v>61389044</v>
      </c>
      <c r="K1545">
        <v>74491394</v>
      </c>
      <c r="L1545">
        <v>37075440</v>
      </c>
      <c r="M1545">
        <v>56896040</v>
      </c>
      <c r="P1545">
        <v>81</v>
      </c>
      <c r="Q1545" t="s">
        <v>3399</v>
      </c>
    </row>
    <row r="1546" spans="1:17" x14ac:dyDescent="0.3">
      <c r="A1546" t="s">
        <v>33</v>
      </c>
      <c r="B1546" t="str">
        <f>"300723"</f>
        <v>300723</v>
      </c>
      <c r="C1546" t="s">
        <v>3400</v>
      </c>
      <c r="D1546" t="s">
        <v>590</v>
      </c>
      <c r="E1546">
        <v>28065729</v>
      </c>
      <c r="F1546">
        <v>11466282</v>
      </c>
      <c r="G1546">
        <v>-54795771</v>
      </c>
      <c r="H1546">
        <v>81636550</v>
      </c>
      <c r="I1546">
        <v>23721280</v>
      </c>
      <c r="J1546">
        <v>-3541188</v>
      </c>
      <c r="P1546">
        <v>222</v>
      </c>
      <c r="Q1546" t="s">
        <v>3401</v>
      </c>
    </row>
    <row r="1547" spans="1:17" x14ac:dyDescent="0.3">
      <c r="A1547" t="s">
        <v>33</v>
      </c>
      <c r="B1547" t="str">
        <f>"002857"</f>
        <v>002857</v>
      </c>
      <c r="C1547" t="s">
        <v>3402</v>
      </c>
      <c r="D1547" t="s">
        <v>2128</v>
      </c>
      <c r="E1547">
        <v>28042769</v>
      </c>
      <c r="F1547">
        <v>-5964006</v>
      </c>
      <c r="G1547">
        <v>27990325</v>
      </c>
      <c r="H1547">
        <v>-19697828</v>
      </c>
      <c r="I1547">
        <v>3898705</v>
      </c>
      <c r="J1547">
        <v>-28322488</v>
      </c>
      <c r="K1547">
        <v>-18267612</v>
      </c>
      <c r="P1547">
        <v>45</v>
      </c>
      <c r="Q1547" t="s">
        <v>3403</v>
      </c>
    </row>
    <row r="1548" spans="1:17" x14ac:dyDescent="0.3">
      <c r="A1548" t="s">
        <v>33</v>
      </c>
      <c r="B1548" t="str">
        <f>"300185"</f>
        <v>300185</v>
      </c>
      <c r="C1548" t="s">
        <v>3404</v>
      </c>
      <c r="D1548" t="s">
        <v>1437</v>
      </c>
      <c r="E1548">
        <v>27967502</v>
      </c>
      <c r="F1548">
        <v>160365690</v>
      </c>
      <c r="G1548">
        <v>45749297</v>
      </c>
      <c r="H1548">
        <v>42443840</v>
      </c>
      <c r="I1548">
        <v>20254673</v>
      </c>
      <c r="J1548">
        <v>44381973</v>
      </c>
      <c r="K1548">
        <v>79695631</v>
      </c>
      <c r="L1548">
        <v>-48523461</v>
      </c>
      <c r="M1548">
        <v>-42521613</v>
      </c>
      <c r="N1548">
        <v>-135436798</v>
      </c>
      <c r="O1548">
        <v>-14386145</v>
      </c>
      <c r="P1548">
        <v>201</v>
      </c>
      <c r="Q1548" t="s">
        <v>3405</v>
      </c>
    </row>
    <row r="1549" spans="1:17" x14ac:dyDescent="0.3">
      <c r="A1549" t="s">
        <v>33</v>
      </c>
      <c r="B1549" t="str">
        <f>"300685"</f>
        <v>300685</v>
      </c>
      <c r="C1549" t="s">
        <v>3406</v>
      </c>
      <c r="D1549" t="s">
        <v>221</v>
      </c>
      <c r="E1549">
        <v>27961143</v>
      </c>
      <c r="F1549">
        <v>62324683</v>
      </c>
      <c r="G1549">
        <v>47850460</v>
      </c>
      <c r="H1549">
        <v>29687418</v>
      </c>
      <c r="I1549">
        <v>19622746</v>
      </c>
      <c r="J1549">
        <v>15795209</v>
      </c>
      <c r="P1549">
        <v>974</v>
      </c>
      <c r="Q1549" t="s">
        <v>3407</v>
      </c>
    </row>
    <row r="1550" spans="1:17" x14ac:dyDescent="0.3">
      <c r="A1550" t="s">
        <v>33</v>
      </c>
      <c r="B1550" t="str">
        <f>"002327"</f>
        <v>002327</v>
      </c>
      <c r="C1550" t="s">
        <v>3408</v>
      </c>
      <c r="D1550" t="s">
        <v>2758</v>
      </c>
      <c r="E1550">
        <v>27957103</v>
      </c>
      <c r="F1550">
        <v>3284506</v>
      </c>
      <c r="G1550">
        <v>-186819056</v>
      </c>
      <c r="H1550">
        <v>313269877</v>
      </c>
      <c r="I1550">
        <v>86084029</v>
      </c>
      <c r="J1550">
        <v>-47008163</v>
      </c>
      <c r="K1550">
        <v>42734953</v>
      </c>
      <c r="L1550">
        <v>-8499978</v>
      </c>
      <c r="M1550">
        <v>82976613</v>
      </c>
      <c r="N1550">
        <v>1166725</v>
      </c>
      <c r="O1550">
        <v>17890092</v>
      </c>
      <c r="P1550">
        <v>1306</v>
      </c>
      <c r="Q1550" t="s">
        <v>3409</v>
      </c>
    </row>
    <row r="1551" spans="1:17" x14ac:dyDescent="0.3">
      <c r="A1551" t="s">
        <v>17</v>
      </c>
      <c r="B1551" t="str">
        <f>"688668"</f>
        <v>688668</v>
      </c>
      <c r="C1551" t="s">
        <v>3410</v>
      </c>
      <c r="D1551" t="s">
        <v>461</v>
      </c>
      <c r="E1551">
        <v>27956799</v>
      </c>
      <c r="F1551">
        <v>-4572289</v>
      </c>
      <c r="G1551">
        <v>-5104656</v>
      </c>
      <c r="P1551">
        <v>44</v>
      </c>
      <c r="Q1551" t="s">
        <v>3411</v>
      </c>
    </row>
    <row r="1552" spans="1:17" x14ac:dyDescent="0.3">
      <c r="A1552" t="s">
        <v>33</v>
      </c>
      <c r="B1552" t="str">
        <f>"002953"</f>
        <v>002953</v>
      </c>
      <c r="C1552" t="s">
        <v>3412</v>
      </c>
      <c r="D1552" t="s">
        <v>1282</v>
      </c>
      <c r="E1552">
        <v>27954493</v>
      </c>
      <c r="F1552">
        <v>-73034787</v>
      </c>
      <c r="G1552">
        <v>-6377271</v>
      </c>
      <c r="H1552">
        <v>9840953</v>
      </c>
      <c r="I1552">
        <v>-24674409</v>
      </c>
      <c r="P1552">
        <v>99</v>
      </c>
      <c r="Q1552" t="s">
        <v>3413</v>
      </c>
    </row>
    <row r="1553" spans="1:17" x14ac:dyDescent="0.3">
      <c r="A1553" t="s">
        <v>17</v>
      </c>
      <c r="B1553" t="str">
        <f>"603721"</f>
        <v>603721</v>
      </c>
      <c r="C1553" t="s">
        <v>3414</v>
      </c>
      <c r="D1553" t="s">
        <v>314</v>
      </c>
      <c r="E1553">
        <v>27935733</v>
      </c>
      <c r="F1553">
        <v>-5537266</v>
      </c>
      <c r="G1553">
        <v>-25230402</v>
      </c>
      <c r="H1553">
        <v>-72461516</v>
      </c>
      <c r="I1553">
        <v>-57697053</v>
      </c>
      <c r="J1553">
        <v>-23670144</v>
      </c>
      <c r="P1553">
        <v>89</v>
      </c>
      <c r="Q1553" t="s">
        <v>3415</v>
      </c>
    </row>
    <row r="1554" spans="1:17" x14ac:dyDescent="0.3">
      <c r="A1554" t="s">
        <v>17</v>
      </c>
      <c r="B1554" t="str">
        <f>"688678"</f>
        <v>688678</v>
      </c>
      <c r="C1554" t="s">
        <v>3416</v>
      </c>
      <c r="D1554" t="s">
        <v>226</v>
      </c>
      <c r="E1554">
        <v>27820818</v>
      </c>
      <c r="F1554">
        <v>26154979</v>
      </c>
      <c r="G1554">
        <v>35120044</v>
      </c>
      <c r="H1554">
        <v>17510900</v>
      </c>
      <c r="P1554">
        <v>29</v>
      </c>
      <c r="Q1554" t="s">
        <v>3417</v>
      </c>
    </row>
    <row r="1555" spans="1:17" x14ac:dyDescent="0.3">
      <c r="A1555" t="s">
        <v>33</v>
      </c>
      <c r="B1555" t="str">
        <f>"300580"</f>
        <v>300580</v>
      </c>
      <c r="C1555" t="s">
        <v>3418</v>
      </c>
      <c r="D1555" t="s">
        <v>858</v>
      </c>
      <c r="E1555">
        <v>27767581</v>
      </c>
      <c r="F1555">
        <v>10481946</v>
      </c>
      <c r="G1555">
        <v>29266256</v>
      </c>
      <c r="H1555">
        <v>58308154</v>
      </c>
      <c r="I1555">
        <v>-13613241</v>
      </c>
      <c r="J1555">
        <v>32333730</v>
      </c>
      <c r="K1555">
        <v>13459304</v>
      </c>
      <c r="P1555">
        <v>148</v>
      </c>
      <c r="Q1555" t="s">
        <v>3419</v>
      </c>
    </row>
    <row r="1556" spans="1:17" x14ac:dyDescent="0.3">
      <c r="A1556" t="s">
        <v>33</v>
      </c>
      <c r="B1556" t="str">
        <f>"002479"</f>
        <v>002479</v>
      </c>
      <c r="C1556" t="s">
        <v>3420</v>
      </c>
      <c r="D1556" t="s">
        <v>1094</v>
      </c>
      <c r="E1556">
        <v>27761162</v>
      </c>
      <c r="F1556">
        <v>197490917</v>
      </c>
      <c r="G1556">
        <v>159529913</v>
      </c>
      <c r="H1556">
        <v>87685915</v>
      </c>
      <c r="I1556">
        <v>19977670</v>
      </c>
      <c r="J1556">
        <v>-6535904</v>
      </c>
      <c r="K1556">
        <v>109481239</v>
      </c>
      <c r="L1556">
        <v>-25964609</v>
      </c>
      <c r="M1556">
        <v>60665827</v>
      </c>
      <c r="N1556">
        <v>75064880</v>
      </c>
      <c r="O1556">
        <v>112010802</v>
      </c>
      <c r="P1556">
        <v>158</v>
      </c>
      <c r="Q1556" t="s">
        <v>3421</v>
      </c>
    </row>
    <row r="1557" spans="1:17" x14ac:dyDescent="0.3">
      <c r="A1557" t="s">
        <v>33</v>
      </c>
      <c r="B1557" t="str">
        <f>"000599"</f>
        <v>000599</v>
      </c>
      <c r="C1557" t="s">
        <v>3422</v>
      </c>
      <c r="D1557" t="s">
        <v>1618</v>
      </c>
      <c r="E1557">
        <v>27687296</v>
      </c>
      <c r="F1557">
        <v>-39539721</v>
      </c>
      <c r="G1557">
        <v>-184549992</v>
      </c>
      <c r="H1557">
        <v>-34573752</v>
      </c>
      <c r="I1557">
        <v>-371130423</v>
      </c>
      <c r="J1557">
        <v>-216931905</v>
      </c>
      <c r="K1557">
        <v>85723315</v>
      </c>
      <c r="L1557">
        <v>-78640779</v>
      </c>
      <c r="M1557">
        <v>178236886</v>
      </c>
      <c r="N1557">
        <v>-18785465</v>
      </c>
      <c r="O1557">
        <v>-98183780</v>
      </c>
      <c r="P1557">
        <v>119</v>
      </c>
      <c r="Q1557" t="s">
        <v>3423</v>
      </c>
    </row>
    <row r="1558" spans="1:17" x14ac:dyDescent="0.3">
      <c r="A1558" t="s">
        <v>17</v>
      </c>
      <c r="B1558" t="str">
        <f>"600996"</f>
        <v>600996</v>
      </c>
      <c r="C1558" t="s">
        <v>3424</v>
      </c>
      <c r="D1558" t="s">
        <v>1074</v>
      </c>
      <c r="E1558">
        <v>27674097</v>
      </c>
      <c r="F1558">
        <v>-75008724</v>
      </c>
      <c r="G1558">
        <v>54789504</v>
      </c>
      <c r="H1558">
        <v>-89088413</v>
      </c>
      <c r="I1558">
        <v>-17829998</v>
      </c>
      <c r="J1558">
        <v>8704596</v>
      </c>
      <c r="K1558">
        <v>131376002</v>
      </c>
      <c r="P1558">
        <v>244</v>
      </c>
      <c r="Q1558" t="s">
        <v>3425</v>
      </c>
    </row>
    <row r="1559" spans="1:17" x14ac:dyDescent="0.3">
      <c r="A1559" t="s">
        <v>33</v>
      </c>
      <c r="B1559" t="str">
        <f>"002976"</f>
        <v>002976</v>
      </c>
      <c r="C1559" t="s">
        <v>3426</v>
      </c>
      <c r="D1559" t="s">
        <v>226</v>
      </c>
      <c r="E1559">
        <v>27598481</v>
      </c>
      <c r="F1559">
        <v>22207187</v>
      </c>
      <c r="G1559">
        <v>41653514</v>
      </c>
      <c r="H1559">
        <v>23956734</v>
      </c>
      <c r="P1559">
        <v>104</v>
      </c>
      <c r="Q1559" t="s">
        <v>3427</v>
      </c>
    </row>
    <row r="1560" spans="1:17" x14ac:dyDescent="0.3">
      <c r="A1560" t="s">
        <v>17</v>
      </c>
      <c r="B1560" t="str">
        <f>"688125"</f>
        <v>688125</v>
      </c>
      <c r="C1560" t="s">
        <v>3428</v>
      </c>
      <c r="E1560">
        <v>27576233</v>
      </c>
      <c r="P1560">
        <v>2</v>
      </c>
      <c r="Q1560" t="s">
        <v>3429</v>
      </c>
    </row>
    <row r="1561" spans="1:17" x14ac:dyDescent="0.3">
      <c r="A1561" t="s">
        <v>17</v>
      </c>
      <c r="B1561" t="str">
        <f>"688386"</f>
        <v>688386</v>
      </c>
      <c r="C1561" t="s">
        <v>3430</v>
      </c>
      <c r="D1561" t="s">
        <v>1734</v>
      </c>
      <c r="E1561">
        <v>27543051</v>
      </c>
      <c r="F1561">
        <v>17963591</v>
      </c>
      <c r="G1561">
        <v>13371814</v>
      </c>
      <c r="H1561">
        <v>7494887</v>
      </c>
      <c r="P1561">
        <v>43</v>
      </c>
      <c r="Q1561" t="s">
        <v>3431</v>
      </c>
    </row>
    <row r="1562" spans="1:17" x14ac:dyDescent="0.3">
      <c r="A1562" t="s">
        <v>17</v>
      </c>
      <c r="B1562" t="str">
        <f>"688689"</f>
        <v>688689</v>
      </c>
      <c r="C1562" t="s">
        <v>3432</v>
      </c>
      <c r="D1562" t="s">
        <v>1274</v>
      </c>
      <c r="E1562">
        <v>27410702</v>
      </c>
      <c r="F1562">
        <v>15904050</v>
      </c>
      <c r="G1562">
        <v>9170700</v>
      </c>
      <c r="H1562">
        <v>17945000</v>
      </c>
      <c r="P1562">
        <v>46</v>
      </c>
      <c r="Q1562" t="s">
        <v>3433</v>
      </c>
    </row>
    <row r="1563" spans="1:17" x14ac:dyDescent="0.3">
      <c r="A1563" t="s">
        <v>33</v>
      </c>
      <c r="B1563" t="str">
        <f>"300986"</f>
        <v>300986</v>
      </c>
      <c r="C1563" t="s">
        <v>3434</v>
      </c>
      <c r="D1563" t="s">
        <v>140</v>
      </c>
      <c r="E1563">
        <v>27390943</v>
      </c>
      <c r="F1563">
        <v>70329968</v>
      </c>
      <c r="G1563">
        <v>-19701039</v>
      </c>
      <c r="P1563">
        <v>34</v>
      </c>
      <c r="Q1563" t="s">
        <v>3435</v>
      </c>
    </row>
    <row r="1564" spans="1:17" x14ac:dyDescent="0.3">
      <c r="A1564" t="s">
        <v>17</v>
      </c>
      <c r="B1564" t="str">
        <f>"600654"</f>
        <v>600654</v>
      </c>
      <c r="C1564" t="s">
        <v>3436</v>
      </c>
      <c r="D1564" t="s">
        <v>807</v>
      </c>
      <c r="E1564">
        <v>27382801</v>
      </c>
      <c r="F1564">
        <v>-58644653</v>
      </c>
      <c r="G1564">
        <v>-225976663</v>
      </c>
      <c r="H1564">
        <v>64412672</v>
      </c>
      <c r="I1564">
        <v>-245314</v>
      </c>
      <c r="J1564">
        <v>7860154</v>
      </c>
      <c r="K1564">
        <v>-311488614</v>
      </c>
      <c r="L1564">
        <v>1188130857</v>
      </c>
      <c r="M1564">
        <v>-57248911</v>
      </c>
      <c r="N1564">
        <v>-10940639</v>
      </c>
      <c r="O1564">
        <v>-31061888</v>
      </c>
      <c r="P1564">
        <v>76</v>
      </c>
      <c r="Q1564" t="s">
        <v>3437</v>
      </c>
    </row>
    <row r="1565" spans="1:17" x14ac:dyDescent="0.3">
      <c r="A1565" t="s">
        <v>33</v>
      </c>
      <c r="B1565" t="str">
        <f>"002973"</f>
        <v>002973</v>
      </c>
      <c r="C1565" t="s">
        <v>3438</v>
      </c>
      <c r="D1565" t="s">
        <v>897</v>
      </c>
      <c r="E1565">
        <v>27360450</v>
      </c>
      <c r="F1565">
        <v>-39377082</v>
      </c>
      <c r="G1565">
        <v>32751317</v>
      </c>
      <c r="H1565">
        <v>-74713683</v>
      </c>
      <c r="P1565">
        <v>212</v>
      </c>
      <c r="Q1565" t="s">
        <v>3439</v>
      </c>
    </row>
    <row r="1566" spans="1:17" x14ac:dyDescent="0.3">
      <c r="A1566" t="s">
        <v>33</v>
      </c>
      <c r="B1566" t="str">
        <f>"001228"</f>
        <v>001228</v>
      </c>
      <c r="C1566" t="s">
        <v>3440</v>
      </c>
      <c r="E1566">
        <v>27279947</v>
      </c>
      <c r="P1566">
        <v>2</v>
      </c>
      <c r="Q1566" t="s">
        <v>3441</v>
      </c>
    </row>
    <row r="1567" spans="1:17" x14ac:dyDescent="0.3">
      <c r="A1567" t="s">
        <v>17</v>
      </c>
      <c r="B1567" t="str">
        <f>"600561"</f>
        <v>600561</v>
      </c>
      <c r="C1567" t="s">
        <v>3442</v>
      </c>
      <c r="D1567" t="s">
        <v>1216</v>
      </c>
      <c r="E1567">
        <v>27268948</v>
      </c>
      <c r="F1567">
        <v>-17045876</v>
      </c>
      <c r="G1567">
        <v>-63305290</v>
      </c>
      <c r="H1567">
        <v>80371911</v>
      </c>
      <c r="I1567">
        <v>167614402</v>
      </c>
      <c r="J1567">
        <v>159857863</v>
      </c>
      <c r="K1567">
        <v>163987426</v>
      </c>
      <c r="L1567">
        <v>296797284</v>
      </c>
      <c r="M1567">
        <v>130759893</v>
      </c>
      <c r="N1567">
        <v>144818324</v>
      </c>
      <c r="O1567">
        <v>97484530</v>
      </c>
      <c r="P1567">
        <v>59</v>
      </c>
      <c r="Q1567" t="s">
        <v>3443</v>
      </c>
    </row>
    <row r="1568" spans="1:17" x14ac:dyDescent="0.3">
      <c r="A1568" t="s">
        <v>17</v>
      </c>
      <c r="B1568" t="str">
        <f>"603669"</f>
        <v>603669</v>
      </c>
      <c r="C1568" t="s">
        <v>3444</v>
      </c>
      <c r="D1568" t="s">
        <v>590</v>
      </c>
      <c r="E1568">
        <v>27180375</v>
      </c>
      <c r="F1568">
        <v>34742918</v>
      </c>
      <c r="G1568">
        <v>-4790580</v>
      </c>
      <c r="H1568">
        <v>-16403256</v>
      </c>
      <c r="I1568">
        <v>-14038866</v>
      </c>
      <c r="J1568">
        <v>4926273</v>
      </c>
      <c r="K1568">
        <v>38162389</v>
      </c>
      <c r="L1568">
        <v>-1410700</v>
      </c>
      <c r="M1568">
        <v>13598300</v>
      </c>
      <c r="P1568">
        <v>194</v>
      </c>
      <c r="Q1568" t="s">
        <v>3445</v>
      </c>
    </row>
    <row r="1569" spans="1:17" x14ac:dyDescent="0.3">
      <c r="A1569" t="s">
        <v>17</v>
      </c>
      <c r="B1569" t="str">
        <f>"605122"</f>
        <v>605122</v>
      </c>
      <c r="C1569" t="s">
        <v>3446</v>
      </c>
      <c r="D1569" t="s">
        <v>3447</v>
      </c>
      <c r="E1569">
        <v>27026306</v>
      </c>
      <c r="F1569">
        <v>4692189</v>
      </c>
      <c r="G1569">
        <v>-17751856</v>
      </c>
      <c r="P1569">
        <v>36</v>
      </c>
      <c r="Q1569" t="s">
        <v>3448</v>
      </c>
    </row>
    <row r="1570" spans="1:17" x14ac:dyDescent="0.3">
      <c r="A1570" t="s">
        <v>33</v>
      </c>
      <c r="B1570" t="str">
        <f>"001205"</f>
        <v>001205</v>
      </c>
      <c r="C1570" t="s">
        <v>3449</v>
      </c>
      <c r="D1570" t="s">
        <v>55</v>
      </c>
      <c r="E1570">
        <v>26951402</v>
      </c>
      <c r="F1570">
        <v>44632317</v>
      </c>
      <c r="G1570">
        <v>37947725</v>
      </c>
      <c r="P1570">
        <v>44</v>
      </c>
      <c r="Q1570" t="s">
        <v>3450</v>
      </c>
    </row>
    <row r="1571" spans="1:17" x14ac:dyDescent="0.3">
      <c r="A1571" t="s">
        <v>33</v>
      </c>
      <c r="B1571" t="str">
        <f>"300640"</f>
        <v>300640</v>
      </c>
      <c r="C1571" t="s">
        <v>3451</v>
      </c>
      <c r="D1571" t="s">
        <v>927</v>
      </c>
      <c r="E1571">
        <v>26919487</v>
      </c>
      <c r="F1571">
        <v>-8291219</v>
      </c>
      <c r="G1571">
        <v>32561178</v>
      </c>
      <c r="H1571">
        <v>13817225</v>
      </c>
      <c r="I1571">
        <v>16105099</v>
      </c>
      <c r="J1571">
        <v>-6342113</v>
      </c>
      <c r="K1571">
        <v>-6068732</v>
      </c>
      <c r="P1571">
        <v>79</v>
      </c>
      <c r="Q1571" t="s">
        <v>3452</v>
      </c>
    </row>
    <row r="1572" spans="1:17" x14ac:dyDescent="0.3">
      <c r="A1572" t="s">
        <v>33</v>
      </c>
      <c r="B1572" t="str">
        <f>"001215"</f>
        <v>001215</v>
      </c>
      <c r="C1572" t="s">
        <v>3453</v>
      </c>
      <c r="D1572" t="s">
        <v>886</v>
      </c>
      <c r="E1572">
        <v>26842177</v>
      </c>
      <c r="F1572">
        <v>-41634976</v>
      </c>
      <c r="P1572">
        <v>59</v>
      </c>
      <c r="Q1572" t="s">
        <v>3454</v>
      </c>
    </row>
    <row r="1573" spans="1:17" x14ac:dyDescent="0.3">
      <c r="A1573" t="s">
        <v>33</v>
      </c>
      <c r="B1573" t="str">
        <f>"002644"</f>
        <v>002644</v>
      </c>
      <c r="C1573" t="s">
        <v>3455</v>
      </c>
      <c r="D1573" t="s">
        <v>533</v>
      </c>
      <c r="E1573">
        <v>26757794</v>
      </c>
      <c r="F1573">
        <v>29491156</v>
      </c>
      <c r="G1573">
        <v>13886124</v>
      </c>
      <c r="H1573">
        <v>-6319048</v>
      </c>
      <c r="I1573">
        <v>-11117508</v>
      </c>
      <c r="J1573">
        <v>14038975</v>
      </c>
      <c r="K1573">
        <v>12414998</v>
      </c>
      <c r="L1573">
        <v>7619287</v>
      </c>
      <c r="M1573">
        <v>7294719</v>
      </c>
      <c r="N1573">
        <v>-19774620</v>
      </c>
      <c r="O1573">
        <v>-22256099</v>
      </c>
      <c r="P1573">
        <v>163</v>
      </c>
      <c r="Q1573" t="s">
        <v>3456</v>
      </c>
    </row>
    <row r="1574" spans="1:17" x14ac:dyDescent="0.3">
      <c r="A1574" t="s">
        <v>33</v>
      </c>
      <c r="B1574" t="str">
        <f>"002733"</f>
        <v>002733</v>
      </c>
      <c r="C1574" t="s">
        <v>3457</v>
      </c>
      <c r="D1574" t="s">
        <v>1536</v>
      </c>
      <c r="E1574">
        <v>26657714</v>
      </c>
      <c r="F1574">
        <v>-2892998</v>
      </c>
      <c r="G1574">
        <v>2110721</v>
      </c>
      <c r="H1574">
        <v>217458752</v>
      </c>
      <c r="I1574">
        <v>40874306</v>
      </c>
      <c r="J1574">
        <v>6442428</v>
      </c>
      <c r="K1574">
        <v>-26279228</v>
      </c>
      <c r="L1574">
        <v>-11639504</v>
      </c>
      <c r="M1574">
        <v>-48241668</v>
      </c>
      <c r="P1574">
        <v>236</v>
      </c>
      <c r="Q1574" t="s">
        <v>3458</v>
      </c>
    </row>
    <row r="1575" spans="1:17" x14ac:dyDescent="0.3">
      <c r="A1575" t="s">
        <v>33</v>
      </c>
      <c r="B1575" t="str">
        <f>"002728"</f>
        <v>002728</v>
      </c>
      <c r="C1575" t="s">
        <v>3459</v>
      </c>
      <c r="D1575" t="s">
        <v>533</v>
      </c>
      <c r="E1575">
        <v>26640062</v>
      </c>
      <c r="F1575">
        <v>76388690</v>
      </c>
      <c r="G1575">
        <v>32622943</v>
      </c>
      <c r="H1575">
        <v>32893661</v>
      </c>
      <c r="I1575">
        <v>11659190</v>
      </c>
      <c r="J1575">
        <v>12246715</v>
      </c>
      <c r="K1575">
        <v>-40246801</v>
      </c>
      <c r="L1575">
        <v>21434780</v>
      </c>
      <c r="M1575">
        <v>19355500</v>
      </c>
      <c r="N1575">
        <v>4574700</v>
      </c>
      <c r="P1575">
        <v>286</v>
      </c>
      <c r="Q1575" t="s">
        <v>3460</v>
      </c>
    </row>
    <row r="1576" spans="1:17" x14ac:dyDescent="0.3">
      <c r="A1576" t="s">
        <v>33</v>
      </c>
      <c r="B1576" t="str">
        <f>"300414"</f>
        <v>300414</v>
      </c>
      <c r="C1576" t="s">
        <v>3461</v>
      </c>
      <c r="D1576" t="s">
        <v>2475</v>
      </c>
      <c r="E1576">
        <v>26632386</v>
      </c>
      <c r="F1576">
        <v>-7457020</v>
      </c>
      <c r="G1576">
        <v>5547224</v>
      </c>
      <c r="H1576">
        <v>6174603</v>
      </c>
      <c r="I1576">
        <v>14704630</v>
      </c>
      <c r="J1576">
        <v>-4517031</v>
      </c>
      <c r="K1576">
        <v>12844813</v>
      </c>
      <c r="L1576">
        <v>9758829</v>
      </c>
      <c r="M1576">
        <v>7966883</v>
      </c>
      <c r="P1576">
        <v>219</v>
      </c>
      <c r="Q1576" t="s">
        <v>3462</v>
      </c>
    </row>
    <row r="1577" spans="1:17" x14ac:dyDescent="0.3">
      <c r="A1577" t="s">
        <v>17</v>
      </c>
      <c r="B1577" t="str">
        <f>"603676"</f>
        <v>603676</v>
      </c>
      <c r="C1577" t="s">
        <v>3463</v>
      </c>
      <c r="D1577" t="s">
        <v>590</v>
      </c>
      <c r="E1577">
        <v>26438424</v>
      </c>
      <c r="F1577">
        <v>-4419732</v>
      </c>
      <c r="G1577">
        <v>-7833592</v>
      </c>
      <c r="H1577">
        <v>52604049</v>
      </c>
      <c r="I1577">
        <v>5511794</v>
      </c>
      <c r="J1577">
        <v>-2162200</v>
      </c>
      <c r="K1577">
        <v>-2666000</v>
      </c>
      <c r="P1577">
        <v>108</v>
      </c>
      <c r="Q1577" t="s">
        <v>3464</v>
      </c>
    </row>
    <row r="1578" spans="1:17" x14ac:dyDescent="0.3">
      <c r="A1578" t="s">
        <v>33</v>
      </c>
      <c r="B1578" t="str">
        <f>"002365"</f>
        <v>002365</v>
      </c>
      <c r="C1578" t="s">
        <v>3465</v>
      </c>
      <c r="D1578" t="s">
        <v>941</v>
      </c>
      <c r="E1578">
        <v>26157814</v>
      </c>
      <c r="F1578">
        <v>-38850363</v>
      </c>
      <c r="G1578">
        <v>-22630490</v>
      </c>
      <c r="H1578">
        <v>-33583741</v>
      </c>
      <c r="I1578">
        <v>52715645</v>
      </c>
      <c r="J1578">
        <v>-27495887</v>
      </c>
      <c r="K1578">
        <v>-1039626</v>
      </c>
      <c r="L1578">
        <v>9815990</v>
      </c>
      <c r="M1578">
        <v>-19002208</v>
      </c>
      <c r="N1578">
        <v>8472156</v>
      </c>
      <c r="O1578">
        <v>31944432</v>
      </c>
      <c r="P1578">
        <v>195</v>
      </c>
      <c r="Q1578" t="s">
        <v>3466</v>
      </c>
    </row>
    <row r="1579" spans="1:17" x14ac:dyDescent="0.3">
      <c r="A1579" t="s">
        <v>33</v>
      </c>
      <c r="B1579" t="str">
        <f>"300275"</f>
        <v>300275</v>
      </c>
      <c r="C1579" t="s">
        <v>3467</v>
      </c>
      <c r="D1579" t="s">
        <v>1132</v>
      </c>
      <c r="E1579">
        <v>26146506</v>
      </c>
      <c r="F1579">
        <v>3996963</v>
      </c>
      <c r="G1579">
        <v>4315299</v>
      </c>
      <c r="H1579">
        <v>17876831</v>
      </c>
      <c r="I1579">
        <v>2133871</v>
      </c>
      <c r="J1579">
        <v>9025773</v>
      </c>
      <c r="K1579">
        <v>-8695348</v>
      </c>
      <c r="L1579">
        <v>-12824282</v>
      </c>
      <c r="M1579">
        <v>-3236243</v>
      </c>
      <c r="N1579">
        <v>-10448104</v>
      </c>
      <c r="O1579">
        <v>-494551</v>
      </c>
      <c r="P1579">
        <v>89</v>
      </c>
      <c r="Q1579" t="s">
        <v>3468</v>
      </c>
    </row>
    <row r="1580" spans="1:17" x14ac:dyDescent="0.3">
      <c r="A1580" t="s">
        <v>33</v>
      </c>
      <c r="B1580" t="str">
        <f>"301049"</f>
        <v>301049</v>
      </c>
      <c r="C1580" t="s">
        <v>3469</v>
      </c>
      <c r="D1580" t="s">
        <v>897</v>
      </c>
      <c r="E1580">
        <v>26096280</v>
      </c>
      <c r="P1580">
        <v>26</v>
      </c>
      <c r="Q1580" t="s">
        <v>3470</v>
      </c>
    </row>
    <row r="1581" spans="1:17" x14ac:dyDescent="0.3">
      <c r="A1581" t="s">
        <v>33</v>
      </c>
      <c r="B1581" t="str">
        <f>"300768"</f>
        <v>300768</v>
      </c>
      <c r="C1581" t="s">
        <v>3471</v>
      </c>
      <c r="D1581" t="s">
        <v>1713</v>
      </c>
      <c r="E1581">
        <v>26022308</v>
      </c>
      <c r="F1581">
        <v>-18194644</v>
      </c>
      <c r="G1581">
        <v>-1070898</v>
      </c>
      <c r="H1581">
        <v>70763820</v>
      </c>
      <c r="I1581">
        <v>-21696523</v>
      </c>
      <c r="P1581">
        <v>240</v>
      </c>
      <c r="Q1581" t="s">
        <v>3472</v>
      </c>
    </row>
    <row r="1582" spans="1:17" x14ac:dyDescent="0.3">
      <c r="A1582" t="s">
        <v>33</v>
      </c>
      <c r="B1582" t="str">
        <f>"002136"</f>
        <v>002136</v>
      </c>
      <c r="C1582" t="s">
        <v>3473</v>
      </c>
      <c r="D1582" t="s">
        <v>817</v>
      </c>
      <c r="E1582">
        <v>25971476</v>
      </c>
      <c r="F1582">
        <v>-25990066</v>
      </c>
      <c r="G1582">
        <v>-30011743</v>
      </c>
      <c r="H1582">
        <v>-1010625</v>
      </c>
      <c r="I1582">
        <v>35273191</v>
      </c>
      <c r="J1582">
        <v>26514755</v>
      </c>
      <c r="K1582">
        <v>-11267112</v>
      </c>
      <c r="L1582">
        <v>4723068</v>
      </c>
      <c r="M1582">
        <v>-23223146</v>
      </c>
      <c r="N1582">
        <v>-15738000</v>
      </c>
      <c r="O1582">
        <v>-5429084</v>
      </c>
      <c r="P1582">
        <v>131</v>
      </c>
      <c r="Q1582" t="s">
        <v>3474</v>
      </c>
    </row>
    <row r="1583" spans="1:17" x14ac:dyDescent="0.3">
      <c r="A1583" t="s">
        <v>17</v>
      </c>
      <c r="B1583" t="str">
        <f>"600556"</f>
        <v>600556</v>
      </c>
      <c r="C1583" t="s">
        <v>3475</v>
      </c>
      <c r="D1583" t="s">
        <v>1125</v>
      </c>
      <c r="E1583">
        <v>25934964</v>
      </c>
      <c r="F1583">
        <v>-102034523</v>
      </c>
      <c r="G1583">
        <v>-45505615</v>
      </c>
      <c r="H1583">
        <v>-4327945</v>
      </c>
      <c r="I1583">
        <v>-31659917</v>
      </c>
      <c r="J1583">
        <v>1283230</v>
      </c>
      <c r="K1583">
        <v>-11898504</v>
      </c>
      <c r="L1583">
        <v>-18412353</v>
      </c>
      <c r="M1583">
        <v>-4907022</v>
      </c>
      <c r="N1583">
        <v>-2485083</v>
      </c>
      <c r="O1583">
        <v>6440022</v>
      </c>
      <c r="P1583">
        <v>218</v>
      </c>
      <c r="Q1583" t="s">
        <v>3476</v>
      </c>
    </row>
    <row r="1584" spans="1:17" x14ac:dyDescent="0.3">
      <c r="A1584" t="s">
        <v>17</v>
      </c>
      <c r="B1584" t="str">
        <f>"603885"</f>
        <v>603885</v>
      </c>
      <c r="C1584" t="s">
        <v>3477</v>
      </c>
      <c r="D1584" t="s">
        <v>1166</v>
      </c>
      <c r="E1584">
        <v>25861286</v>
      </c>
      <c r="F1584">
        <v>12448055</v>
      </c>
      <c r="G1584">
        <v>-1385179470</v>
      </c>
      <c r="H1584">
        <v>165314633</v>
      </c>
      <c r="I1584">
        <v>476444184</v>
      </c>
      <c r="J1584">
        <v>411329642</v>
      </c>
      <c r="K1584">
        <v>514774899</v>
      </c>
      <c r="L1584">
        <v>343174400</v>
      </c>
      <c r="M1584">
        <v>112525800</v>
      </c>
      <c r="P1584">
        <v>475</v>
      </c>
      <c r="Q1584" t="s">
        <v>3478</v>
      </c>
    </row>
    <row r="1585" spans="1:17" x14ac:dyDescent="0.3">
      <c r="A1585" t="s">
        <v>33</v>
      </c>
      <c r="B1585" t="str">
        <f>"300240"</f>
        <v>300240</v>
      </c>
      <c r="C1585" t="s">
        <v>3479</v>
      </c>
      <c r="D1585" t="s">
        <v>1010</v>
      </c>
      <c r="E1585">
        <v>25855704</v>
      </c>
      <c r="F1585">
        <v>-5504569</v>
      </c>
      <c r="G1585">
        <v>105479898</v>
      </c>
      <c r="H1585">
        <v>-18357014</v>
      </c>
      <c r="I1585">
        <v>21041038</v>
      </c>
      <c r="J1585">
        <v>-31812688</v>
      </c>
      <c r="K1585">
        <v>23980131</v>
      </c>
      <c r="L1585">
        <v>72029059</v>
      </c>
      <c r="M1585">
        <v>-9989693</v>
      </c>
      <c r="N1585">
        <v>-21441306</v>
      </c>
      <c r="O1585">
        <v>15083775</v>
      </c>
      <c r="P1585">
        <v>67</v>
      </c>
      <c r="Q1585" t="s">
        <v>3480</v>
      </c>
    </row>
    <row r="1586" spans="1:17" x14ac:dyDescent="0.3">
      <c r="A1586" t="s">
        <v>17</v>
      </c>
      <c r="B1586" t="str">
        <f>"605336"</f>
        <v>605336</v>
      </c>
      <c r="C1586" t="s">
        <v>3481</v>
      </c>
      <c r="D1586" t="s">
        <v>1852</v>
      </c>
      <c r="E1586">
        <v>25852082</v>
      </c>
      <c r="F1586">
        <v>2948768</v>
      </c>
      <c r="G1586">
        <v>-88544748</v>
      </c>
      <c r="P1586">
        <v>141</v>
      </c>
      <c r="Q1586" t="s">
        <v>3482</v>
      </c>
    </row>
    <row r="1587" spans="1:17" x14ac:dyDescent="0.3">
      <c r="A1587" t="s">
        <v>33</v>
      </c>
      <c r="B1587" t="str">
        <f>"002799"</f>
        <v>002799</v>
      </c>
      <c r="C1587" t="s">
        <v>3483</v>
      </c>
      <c r="D1587" t="s">
        <v>1015</v>
      </c>
      <c r="E1587">
        <v>25807505</v>
      </c>
      <c r="F1587">
        <v>-52731812</v>
      </c>
      <c r="G1587">
        <v>-65272178</v>
      </c>
      <c r="H1587">
        <v>14361392</v>
      </c>
      <c r="I1587">
        <v>31720488</v>
      </c>
      <c r="J1587">
        <v>-10845212</v>
      </c>
      <c r="K1587">
        <v>7544275</v>
      </c>
      <c r="P1587">
        <v>109</v>
      </c>
      <c r="Q1587" t="s">
        <v>3484</v>
      </c>
    </row>
    <row r="1588" spans="1:17" x14ac:dyDescent="0.3">
      <c r="A1588" t="s">
        <v>33</v>
      </c>
      <c r="B1588" t="str">
        <f>"002577"</f>
        <v>002577</v>
      </c>
      <c r="C1588" t="s">
        <v>3485</v>
      </c>
      <c r="D1588" t="s">
        <v>1571</v>
      </c>
      <c r="E1588">
        <v>25784184</v>
      </c>
      <c r="F1588">
        <v>23524393</v>
      </c>
      <c r="G1588">
        <v>8227649</v>
      </c>
      <c r="H1588">
        <v>7629805</v>
      </c>
      <c r="I1588">
        <v>28438704</v>
      </c>
      <c r="J1588">
        <v>-12480049</v>
      </c>
      <c r="K1588">
        <v>-26483550</v>
      </c>
      <c r="L1588">
        <v>16709179</v>
      </c>
      <c r="M1588">
        <v>36547037</v>
      </c>
      <c r="N1588">
        <v>27676275</v>
      </c>
      <c r="O1588">
        <v>-1148350</v>
      </c>
      <c r="P1588">
        <v>83</v>
      </c>
      <c r="Q1588" t="s">
        <v>3486</v>
      </c>
    </row>
    <row r="1589" spans="1:17" x14ac:dyDescent="0.3">
      <c r="A1589" t="s">
        <v>33</v>
      </c>
      <c r="B1589" t="str">
        <f>"002296"</f>
        <v>002296</v>
      </c>
      <c r="C1589" t="s">
        <v>3487</v>
      </c>
      <c r="D1589" t="s">
        <v>461</v>
      </c>
      <c r="E1589">
        <v>25756059</v>
      </c>
      <c r="F1589">
        <v>69492541</v>
      </c>
      <c r="G1589">
        <v>-15743877</v>
      </c>
      <c r="H1589">
        <v>-4684609</v>
      </c>
      <c r="I1589">
        <v>-48522940</v>
      </c>
      <c r="J1589">
        <v>-28757514</v>
      </c>
      <c r="K1589">
        <v>1411646</v>
      </c>
      <c r="L1589">
        <v>-3522527</v>
      </c>
      <c r="M1589">
        <v>-71185966</v>
      </c>
      <c r="N1589">
        <v>-47141818</v>
      </c>
      <c r="O1589">
        <v>-54716600</v>
      </c>
      <c r="P1589">
        <v>160</v>
      </c>
      <c r="Q1589" t="s">
        <v>3488</v>
      </c>
    </row>
    <row r="1590" spans="1:17" x14ac:dyDescent="0.3">
      <c r="A1590" t="s">
        <v>33</v>
      </c>
      <c r="B1590" t="str">
        <f>"002317"</f>
        <v>002317</v>
      </c>
      <c r="C1590" t="s">
        <v>3489</v>
      </c>
      <c r="D1590" t="s">
        <v>533</v>
      </c>
      <c r="E1590">
        <v>25671106</v>
      </c>
      <c r="F1590">
        <v>50198713</v>
      </c>
      <c r="G1590">
        <v>63112731</v>
      </c>
      <c r="H1590">
        <v>74410224</v>
      </c>
      <c r="I1590">
        <v>-48206418</v>
      </c>
      <c r="J1590">
        <v>129504543</v>
      </c>
      <c r="K1590">
        <v>170620187</v>
      </c>
      <c r="L1590">
        <v>28953113</v>
      </c>
      <c r="M1590">
        <v>54995267</v>
      </c>
      <c r="N1590">
        <v>21521333</v>
      </c>
      <c r="O1590">
        <v>42954281</v>
      </c>
      <c r="P1590">
        <v>344</v>
      </c>
      <c r="Q1590" t="s">
        <v>3490</v>
      </c>
    </row>
    <row r="1591" spans="1:17" x14ac:dyDescent="0.3">
      <c r="A1591" t="s">
        <v>17</v>
      </c>
      <c r="B1591" t="str">
        <f>"600836"</f>
        <v>600836</v>
      </c>
      <c r="C1591" t="s">
        <v>3491</v>
      </c>
      <c r="D1591" t="s">
        <v>3492</v>
      </c>
      <c r="E1591">
        <v>25639498</v>
      </c>
      <c r="F1591">
        <v>-51692581</v>
      </c>
      <c r="G1591">
        <v>-74605659</v>
      </c>
      <c r="H1591">
        <v>47993292</v>
      </c>
      <c r="I1591">
        <v>-44504404</v>
      </c>
      <c r="J1591">
        <v>53023528</v>
      </c>
      <c r="K1591">
        <v>13181815</v>
      </c>
      <c r="L1591">
        <v>-310154240</v>
      </c>
      <c r="M1591">
        <v>-141756352</v>
      </c>
      <c r="N1591">
        <v>98968002</v>
      </c>
      <c r="O1591">
        <v>3361138</v>
      </c>
      <c r="P1591">
        <v>70</v>
      </c>
      <c r="Q1591" t="s">
        <v>3493</v>
      </c>
    </row>
    <row r="1592" spans="1:17" x14ac:dyDescent="0.3">
      <c r="A1592" t="s">
        <v>17</v>
      </c>
      <c r="B1592" t="str">
        <f>"603399"</f>
        <v>603399</v>
      </c>
      <c r="C1592" t="s">
        <v>3494</v>
      </c>
      <c r="D1592" t="s">
        <v>3495</v>
      </c>
      <c r="E1592">
        <v>25626394</v>
      </c>
      <c r="F1592">
        <v>62527982</v>
      </c>
      <c r="G1592">
        <v>-118048879</v>
      </c>
      <c r="H1592">
        <v>224778308</v>
      </c>
      <c r="I1592">
        <v>65453723</v>
      </c>
      <c r="J1592">
        <v>-16255666</v>
      </c>
      <c r="K1592">
        <v>92887104</v>
      </c>
      <c r="L1592">
        <v>-55256058</v>
      </c>
      <c r="M1592">
        <v>53826045</v>
      </c>
      <c r="N1592">
        <v>-297893388</v>
      </c>
      <c r="O1592">
        <v>-315689085</v>
      </c>
      <c r="P1592">
        <v>72</v>
      </c>
      <c r="Q1592" t="s">
        <v>3496</v>
      </c>
    </row>
    <row r="1593" spans="1:17" x14ac:dyDescent="0.3">
      <c r="A1593" t="s">
        <v>33</v>
      </c>
      <c r="B1593" t="str">
        <f>"300320"</f>
        <v>300320</v>
      </c>
      <c r="C1593" t="s">
        <v>3497</v>
      </c>
      <c r="D1593" t="s">
        <v>2369</v>
      </c>
      <c r="E1593">
        <v>25589202</v>
      </c>
      <c r="F1593">
        <v>108601623</v>
      </c>
      <c r="G1593">
        <v>55162965</v>
      </c>
      <c r="H1593">
        <v>77708083</v>
      </c>
      <c r="I1593">
        <v>7644746</v>
      </c>
      <c r="J1593">
        <v>11753709</v>
      </c>
      <c r="K1593">
        <v>25808992</v>
      </c>
      <c r="L1593">
        <v>23431365</v>
      </c>
      <c r="M1593">
        <v>-12866900</v>
      </c>
      <c r="N1593">
        <v>12086645</v>
      </c>
      <c r="O1593">
        <v>-35475447</v>
      </c>
      <c r="P1593">
        <v>151</v>
      </c>
      <c r="Q1593" t="s">
        <v>3498</v>
      </c>
    </row>
    <row r="1594" spans="1:17" x14ac:dyDescent="0.3">
      <c r="A1594" t="s">
        <v>17</v>
      </c>
      <c r="B1594" t="str">
        <f>"605500"</f>
        <v>605500</v>
      </c>
      <c r="C1594" t="s">
        <v>3499</v>
      </c>
      <c r="D1594" t="s">
        <v>514</v>
      </c>
      <c r="E1594">
        <v>25474340</v>
      </c>
      <c r="F1594">
        <v>-45854124</v>
      </c>
      <c r="G1594">
        <v>61594456</v>
      </c>
      <c r="P1594">
        <v>37</v>
      </c>
      <c r="Q1594" t="s">
        <v>3500</v>
      </c>
    </row>
    <row r="1595" spans="1:17" x14ac:dyDescent="0.3">
      <c r="A1595" t="s">
        <v>17</v>
      </c>
      <c r="B1595" t="str">
        <f>"600540"</f>
        <v>600540</v>
      </c>
      <c r="C1595" t="s">
        <v>3501</v>
      </c>
      <c r="D1595" t="s">
        <v>1886</v>
      </c>
      <c r="E1595">
        <v>25397408</v>
      </c>
      <c r="F1595">
        <v>391357170</v>
      </c>
      <c r="G1595">
        <v>113278129</v>
      </c>
      <c r="H1595">
        <v>-25933171</v>
      </c>
      <c r="I1595">
        <v>79885020</v>
      </c>
      <c r="J1595">
        <v>-88676752</v>
      </c>
      <c r="K1595">
        <v>-68199552</v>
      </c>
      <c r="L1595">
        <v>-56742984</v>
      </c>
      <c r="M1595">
        <v>-27500378</v>
      </c>
      <c r="N1595">
        <v>-90034604</v>
      </c>
      <c r="O1595">
        <v>-128761286</v>
      </c>
      <c r="P1595">
        <v>97</v>
      </c>
      <c r="Q1595" t="s">
        <v>3502</v>
      </c>
    </row>
    <row r="1596" spans="1:17" x14ac:dyDescent="0.3">
      <c r="A1596" t="s">
        <v>17</v>
      </c>
      <c r="B1596" t="str">
        <f>"605116"</f>
        <v>605116</v>
      </c>
      <c r="C1596" t="s">
        <v>3503</v>
      </c>
      <c r="D1596" t="s">
        <v>941</v>
      </c>
      <c r="E1596">
        <v>25379011</v>
      </c>
      <c r="F1596">
        <v>23534565</v>
      </c>
      <c r="G1596">
        <v>18182099</v>
      </c>
      <c r="P1596">
        <v>81</v>
      </c>
      <c r="Q1596" t="s">
        <v>3504</v>
      </c>
    </row>
    <row r="1597" spans="1:17" x14ac:dyDescent="0.3">
      <c r="A1597" t="s">
        <v>33</v>
      </c>
      <c r="B1597" t="str">
        <f>"300239"</f>
        <v>300239</v>
      </c>
      <c r="C1597" t="s">
        <v>3505</v>
      </c>
      <c r="D1597" t="s">
        <v>756</v>
      </c>
      <c r="E1597">
        <v>25281891</v>
      </c>
      <c r="F1597">
        <v>3278715</v>
      </c>
      <c r="G1597">
        <v>-2350380</v>
      </c>
      <c r="H1597">
        <v>25732245</v>
      </c>
      <c r="I1597">
        <v>-13437853</v>
      </c>
      <c r="J1597">
        <v>-6616372</v>
      </c>
      <c r="K1597">
        <v>-14225705</v>
      </c>
      <c r="L1597">
        <v>4626036</v>
      </c>
      <c r="M1597">
        <v>-19833933</v>
      </c>
      <c r="N1597">
        <v>5981394</v>
      </c>
      <c r="O1597">
        <v>-2933429</v>
      </c>
      <c r="P1597">
        <v>107</v>
      </c>
      <c r="Q1597" t="s">
        <v>3506</v>
      </c>
    </row>
    <row r="1598" spans="1:17" x14ac:dyDescent="0.3">
      <c r="A1598" t="s">
        <v>33</v>
      </c>
      <c r="B1598" t="str">
        <f>"300547"</f>
        <v>300547</v>
      </c>
      <c r="C1598" t="s">
        <v>3507</v>
      </c>
      <c r="D1598" t="s">
        <v>858</v>
      </c>
      <c r="E1598">
        <v>25255437</v>
      </c>
      <c r="F1598">
        <v>1231221</v>
      </c>
      <c r="G1598">
        <v>9960734</v>
      </c>
      <c r="H1598">
        <v>2815947</v>
      </c>
      <c r="I1598">
        <v>-6791550</v>
      </c>
      <c r="J1598">
        <v>-3617708</v>
      </c>
      <c r="K1598">
        <v>-11403848</v>
      </c>
      <c r="P1598">
        <v>181</v>
      </c>
      <c r="Q1598" t="s">
        <v>3508</v>
      </c>
    </row>
    <row r="1599" spans="1:17" x14ac:dyDescent="0.3">
      <c r="A1599" t="s">
        <v>33</v>
      </c>
      <c r="B1599" t="str">
        <f>"300206"</f>
        <v>300206</v>
      </c>
      <c r="C1599" t="s">
        <v>3509</v>
      </c>
      <c r="D1599" t="s">
        <v>111</v>
      </c>
      <c r="E1599">
        <v>24921223</v>
      </c>
      <c r="F1599">
        <v>70544691</v>
      </c>
      <c r="G1599">
        <v>93437989</v>
      </c>
      <c r="H1599">
        <v>50922001</v>
      </c>
      <c r="I1599">
        <v>43112450</v>
      </c>
      <c r="J1599">
        <v>49823868</v>
      </c>
      <c r="K1599">
        <v>-4067284</v>
      </c>
      <c r="L1599">
        <v>-27198964</v>
      </c>
      <c r="M1599">
        <v>7284265</v>
      </c>
      <c r="N1599">
        <v>15048640</v>
      </c>
      <c r="O1599">
        <v>28613946</v>
      </c>
      <c r="P1599">
        <v>426</v>
      </c>
      <c r="Q1599" t="s">
        <v>3510</v>
      </c>
    </row>
    <row r="1600" spans="1:17" x14ac:dyDescent="0.3">
      <c r="A1600" t="s">
        <v>33</v>
      </c>
      <c r="B1600" t="str">
        <f>"300835"</f>
        <v>300835</v>
      </c>
      <c r="C1600" t="s">
        <v>3511</v>
      </c>
      <c r="D1600" t="s">
        <v>1559</v>
      </c>
      <c r="E1600">
        <v>24911340</v>
      </c>
      <c r="F1600">
        <v>34656973</v>
      </c>
      <c r="G1600">
        <v>16740481</v>
      </c>
      <c r="H1600">
        <v>29891962</v>
      </c>
      <c r="P1600">
        <v>67</v>
      </c>
      <c r="Q1600" t="s">
        <v>3512</v>
      </c>
    </row>
    <row r="1601" spans="1:17" x14ac:dyDescent="0.3">
      <c r="A1601" t="s">
        <v>17</v>
      </c>
      <c r="B1601" t="str">
        <f>"600897"</f>
        <v>600897</v>
      </c>
      <c r="C1601" t="s">
        <v>3513</v>
      </c>
      <c r="D1601" t="s">
        <v>1344</v>
      </c>
      <c r="E1601">
        <v>24882980</v>
      </c>
      <c r="F1601">
        <v>29679143</v>
      </c>
      <c r="G1601">
        <v>66539768</v>
      </c>
      <c r="H1601">
        <v>160103357</v>
      </c>
      <c r="I1601">
        <v>62229592</v>
      </c>
      <c r="J1601">
        <v>-9408722</v>
      </c>
      <c r="K1601">
        <v>100456829</v>
      </c>
      <c r="L1601">
        <v>94680963</v>
      </c>
      <c r="M1601">
        <v>124570022</v>
      </c>
      <c r="N1601">
        <v>90324316</v>
      </c>
      <c r="O1601">
        <v>89921483</v>
      </c>
      <c r="P1601">
        <v>479</v>
      </c>
      <c r="Q1601" t="s">
        <v>3514</v>
      </c>
    </row>
    <row r="1602" spans="1:17" x14ac:dyDescent="0.3">
      <c r="A1602" t="s">
        <v>33</v>
      </c>
      <c r="B1602" t="str">
        <f>"003010"</f>
        <v>003010</v>
      </c>
      <c r="C1602" t="s">
        <v>3515</v>
      </c>
      <c r="D1602" t="s">
        <v>3516</v>
      </c>
      <c r="E1602">
        <v>24815705</v>
      </c>
      <c r="F1602">
        <v>-55170824</v>
      </c>
      <c r="G1602">
        <v>-3169440</v>
      </c>
      <c r="I1602">
        <v>8135400</v>
      </c>
      <c r="J1602">
        <v>17017064</v>
      </c>
      <c r="P1602">
        <v>58</v>
      </c>
      <c r="Q1602" t="s">
        <v>3517</v>
      </c>
    </row>
    <row r="1603" spans="1:17" x14ac:dyDescent="0.3">
      <c r="A1603" t="s">
        <v>17</v>
      </c>
      <c r="B1603" t="str">
        <f>"688786"</f>
        <v>688786</v>
      </c>
      <c r="C1603" t="s">
        <v>3518</v>
      </c>
      <c r="D1603" t="s">
        <v>2576</v>
      </c>
      <c r="E1603">
        <v>24804721</v>
      </c>
      <c r="P1603">
        <v>31</v>
      </c>
      <c r="Q1603" t="s">
        <v>3519</v>
      </c>
    </row>
    <row r="1604" spans="1:17" x14ac:dyDescent="0.3">
      <c r="A1604" t="s">
        <v>17</v>
      </c>
      <c r="B1604" t="str">
        <f>"603949"</f>
        <v>603949</v>
      </c>
      <c r="C1604" t="s">
        <v>3520</v>
      </c>
      <c r="D1604" t="s">
        <v>858</v>
      </c>
      <c r="E1604">
        <v>24796396</v>
      </c>
      <c r="F1604">
        <v>19853033</v>
      </c>
      <c r="G1604">
        <v>-1316672</v>
      </c>
      <c r="H1604">
        <v>-3022758</v>
      </c>
      <c r="P1604">
        <v>158</v>
      </c>
      <c r="Q1604" t="s">
        <v>3521</v>
      </c>
    </row>
    <row r="1605" spans="1:17" x14ac:dyDescent="0.3">
      <c r="A1605" t="s">
        <v>33</v>
      </c>
      <c r="B1605" t="str">
        <f>"002369"</f>
        <v>002369</v>
      </c>
      <c r="C1605" t="s">
        <v>3522</v>
      </c>
      <c r="D1605" t="s">
        <v>226</v>
      </c>
      <c r="E1605">
        <v>24705329</v>
      </c>
      <c r="F1605">
        <v>-97724021</v>
      </c>
      <c r="G1605">
        <v>200345863</v>
      </c>
      <c r="H1605">
        <v>256637538</v>
      </c>
      <c r="I1605">
        <v>-38695019</v>
      </c>
      <c r="J1605">
        <v>117759249</v>
      </c>
      <c r="K1605">
        <v>86598381</v>
      </c>
      <c r="L1605">
        <v>168645638</v>
      </c>
      <c r="M1605">
        <v>44245749</v>
      </c>
      <c r="N1605">
        <v>-35769339</v>
      </c>
      <c r="O1605">
        <v>-32232183</v>
      </c>
      <c r="P1605">
        <v>179</v>
      </c>
      <c r="Q1605" t="s">
        <v>3523</v>
      </c>
    </row>
    <row r="1606" spans="1:17" x14ac:dyDescent="0.3">
      <c r="A1606" t="s">
        <v>33</v>
      </c>
      <c r="B1606" t="str">
        <f>"300238"</f>
        <v>300238</v>
      </c>
      <c r="C1606" t="s">
        <v>3524</v>
      </c>
      <c r="D1606" t="s">
        <v>903</v>
      </c>
      <c r="E1606">
        <v>24690383</v>
      </c>
      <c r="F1606">
        <v>29648073</v>
      </c>
      <c r="G1606">
        <v>-16563348</v>
      </c>
      <c r="H1606">
        <v>-24596567</v>
      </c>
      <c r="I1606">
        <v>17470754</v>
      </c>
      <c r="J1606">
        <v>697005</v>
      </c>
      <c r="K1606">
        <v>378050</v>
      </c>
      <c r="L1606">
        <v>11713450</v>
      </c>
      <c r="M1606">
        <v>3225861</v>
      </c>
      <c r="N1606">
        <v>3818331</v>
      </c>
      <c r="O1606">
        <v>21488178</v>
      </c>
      <c r="P1606">
        <v>195</v>
      </c>
      <c r="Q1606" t="s">
        <v>3525</v>
      </c>
    </row>
    <row r="1607" spans="1:17" x14ac:dyDescent="0.3">
      <c r="A1607" t="s">
        <v>17</v>
      </c>
      <c r="B1607" t="str">
        <f>"603139"</f>
        <v>603139</v>
      </c>
      <c r="C1607" t="s">
        <v>3526</v>
      </c>
      <c r="D1607" t="s">
        <v>533</v>
      </c>
      <c r="E1607">
        <v>24685902</v>
      </c>
      <c r="F1607">
        <v>-18162010</v>
      </c>
      <c r="G1607">
        <v>-38244738</v>
      </c>
      <c r="H1607">
        <v>-49376817</v>
      </c>
      <c r="I1607">
        <v>-58230503</v>
      </c>
      <c r="J1607">
        <v>-39262266</v>
      </c>
      <c r="K1607">
        <v>-38040370</v>
      </c>
      <c r="P1607">
        <v>97</v>
      </c>
      <c r="Q1607" t="s">
        <v>3527</v>
      </c>
    </row>
    <row r="1608" spans="1:17" x14ac:dyDescent="0.3">
      <c r="A1608" t="s">
        <v>17</v>
      </c>
      <c r="B1608" t="str">
        <f>"688159"</f>
        <v>688159</v>
      </c>
      <c r="C1608" t="s">
        <v>3528</v>
      </c>
      <c r="D1608" t="s">
        <v>1347</v>
      </c>
      <c r="E1608">
        <v>24310243</v>
      </c>
      <c r="F1608">
        <v>-57213825</v>
      </c>
      <c r="G1608">
        <v>-100852885</v>
      </c>
      <c r="H1608">
        <v>8744996</v>
      </c>
      <c r="P1608">
        <v>94</v>
      </c>
      <c r="Q1608" t="s">
        <v>3529</v>
      </c>
    </row>
    <row r="1609" spans="1:17" x14ac:dyDescent="0.3">
      <c r="A1609" t="s">
        <v>33</v>
      </c>
      <c r="B1609" t="str">
        <f>"002845"</f>
        <v>002845</v>
      </c>
      <c r="C1609" t="s">
        <v>3530</v>
      </c>
      <c r="D1609" t="s">
        <v>102</v>
      </c>
      <c r="E1609">
        <v>24293762</v>
      </c>
      <c r="F1609">
        <v>220504449</v>
      </c>
      <c r="G1609">
        <v>-112279340</v>
      </c>
      <c r="H1609">
        <v>-73387083</v>
      </c>
      <c r="I1609">
        <v>-133350947</v>
      </c>
      <c r="J1609">
        <v>-196648736</v>
      </c>
      <c r="K1609">
        <v>-60805336</v>
      </c>
      <c r="P1609">
        <v>222</v>
      </c>
      <c r="Q1609" t="s">
        <v>3531</v>
      </c>
    </row>
    <row r="1610" spans="1:17" x14ac:dyDescent="0.3">
      <c r="A1610" t="s">
        <v>17</v>
      </c>
      <c r="B1610" t="str">
        <f>"600355"</f>
        <v>600355</v>
      </c>
      <c r="C1610" t="s">
        <v>3532</v>
      </c>
      <c r="D1610" t="s">
        <v>1347</v>
      </c>
      <c r="E1610">
        <v>24038412</v>
      </c>
      <c r="F1610">
        <v>10890471</v>
      </c>
      <c r="G1610">
        <v>-23989167</v>
      </c>
      <c r="H1610">
        <v>9371856</v>
      </c>
      <c r="I1610">
        <v>-29527811</v>
      </c>
      <c r="J1610">
        <v>-12963458</v>
      </c>
      <c r="K1610">
        <v>-22113522</v>
      </c>
      <c r="L1610">
        <v>37919377</v>
      </c>
      <c r="M1610">
        <v>-21375347</v>
      </c>
      <c r="N1610">
        <v>-23114313</v>
      </c>
      <c r="O1610">
        <v>-35994278</v>
      </c>
      <c r="P1610">
        <v>109</v>
      </c>
      <c r="Q1610" t="s">
        <v>3533</v>
      </c>
    </row>
    <row r="1611" spans="1:17" x14ac:dyDescent="0.3">
      <c r="A1611" t="s">
        <v>17</v>
      </c>
      <c r="B1611" t="str">
        <f>"603929"</f>
        <v>603929</v>
      </c>
      <c r="C1611" t="s">
        <v>3534</v>
      </c>
      <c r="D1611" t="s">
        <v>1454</v>
      </c>
      <c r="E1611">
        <v>24003446</v>
      </c>
      <c r="F1611">
        <v>-29640871</v>
      </c>
      <c r="G1611">
        <v>-192249835</v>
      </c>
      <c r="H1611">
        <v>-156976098</v>
      </c>
      <c r="I1611">
        <v>87625015</v>
      </c>
      <c r="J1611">
        <v>-182182067</v>
      </c>
      <c r="K1611">
        <v>318333305</v>
      </c>
      <c r="P1611">
        <v>109</v>
      </c>
      <c r="Q1611" t="s">
        <v>3535</v>
      </c>
    </row>
    <row r="1612" spans="1:17" x14ac:dyDescent="0.3">
      <c r="A1612" t="s">
        <v>33</v>
      </c>
      <c r="B1612" t="str">
        <f>"002652"</f>
        <v>002652</v>
      </c>
      <c r="C1612" t="s">
        <v>3536</v>
      </c>
      <c r="D1612" t="s">
        <v>2632</v>
      </c>
      <c r="E1612">
        <v>23967266</v>
      </c>
      <c r="F1612">
        <v>83158670</v>
      </c>
      <c r="G1612">
        <v>-26492517</v>
      </c>
      <c r="H1612">
        <v>-154966271</v>
      </c>
      <c r="I1612">
        <v>109662487</v>
      </c>
      <c r="J1612">
        <v>-13087296</v>
      </c>
      <c r="K1612">
        <v>33743715</v>
      </c>
      <c r="L1612">
        <v>44771527</v>
      </c>
      <c r="M1612">
        <v>-201746</v>
      </c>
      <c r="N1612">
        <v>32021450</v>
      </c>
      <c r="O1612">
        <v>-224376592</v>
      </c>
      <c r="P1612">
        <v>58</v>
      </c>
      <c r="Q1612" t="s">
        <v>3537</v>
      </c>
    </row>
    <row r="1613" spans="1:17" x14ac:dyDescent="0.3">
      <c r="A1613" t="s">
        <v>17</v>
      </c>
      <c r="B1613" t="str">
        <f>"600796"</f>
        <v>600796</v>
      </c>
      <c r="C1613" t="s">
        <v>3538</v>
      </c>
      <c r="D1613" t="s">
        <v>636</v>
      </c>
      <c r="E1613">
        <v>23905234</v>
      </c>
      <c r="F1613">
        <v>23290924</v>
      </c>
      <c r="G1613">
        <v>-16395979</v>
      </c>
      <c r="H1613">
        <v>-24301153</v>
      </c>
      <c r="I1613">
        <v>18734053</v>
      </c>
      <c r="J1613">
        <v>10081376</v>
      </c>
      <c r="K1613">
        <v>16444177</v>
      </c>
      <c r="L1613">
        <v>7379276</v>
      </c>
      <c r="M1613">
        <v>-19551885</v>
      </c>
      <c r="N1613">
        <v>97407250</v>
      </c>
      <c r="O1613">
        <v>-32634663</v>
      </c>
      <c r="P1613">
        <v>74</v>
      </c>
      <c r="Q1613" t="s">
        <v>3539</v>
      </c>
    </row>
    <row r="1614" spans="1:17" x14ac:dyDescent="0.3">
      <c r="A1614" t="s">
        <v>17</v>
      </c>
      <c r="B1614" t="str">
        <f>"601518"</f>
        <v>601518</v>
      </c>
      <c r="C1614" t="s">
        <v>3540</v>
      </c>
      <c r="D1614" t="s">
        <v>458</v>
      </c>
      <c r="E1614">
        <v>23865525</v>
      </c>
      <c r="F1614">
        <v>72248999</v>
      </c>
      <c r="G1614">
        <v>12518770</v>
      </c>
      <c r="H1614">
        <v>86801770</v>
      </c>
      <c r="I1614">
        <v>90222876</v>
      </c>
      <c r="J1614">
        <v>126585129</v>
      </c>
      <c r="K1614">
        <v>77278702</v>
      </c>
      <c r="L1614">
        <v>113741774</v>
      </c>
      <c r="M1614">
        <v>94536503</v>
      </c>
      <c r="N1614">
        <v>51809408</v>
      </c>
      <c r="O1614">
        <v>15468018</v>
      </c>
      <c r="P1614">
        <v>111</v>
      </c>
      <c r="Q1614" t="s">
        <v>3541</v>
      </c>
    </row>
    <row r="1615" spans="1:17" x14ac:dyDescent="0.3">
      <c r="A1615" t="s">
        <v>17</v>
      </c>
      <c r="B1615" t="str">
        <f>"688533"</f>
        <v>688533</v>
      </c>
      <c r="C1615" t="s">
        <v>3542</v>
      </c>
      <c r="D1615" t="s">
        <v>603</v>
      </c>
      <c r="E1615">
        <v>23820286</v>
      </c>
      <c r="P1615">
        <v>39</v>
      </c>
      <c r="Q1615" t="s">
        <v>3543</v>
      </c>
    </row>
    <row r="1616" spans="1:17" x14ac:dyDescent="0.3">
      <c r="A1616" t="s">
        <v>17</v>
      </c>
      <c r="B1616" t="str">
        <f>"600751"</f>
        <v>600751</v>
      </c>
      <c r="C1616" t="s">
        <v>3544</v>
      </c>
      <c r="D1616" t="s">
        <v>499</v>
      </c>
      <c r="E1616">
        <v>23806000</v>
      </c>
      <c r="F1616">
        <v>-6277325000</v>
      </c>
      <c r="G1616">
        <v>5660696000</v>
      </c>
      <c r="H1616">
        <v>5898388000</v>
      </c>
      <c r="I1616">
        <v>1768657000</v>
      </c>
      <c r="J1616">
        <v>-3058045000</v>
      </c>
      <c r="K1616">
        <v>-553654548</v>
      </c>
      <c r="L1616">
        <v>-12298644</v>
      </c>
      <c r="M1616">
        <v>101638481</v>
      </c>
      <c r="N1616">
        <v>-34728282</v>
      </c>
      <c r="O1616">
        <v>-2295904</v>
      </c>
      <c r="P1616">
        <v>226</v>
      </c>
      <c r="Q1616" t="s">
        <v>3545</v>
      </c>
    </row>
    <row r="1617" spans="1:17" x14ac:dyDescent="0.3">
      <c r="A1617" t="s">
        <v>17</v>
      </c>
      <c r="B1617" t="str">
        <f>"603767"</f>
        <v>603767</v>
      </c>
      <c r="C1617" t="s">
        <v>3546</v>
      </c>
      <c r="D1617" t="s">
        <v>858</v>
      </c>
      <c r="E1617">
        <v>23785992</v>
      </c>
      <c r="F1617">
        <v>54336844</v>
      </c>
      <c r="G1617">
        <v>34197266</v>
      </c>
      <c r="H1617">
        <v>7526196</v>
      </c>
      <c r="I1617">
        <v>49590291</v>
      </c>
      <c r="J1617">
        <v>47037916</v>
      </c>
      <c r="K1617">
        <v>71006939</v>
      </c>
      <c r="P1617">
        <v>80</v>
      </c>
      <c r="Q1617" t="s">
        <v>3547</v>
      </c>
    </row>
    <row r="1618" spans="1:17" x14ac:dyDescent="0.3">
      <c r="A1618" t="s">
        <v>17</v>
      </c>
      <c r="B1618" t="str">
        <f>"603887"</f>
        <v>603887</v>
      </c>
      <c r="C1618" t="s">
        <v>3548</v>
      </c>
      <c r="D1618" t="s">
        <v>508</v>
      </c>
      <c r="E1618">
        <v>23754996</v>
      </c>
      <c r="F1618">
        <v>-92462366</v>
      </c>
      <c r="G1618">
        <v>-10125667</v>
      </c>
      <c r="H1618">
        <v>37498941</v>
      </c>
      <c r="I1618">
        <v>-56649597</v>
      </c>
      <c r="J1618">
        <v>-26622880</v>
      </c>
      <c r="K1618">
        <v>4608883</v>
      </c>
      <c r="P1618">
        <v>241</v>
      </c>
      <c r="Q1618" t="s">
        <v>3549</v>
      </c>
    </row>
    <row r="1619" spans="1:17" x14ac:dyDescent="0.3">
      <c r="A1619" t="s">
        <v>17</v>
      </c>
      <c r="B1619" t="str">
        <f>"603703"</f>
        <v>603703</v>
      </c>
      <c r="C1619" t="s">
        <v>3550</v>
      </c>
      <c r="D1619" t="s">
        <v>1299</v>
      </c>
      <c r="E1619">
        <v>23682242</v>
      </c>
      <c r="F1619">
        <v>19057034</v>
      </c>
      <c r="G1619">
        <v>-17235346</v>
      </c>
      <c r="H1619">
        <v>-636365</v>
      </c>
      <c r="I1619">
        <v>55890392</v>
      </c>
      <c r="J1619">
        <v>56300056</v>
      </c>
      <c r="K1619">
        <v>14837986</v>
      </c>
      <c r="L1619">
        <v>-18721801</v>
      </c>
      <c r="P1619">
        <v>78</v>
      </c>
      <c r="Q1619" t="s">
        <v>3551</v>
      </c>
    </row>
    <row r="1620" spans="1:17" x14ac:dyDescent="0.3">
      <c r="A1620" t="s">
        <v>33</v>
      </c>
      <c r="B1620" t="str">
        <f>"300375"</f>
        <v>300375</v>
      </c>
      <c r="C1620" t="s">
        <v>3552</v>
      </c>
      <c r="D1620" t="s">
        <v>858</v>
      </c>
      <c r="E1620">
        <v>23648515</v>
      </c>
      <c r="F1620">
        <v>46726493</v>
      </c>
      <c r="G1620">
        <v>51144735</v>
      </c>
      <c r="H1620">
        <v>76903345</v>
      </c>
      <c r="I1620">
        <v>-9676933</v>
      </c>
      <c r="J1620">
        <v>-16107103</v>
      </c>
      <c r="K1620">
        <v>26668524</v>
      </c>
      <c r="L1620">
        <v>11012825</v>
      </c>
      <c r="M1620">
        <v>7853305</v>
      </c>
      <c r="N1620">
        <v>8390067</v>
      </c>
      <c r="P1620">
        <v>99</v>
      </c>
      <c r="Q1620" t="s">
        <v>3553</v>
      </c>
    </row>
    <row r="1621" spans="1:17" x14ac:dyDescent="0.3">
      <c r="A1621" t="s">
        <v>33</v>
      </c>
      <c r="B1621" t="str">
        <f>"002817"</f>
        <v>002817</v>
      </c>
      <c r="C1621" t="s">
        <v>3554</v>
      </c>
      <c r="D1621" t="s">
        <v>903</v>
      </c>
      <c r="E1621">
        <v>23600068</v>
      </c>
      <c r="F1621">
        <v>14824839</v>
      </c>
      <c r="G1621">
        <v>22298376</v>
      </c>
      <c r="H1621">
        <v>6772567</v>
      </c>
      <c r="I1621">
        <v>1767071</v>
      </c>
      <c r="J1621">
        <v>-8371038</v>
      </c>
      <c r="K1621">
        <v>-2822741</v>
      </c>
      <c r="P1621">
        <v>126</v>
      </c>
      <c r="Q1621" t="s">
        <v>3555</v>
      </c>
    </row>
    <row r="1622" spans="1:17" x14ac:dyDescent="0.3">
      <c r="A1622" t="s">
        <v>17</v>
      </c>
      <c r="B1622" t="str">
        <f>"688677"</f>
        <v>688677</v>
      </c>
      <c r="C1622" t="s">
        <v>3556</v>
      </c>
      <c r="D1622" t="s">
        <v>111</v>
      </c>
      <c r="E1622">
        <v>23469085</v>
      </c>
      <c r="F1622">
        <v>31378338</v>
      </c>
      <c r="I1622">
        <v>5437069</v>
      </c>
      <c r="P1622">
        <v>94</v>
      </c>
      <c r="Q1622" t="s">
        <v>3557</v>
      </c>
    </row>
    <row r="1623" spans="1:17" x14ac:dyDescent="0.3">
      <c r="A1623" t="s">
        <v>33</v>
      </c>
      <c r="B1623" t="str">
        <f>"300013"</f>
        <v>300013</v>
      </c>
      <c r="C1623" t="s">
        <v>3558</v>
      </c>
      <c r="D1623" t="s">
        <v>1010</v>
      </c>
      <c r="E1623">
        <v>23369170</v>
      </c>
      <c r="F1623">
        <v>47664039</v>
      </c>
      <c r="G1623">
        <v>332131</v>
      </c>
      <c r="H1623">
        <v>-60349063</v>
      </c>
      <c r="I1623">
        <v>-19620380</v>
      </c>
      <c r="J1623">
        <v>-4007538</v>
      </c>
      <c r="K1623">
        <v>-88820398</v>
      </c>
      <c r="L1623">
        <v>13213142</v>
      </c>
      <c r="M1623">
        <v>-6207575</v>
      </c>
      <c r="N1623">
        <v>-11852540</v>
      </c>
      <c r="O1623">
        <v>1457511</v>
      </c>
      <c r="P1623">
        <v>70</v>
      </c>
      <c r="Q1623" t="s">
        <v>3559</v>
      </c>
    </row>
    <row r="1624" spans="1:17" x14ac:dyDescent="0.3">
      <c r="A1624" t="s">
        <v>17</v>
      </c>
      <c r="B1624" t="str">
        <f>"603158"</f>
        <v>603158</v>
      </c>
      <c r="C1624" t="s">
        <v>3560</v>
      </c>
      <c r="D1624" t="s">
        <v>858</v>
      </c>
      <c r="E1624">
        <v>23319476</v>
      </c>
      <c r="F1624">
        <v>-16348186</v>
      </c>
      <c r="G1624">
        <v>30968877</v>
      </c>
      <c r="H1624">
        <v>10165173</v>
      </c>
      <c r="I1624">
        <v>26491245</v>
      </c>
      <c r="J1624">
        <v>29554936</v>
      </c>
      <c r="K1624">
        <v>22703126</v>
      </c>
      <c r="L1624">
        <v>32365481</v>
      </c>
      <c r="M1624">
        <v>13842093</v>
      </c>
      <c r="P1624">
        <v>145</v>
      </c>
      <c r="Q1624" t="s">
        <v>3561</v>
      </c>
    </row>
    <row r="1625" spans="1:17" x14ac:dyDescent="0.3">
      <c r="A1625" t="s">
        <v>17</v>
      </c>
      <c r="B1625" t="str">
        <f>"603336"</f>
        <v>603336</v>
      </c>
      <c r="C1625" t="s">
        <v>3562</v>
      </c>
      <c r="D1625" t="s">
        <v>1886</v>
      </c>
      <c r="E1625">
        <v>23308083</v>
      </c>
      <c r="F1625">
        <v>6709500</v>
      </c>
      <c r="G1625">
        <v>3393443</v>
      </c>
      <c r="H1625">
        <v>35151447</v>
      </c>
      <c r="I1625">
        <v>23736037</v>
      </c>
      <c r="J1625">
        <v>40802936</v>
      </c>
      <c r="K1625">
        <v>-21120179</v>
      </c>
      <c r="P1625">
        <v>179</v>
      </c>
      <c r="Q1625" t="s">
        <v>3563</v>
      </c>
    </row>
    <row r="1626" spans="1:17" x14ac:dyDescent="0.3">
      <c r="A1626" t="s">
        <v>33</v>
      </c>
      <c r="B1626" t="str">
        <f>"300093"</f>
        <v>300093</v>
      </c>
      <c r="C1626" t="s">
        <v>3564</v>
      </c>
      <c r="D1626" t="s">
        <v>1025</v>
      </c>
      <c r="E1626">
        <v>23298047</v>
      </c>
      <c r="F1626">
        <v>71054054</v>
      </c>
      <c r="G1626">
        <v>44483264</v>
      </c>
      <c r="H1626">
        <v>29852950</v>
      </c>
      <c r="I1626">
        <v>21941742</v>
      </c>
      <c r="J1626">
        <v>-2724750</v>
      </c>
      <c r="K1626">
        <v>11537645</v>
      </c>
      <c r="L1626">
        <v>32849732</v>
      </c>
      <c r="M1626">
        <v>-19968416</v>
      </c>
      <c r="N1626">
        <v>19714512</v>
      </c>
      <c r="O1626">
        <v>41039202</v>
      </c>
      <c r="P1626">
        <v>80</v>
      </c>
      <c r="Q1626" t="s">
        <v>3565</v>
      </c>
    </row>
    <row r="1627" spans="1:17" x14ac:dyDescent="0.3">
      <c r="A1627" t="s">
        <v>17</v>
      </c>
      <c r="B1627" t="str">
        <f>"688158"</f>
        <v>688158</v>
      </c>
      <c r="C1627" t="s">
        <v>3566</v>
      </c>
      <c r="D1627" t="s">
        <v>508</v>
      </c>
      <c r="E1627">
        <v>23276845</v>
      </c>
      <c r="F1627">
        <v>63846817</v>
      </c>
      <c r="G1627">
        <v>8887782</v>
      </c>
      <c r="H1627">
        <v>-8570453</v>
      </c>
      <c r="P1627">
        <v>104</v>
      </c>
      <c r="Q1627" t="s">
        <v>3567</v>
      </c>
    </row>
    <row r="1628" spans="1:17" x14ac:dyDescent="0.3">
      <c r="A1628" t="s">
        <v>33</v>
      </c>
      <c r="B1628" t="str">
        <f>"300971"</f>
        <v>300971</v>
      </c>
      <c r="C1628" t="s">
        <v>3568</v>
      </c>
      <c r="D1628" t="s">
        <v>1895</v>
      </c>
      <c r="E1628">
        <v>23219560</v>
      </c>
      <c r="F1628">
        <v>-20498464</v>
      </c>
      <c r="G1628">
        <v>-8169515</v>
      </c>
      <c r="P1628">
        <v>39</v>
      </c>
      <c r="Q1628" t="s">
        <v>3569</v>
      </c>
    </row>
    <row r="1629" spans="1:17" x14ac:dyDescent="0.3">
      <c r="A1629" t="s">
        <v>33</v>
      </c>
      <c r="B1629" t="str">
        <f>"300913"</f>
        <v>300913</v>
      </c>
      <c r="C1629" t="s">
        <v>3570</v>
      </c>
      <c r="D1629" t="s">
        <v>1302</v>
      </c>
      <c r="E1629">
        <v>23142528</v>
      </c>
      <c r="F1629">
        <v>28258925</v>
      </c>
      <c r="G1629">
        <v>32996527</v>
      </c>
      <c r="H1629">
        <v>3612013</v>
      </c>
      <c r="P1629">
        <v>33</v>
      </c>
      <c r="Q1629" t="s">
        <v>3571</v>
      </c>
    </row>
    <row r="1630" spans="1:17" x14ac:dyDescent="0.3">
      <c r="A1630" t="s">
        <v>33</v>
      </c>
      <c r="B1630" t="str">
        <f>"301093"</f>
        <v>301093</v>
      </c>
      <c r="C1630" t="s">
        <v>3572</v>
      </c>
      <c r="D1630" t="s">
        <v>903</v>
      </c>
      <c r="E1630">
        <v>23119604</v>
      </c>
      <c r="P1630">
        <v>30</v>
      </c>
      <c r="Q1630" t="s">
        <v>3573</v>
      </c>
    </row>
    <row r="1631" spans="1:17" x14ac:dyDescent="0.3">
      <c r="A1631" t="s">
        <v>33</v>
      </c>
      <c r="B1631" t="str">
        <f>"002005"</f>
        <v>002005</v>
      </c>
      <c r="C1631" t="s">
        <v>3574</v>
      </c>
      <c r="D1631" t="s">
        <v>849</v>
      </c>
      <c r="E1631">
        <v>23106087</v>
      </c>
      <c r="F1631">
        <v>-71192497</v>
      </c>
      <c r="G1631">
        <v>-80757133</v>
      </c>
      <c r="H1631">
        <v>167970052</v>
      </c>
      <c r="I1631">
        <v>15421980</v>
      </c>
      <c r="J1631">
        <v>-12354096</v>
      </c>
      <c r="K1631">
        <v>65599572</v>
      </c>
      <c r="L1631">
        <v>-57920081</v>
      </c>
      <c r="M1631">
        <v>178690704</v>
      </c>
      <c r="N1631">
        <v>21040001</v>
      </c>
      <c r="O1631">
        <v>26443833</v>
      </c>
      <c r="P1631">
        <v>74</v>
      </c>
      <c r="Q1631" t="s">
        <v>3575</v>
      </c>
    </row>
    <row r="1632" spans="1:17" x14ac:dyDescent="0.3">
      <c r="A1632" t="s">
        <v>17</v>
      </c>
      <c r="B1632" t="str">
        <f>"688198"</f>
        <v>688198</v>
      </c>
      <c r="C1632" t="s">
        <v>3576</v>
      </c>
      <c r="D1632" t="s">
        <v>903</v>
      </c>
      <c r="E1632">
        <v>23085270</v>
      </c>
      <c r="F1632">
        <v>13327777</v>
      </c>
      <c r="G1632">
        <v>2246169</v>
      </c>
      <c r="H1632">
        <v>11456480</v>
      </c>
      <c r="P1632">
        <v>190</v>
      </c>
      <c r="Q1632" t="s">
        <v>3577</v>
      </c>
    </row>
    <row r="1633" spans="1:17" x14ac:dyDescent="0.3">
      <c r="A1633" t="s">
        <v>17</v>
      </c>
      <c r="B1633" t="str">
        <f>"688313"</f>
        <v>688313</v>
      </c>
      <c r="C1633" t="s">
        <v>3578</v>
      </c>
      <c r="D1633" t="s">
        <v>461</v>
      </c>
      <c r="E1633">
        <v>23047555</v>
      </c>
      <c r="F1633">
        <v>-6902021</v>
      </c>
      <c r="G1633">
        <v>14455132</v>
      </c>
      <c r="H1633">
        <v>-9040552</v>
      </c>
      <c r="P1633">
        <v>50</v>
      </c>
      <c r="Q1633" t="s">
        <v>3579</v>
      </c>
    </row>
    <row r="1634" spans="1:17" x14ac:dyDescent="0.3">
      <c r="A1634" t="s">
        <v>33</v>
      </c>
      <c r="B1634" t="str">
        <f>"300304"</f>
        <v>300304</v>
      </c>
      <c r="C1634" t="s">
        <v>3580</v>
      </c>
      <c r="D1634" t="s">
        <v>603</v>
      </c>
      <c r="E1634">
        <v>23019995</v>
      </c>
      <c r="F1634">
        <v>1153399</v>
      </c>
      <c r="G1634">
        <v>39626005</v>
      </c>
      <c r="H1634">
        <v>18646389</v>
      </c>
      <c r="I1634">
        <v>5326682</v>
      </c>
      <c r="J1634">
        <v>23627894</v>
      </c>
      <c r="K1634">
        <v>9474419</v>
      </c>
      <c r="L1634">
        <v>9966031</v>
      </c>
      <c r="M1634">
        <v>1165542</v>
      </c>
      <c r="N1634">
        <v>1342665</v>
      </c>
      <c r="O1634">
        <v>1803259</v>
      </c>
      <c r="P1634">
        <v>114</v>
      </c>
      <c r="Q1634" t="s">
        <v>3581</v>
      </c>
    </row>
    <row r="1635" spans="1:17" x14ac:dyDescent="0.3">
      <c r="A1635" t="s">
        <v>17</v>
      </c>
      <c r="B1635" t="str">
        <f>"605118"</f>
        <v>605118</v>
      </c>
      <c r="C1635" t="s">
        <v>3582</v>
      </c>
      <c r="D1635" t="s">
        <v>2597</v>
      </c>
      <c r="E1635">
        <v>22998867</v>
      </c>
      <c r="F1635">
        <v>44013557</v>
      </c>
      <c r="G1635">
        <v>12035960</v>
      </c>
      <c r="H1635">
        <v>51368121</v>
      </c>
      <c r="P1635">
        <v>114</v>
      </c>
      <c r="Q1635" t="s">
        <v>3583</v>
      </c>
    </row>
    <row r="1636" spans="1:17" x14ac:dyDescent="0.3">
      <c r="A1636" t="s">
        <v>33</v>
      </c>
      <c r="B1636" t="str">
        <f>"300992"</f>
        <v>300992</v>
      </c>
      <c r="C1636" t="s">
        <v>3584</v>
      </c>
      <c r="D1636" t="s">
        <v>1033</v>
      </c>
      <c r="E1636">
        <v>22879322</v>
      </c>
      <c r="F1636">
        <v>20002664</v>
      </c>
      <c r="G1636">
        <v>20180483</v>
      </c>
      <c r="P1636">
        <v>26</v>
      </c>
      <c r="Q1636" t="s">
        <v>3585</v>
      </c>
    </row>
    <row r="1637" spans="1:17" x14ac:dyDescent="0.3">
      <c r="A1637" t="s">
        <v>33</v>
      </c>
      <c r="B1637" t="str">
        <f>"300435"</f>
        <v>300435</v>
      </c>
      <c r="C1637" t="s">
        <v>3586</v>
      </c>
      <c r="D1637" t="s">
        <v>649</v>
      </c>
      <c r="E1637">
        <v>22854447</v>
      </c>
      <c r="F1637">
        <v>-12132200</v>
      </c>
      <c r="G1637">
        <v>-28864487</v>
      </c>
      <c r="H1637">
        <v>41909280</v>
      </c>
      <c r="I1637">
        <v>18894835</v>
      </c>
      <c r="J1637">
        <v>15378721</v>
      </c>
      <c r="K1637">
        <v>30018357</v>
      </c>
      <c r="L1637">
        <v>11079012</v>
      </c>
      <c r="M1637">
        <v>-22904451</v>
      </c>
      <c r="P1637">
        <v>111</v>
      </c>
      <c r="Q1637" t="s">
        <v>3587</v>
      </c>
    </row>
    <row r="1638" spans="1:17" x14ac:dyDescent="0.3">
      <c r="A1638" t="s">
        <v>17</v>
      </c>
      <c r="B1638" t="str">
        <f>"600784"</f>
        <v>600784</v>
      </c>
      <c r="C1638" t="s">
        <v>3588</v>
      </c>
      <c r="D1638" t="s">
        <v>523</v>
      </c>
      <c r="E1638">
        <v>22795161</v>
      </c>
      <c r="F1638">
        <v>14268629</v>
      </c>
      <c r="G1638">
        <v>3986251</v>
      </c>
      <c r="H1638">
        <v>-87397510</v>
      </c>
      <c r="I1638">
        <v>431749694</v>
      </c>
      <c r="J1638">
        <v>39991564</v>
      </c>
      <c r="K1638">
        <v>61715627</v>
      </c>
      <c r="L1638">
        <v>-1303482</v>
      </c>
      <c r="M1638">
        <v>-82968895</v>
      </c>
      <c r="N1638">
        <v>-413060859</v>
      </c>
      <c r="O1638">
        <v>32601220</v>
      </c>
      <c r="P1638">
        <v>75</v>
      </c>
      <c r="Q1638" t="s">
        <v>3589</v>
      </c>
    </row>
    <row r="1639" spans="1:17" x14ac:dyDescent="0.3">
      <c r="A1639" t="s">
        <v>33</v>
      </c>
      <c r="B1639" t="str">
        <f>"300909"</f>
        <v>300909</v>
      </c>
      <c r="C1639" t="s">
        <v>3590</v>
      </c>
      <c r="D1639" t="s">
        <v>102</v>
      </c>
      <c r="E1639">
        <v>22768258</v>
      </c>
      <c r="F1639">
        <v>-22188712</v>
      </c>
      <c r="G1639">
        <v>38033144</v>
      </c>
      <c r="P1639">
        <v>65</v>
      </c>
      <c r="Q1639" t="s">
        <v>3591</v>
      </c>
    </row>
    <row r="1640" spans="1:17" x14ac:dyDescent="0.3">
      <c r="A1640" t="s">
        <v>33</v>
      </c>
      <c r="B1640" t="str">
        <f>"002478"</f>
        <v>002478</v>
      </c>
      <c r="C1640" t="s">
        <v>3592</v>
      </c>
      <c r="D1640" t="s">
        <v>253</v>
      </c>
      <c r="E1640">
        <v>22710359</v>
      </c>
      <c r="F1640">
        <v>-18958972</v>
      </c>
      <c r="G1640">
        <v>106263817</v>
      </c>
      <c r="H1640">
        <v>-141462445</v>
      </c>
      <c r="I1640">
        <v>-32427166</v>
      </c>
      <c r="J1640">
        <v>-18531225</v>
      </c>
      <c r="K1640">
        <v>37828925</v>
      </c>
      <c r="L1640">
        <v>-53888830</v>
      </c>
      <c r="M1640">
        <v>126636464</v>
      </c>
      <c r="N1640">
        <v>112297308</v>
      </c>
      <c r="O1640">
        <v>-69029030</v>
      </c>
      <c r="P1640">
        <v>208</v>
      </c>
      <c r="Q1640" t="s">
        <v>3593</v>
      </c>
    </row>
    <row r="1641" spans="1:17" x14ac:dyDescent="0.3">
      <c r="A1641" t="s">
        <v>17</v>
      </c>
      <c r="B1641" t="str">
        <f>"603048"</f>
        <v>603048</v>
      </c>
      <c r="C1641" t="s">
        <v>3594</v>
      </c>
      <c r="D1641" t="s">
        <v>1419</v>
      </c>
      <c r="E1641">
        <v>22668562</v>
      </c>
      <c r="P1641">
        <v>16</v>
      </c>
      <c r="Q1641" t="s">
        <v>3595</v>
      </c>
    </row>
    <row r="1642" spans="1:17" x14ac:dyDescent="0.3">
      <c r="A1642" t="s">
        <v>33</v>
      </c>
      <c r="B1642" t="str">
        <f>"300117"</f>
        <v>300117</v>
      </c>
      <c r="C1642" t="s">
        <v>3596</v>
      </c>
      <c r="D1642" t="s">
        <v>1454</v>
      </c>
      <c r="E1642">
        <v>22663090</v>
      </c>
      <c r="F1642">
        <v>5625905</v>
      </c>
      <c r="G1642">
        <v>-29060362</v>
      </c>
      <c r="H1642">
        <v>-96156899</v>
      </c>
      <c r="I1642">
        <v>-124755247</v>
      </c>
      <c r="J1642">
        <v>-96587374</v>
      </c>
      <c r="K1642">
        <v>3643160</v>
      </c>
      <c r="L1642">
        <v>-60664264</v>
      </c>
      <c r="M1642">
        <v>-15199845</v>
      </c>
      <c r="N1642">
        <v>-127795169</v>
      </c>
      <c r="O1642">
        <v>-93745493</v>
      </c>
      <c r="P1642">
        <v>179</v>
      </c>
      <c r="Q1642" t="s">
        <v>3597</v>
      </c>
    </row>
    <row r="1643" spans="1:17" x14ac:dyDescent="0.3">
      <c r="A1643" t="s">
        <v>33</v>
      </c>
      <c r="B1643" t="str">
        <f>"000554"</f>
        <v>000554</v>
      </c>
      <c r="C1643" t="s">
        <v>3598</v>
      </c>
      <c r="D1643" t="s">
        <v>323</v>
      </c>
      <c r="E1643">
        <v>22655501</v>
      </c>
      <c r="F1643">
        <v>-49465551</v>
      </c>
      <c r="G1643">
        <v>204830309</v>
      </c>
      <c r="H1643">
        <v>164695550</v>
      </c>
      <c r="I1643">
        <v>-17330008</v>
      </c>
      <c r="J1643">
        <v>72432101</v>
      </c>
      <c r="K1643">
        <v>-3142786</v>
      </c>
      <c r="L1643">
        <v>58129599</v>
      </c>
      <c r="M1643">
        <v>-7724655</v>
      </c>
      <c r="N1643">
        <v>13569518</v>
      </c>
      <c r="O1643">
        <v>50896579</v>
      </c>
      <c r="P1643">
        <v>112</v>
      </c>
      <c r="Q1643" t="s">
        <v>3599</v>
      </c>
    </row>
    <row r="1644" spans="1:17" x14ac:dyDescent="0.3">
      <c r="A1644" t="s">
        <v>33</v>
      </c>
      <c r="B1644" t="str">
        <f>"002431"</f>
        <v>002431</v>
      </c>
      <c r="C1644" t="s">
        <v>3600</v>
      </c>
      <c r="D1644" t="s">
        <v>2330</v>
      </c>
      <c r="E1644">
        <v>22543073</v>
      </c>
      <c r="F1644">
        <v>-113814231</v>
      </c>
      <c r="G1644">
        <v>-639392405</v>
      </c>
      <c r="H1644">
        <v>-181417653</v>
      </c>
      <c r="I1644">
        <v>-157355168</v>
      </c>
      <c r="J1644">
        <v>-215549545</v>
      </c>
      <c r="K1644">
        <v>-149573423</v>
      </c>
      <c r="L1644">
        <v>-183746215</v>
      </c>
      <c r="M1644">
        <v>-234189894</v>
      </c>
      <c r="N1644">
        <v>-111682336</v>
      </c>
      <c r="O1644">
        <v>-169697170</v>
      </c>
      <c r="P1644">
        <v>124</v>
      </c>
      <c r="Q1644" t="s">
        <v>3601</v>
      </c>
    </row>
    <row r="1645" spans="1:17" x14ac:dyDescent="0.3">
      <c r="A1645" t="s">
        <v>33</v>
      </c>
      <c r="B1645" t="str">
        <f>"301258"</f>
        <v>301258</v>
      </c>
      <c r="C1645" t="s">
        <v>3602</v>
      </c>
      <c r="E1645">
        <v>22441787</v>
      </c>
      <c r="P1645">
        <v>4</v>
      </c>
      <c r="Q1645" t="s">
        <v>3603</v>
      </c>
    </row>
    <row r="1646" spans="1:17" x14ac:dyDescent="0.3">
      <c r="A1646" t="s">
        <v>33</v>
      </c>
      <c r="B1646" t="str">
        <f>"002055"</f>
        <v>002055</v>
      </c>
      <c r="C1646" t="s">
        <v>3604</v>
      </c>
      <c r="D1646" t="s">
        <v>226</v>
      </c>
      <c r="E1646">
        <v>22409709</v>
      </c>
      <c r="F1646">
        <v>-278859604</v>
      </c>
      <c r="G1646">
        <v>117901981</v>
      </c>
      <c r="H1646">
        <v>1207561</v>
      </c>
      <c r="I1646">
        <v>-236744500</v>
      </c>
      <c r="J1646">
        <v>-237987194</v>
      </c>
      <c r="K1646">
        <v>-182910371</v>
      </c>
      <c r="L1646">
        <v>-142311514</v>
      </c>
      <c r="M1646">
        <v>36371909</v>
      </c>
      <c r="N1646">
        <v>-18043167</v>
      </c>
      <c r="O1646">
        <v>53850322</v>
      </c>
      <c r="P1646">
        <v>245</v>
      </c>
      <c r="Q1646" t="s">
        <v>3605</v>
      </c>
    </row>
    <row r="1647" spans="1:17" x14ac:dyDescent="0.3">
      <c r="A1647" t="s">
        <v>33</v>
      </c>
      <c r="B1647" t="str">
        <f>"002192"</f>
        <v>002192</v>
      </c>
      <c r="C1647" t="s">
        <v>3606</v>
      </c>
      <c r="D1647" t="s">
        <v>1549</v>
      </c>
      <c r="E1647">
        <v>22382110</v>
      </c>
      <c r="F1647">
        <v>21007280</v>
      </c>
      <c r="G1647">
        <v>-20891426</v>
      </c>
      <c r="H1647">
        <v>-31846415</v>
      </c>
      <c r="I1647">
        <v>-25104445</v>
      </c>
      <c r="J1647">
        <v>-11070896</v>
      </c>
      <c r="K1647">
        <v>-2602902</v>
      </c>
      <c r="L1647">
        <v>6062991</v>
      </c>
      <c r="M1647">
        <v>-7244899</v>
      </c>
      <c r="N1647">
        <v>-41066921</v>
      </c>
      <c r="O1647">
        <v>1816865</v>
      </c>
      <c r="P1647">
        <v>230</v>
      </c>
      <c r="Q1647" t="s">
        <v>3607</v>
      </c>
    </row>
    <row r="1648" spans="1:17" x14ac:dyDescent="0.3">
      <c r="A1648" t="s">
        <v>33</v>
      </c>
      <c r="B1648" t="str">
        <f>"300967"</f>
        <v>300967</v>
      </c>
      <c r="C1648" t="s">
        <v>3608</v>
      </c>
      <c r="D1648" t="s">
        <v>1285</v>
      </c>
      <c r="E1648">
        <v>22294118</v>
      </c>
      <c r="F1648">
        <v>30670534</v>
      </c>
      <c r="G1648">
        <v>12397972</v>
      </c>
      <c r="P1648">
        <v>34</v>
      </c>
      <c r="Q1648" t="s">
        <v>3609</v>
      </c>
    </row>
    <row r="1649" spans="1:17" x14ac:dyDescent="0.3">
      <c r="A1649" t="s">
        <v>33</v>
      </c>
      <c r="B1649" t="str">
        <f>"300630"</f>
        <v>300630</v>
      </c>
      <c r="C1649" t="s">
        <v>3610</v>
      </c>
      <c r="D1649" t="s">
        <v>590</v>
      </c>
      <c r="E1649">
        <v>22275788</v>
      </c>
      <c r="F1649">
        <v>11299485</v>
      </c>
      <c r="G1649">
        <v>6413838</v>
      </c>
      <c r="H1649">
        <v>4776420</v>
      </c>
      <c r="I1649">
        <v>1769235</v>
      </c>
      <c r="J1649">
        <v>952744</v>
      </c>
      <c r="K1649">
        <v>758248</v>
      </c>
      <c r="P1649">
        <v>1261</v>
      </c>
      <c r="Q1649" t="s">
        <v>3611</v>
      </c>
    </row>
    <row r="1650" spans="1:17" x14ac:dyDescent="0.3">
      <c r="A1650" t="s">
        <v>33</v>
      </c>
      <c r="B1650" t="str">
        <f>"300776"</f>
        <v>300776</v>
      </c>
      <c r="C1650" t="s">
        <v>3612</v>
      </c>
      <c r="D1650" t="s">
        <v>715</v>
      </c>
      <c r="E1650">
        <v>22204059</v>
      </c>
      <c r="F1650">
        <v>78399406</v>
      </c>
      <c r="G1650">
        <v>-3559101</v>
      </c>
      <c r="H1650">
        <v>-4279611</v>
      </c>
      <c r="I1650">
        <v>-13360263</v>
      </c>
      <c r="P1650">
        <v>397</v>
      </c>
      <c r="Q1650" t="s">
        <v>3613</v>
      </c>
    </row>
    <row r="1651" spans="1:17" x14ac:dyDescent="0.3">
      <c r="A1651" t="s">
        <v>33</v>
      </c>
      <c r="B1651" t="str">
        <f>"300840"</f>
        <v>300840</v>
      </c>
      <c r="C1651" t="s">
        <v>3614</v>
      </c>
      <c r="D1651" t="s">
        <v>581</v>
      </c>
      <c r="E1651">
        <v>22182841</v>
      </c>
      <c r="F1651">
        <v>6551351</v>
      </c>
      <c r="G1651">
        <v>1208570</v>
      </c>
      <c r="P1651">
        <v>64</v>
      </c>
      <c r="Q1651" t="s">
        <v>3615</v>
      </c>
    </row>
    <row r="1652" spans="1:17" x14ac:dyDescent="0.3">
      <c r="A1652" t="s">
        <v>17</v>
      </c>
      <c r="B1652" t="str">
        <f>"600717"</f>
        <v>600717</v>
      </c>
      <c r="C1652" t="s">
        <v>3616</v>
      </c>
      <c r="D1652" t="s">
        <v>289</v>
      </c>
      <c r="E1652">
        <v>22168257</v>
      </c>
      <c r="F1652">
        <v>195514670</v>
      </c>
      <c r="G1652">
        <v>678585333</v>
      </c>
      <c r="H1652">
        <v>510061467</v>
      </c>
      <c r="I1652">
        <v>334417466</v>
      </c>
      <c r="J1652">
        <v>272634428</v>
      </c>
      <c r="K1652">
        <v>827345482</v>
      </c>
      <c r="L1652">
        <v>814950748</v>
      </c>
      <c r="M1652">
        <v>491865359</v>
      </c>
      <c r="N1652">
        <v>327753396</v>
      </c>
      <c r="O1652">
        <v>294564674</v>
      </c>
      <c r="P1652">
        <v>262</v>
      </c>
      <c r="Q1652" t="s">
        <v>3617</v>
      </c>
    </row>
    <row r="1653" spans="1:17" x14ac:dyDescent="0.3">
      <c r="A1653" t="s">
        <v>33</v>
      </c>
      <c r="B1653" t="str">
        <f>"300294"</f>
        <v>300294</v>
      </c>
      <c r="C1653" t="s">
        <v>3618</v>
      </c>
      <c r="D1653" t="s">
        <v>954</v>
      </c>
      <c r="E1653">
        <v>22146973</v>
      </c>
      <c r="F1653">
        <v>159306576</v>
      </c>
      <c r="G1653">
        <v>70048131</v>
      </c>
      <c r="H1653">
        <v>-82449829</v>
      </c>
      <c r="I1653">
        <v>-13071386</v>
      </c>
      <c r="J1653">
        <v>-33523371</v>
      </c>
      <c r="K1653">
        <v>-2513149</v>
      </c>
      <c r="L1653">
        <v>-4445918</v>
      </c>
      <c r="M1653">
        <v>22878765</v>
      </c>
      <c r="N1653">
        <v>19045408</v>
      </c>
      <c r="O1653">
        <v>11961635</v>
      </c>
      <c r="P1653">
        <v>495</v>
      </c>
      <c r="Q1653" t="s">
        <v>3619</v>
      </c>
    </row>
    <row r="1654" spans="1:17" x14ac:dyDescent="0.3">
      <c r="A1654" t="s">
        <v>33</v>
      </c>
      <c r="B1654" t="str">
        <f>"000929"</f>
        <v>000929</v>
      </c>
      <c r="C1654" t="s">
        <v>3620</v>
      </c>
      <c r="D1654" t="s">
        <v>481</v>
      </c>
      <c r="E1654">
        <v>22131618</v>
      </c>
      <c r="F1654">
        <v>45342268</v>
      </c>
      <c r="G1654">
        <v>-6561196</v>
      </c>
      <c r="H1654">
        <v>31798503</v>
      </c>
      <c r="I1654">
        <v>56903119</v>
      </c>
      <c r="J1654">
        <v>33648144</v>
      </c>
      <c r="K1654">
        <v>47421796</v>
      </c>
      <c r="L1654">
        <v>17592761</v>
      </c>
      <c r="M1654">
        <v>87282799</v>
      </c>
      <c r="N1654">
        <v>64738269</v>
      </c>
      <c r="O1654">
        <v>39224336</v>
      </c>
      <c r="P1654">
        <v>144</v>
      </c>
      <c r="Q1654" t="s">
        <v>3621</v>
      </c>
    </row>
    <row r="1655" spans="1:17" x14ac:dyDescent="0.3">
      <c r="A1655" t="s">
        <v>33</v>
      </c>
      <c r="B1655" t="str">
        <f>"300074"</f>
        <v>300074</v>
      </c>
      <c r="C1655" t="s">
        <v>3622</v>
      </c>
      <c r="D1655" t="s">
        <v>807</v>
      </c>
      <c r="E1655">
        <v>22064435</v>
      </c>
      <c r="F1655">
        <v>-51281366</v>
      </c>
      <c r="G1655">
        <v>-30015781</v>
      </c>
      <c r="H1655">
        <v>-25212467</v>
      </c>
      <c r="I1655">
        <v>-65651403</v>
      </c>
      <c r="J1655">
        <v>-69100845</v>
      </c>
      <c r="K1655">
        <v>-30703184</v>
      </c>
      <c r="L1655">
        <v>-21564846</v>
      </c>
      <c r="M1655">
        <v>-4695782</v>
      </c>
      <c r="N1655">
        <v>-37373186</v>
      </c>
      <c r="O1655">
        <v>-18389096</v>
      </c>
      <c r="P1655">
        <v>162</v>
      </c>
      <c r="Q1655" t="s">
        <v>3623</v>
      </c>
    </row>
    <row r="1656" spans="1:17" x14ac:dyDescent="0.3">
      <c r="A1656" t="s">
        <v>33</v>
      </c>
      <c r="B1656" t="str">
        <f>"000917"</f>
        <v>000917</v>
      </c>
      <c r="C1656" t="s">
        <v>3624</v>
      </c>
      <c r="D1656" t="s">
        <v>1074</v>
      </c>
      <c r="E1656">
        <v>22045815</v>
      </c>
      <c r="F1656">
        <v>521898015</v>
      </c>
      <c r="G1656">
        <v>48912825</v>
      </c>
      <c r="H1656">
        <v>34649984</v>
      </c>
      <c r="I1656">
        <v>468882326</v>
      </c>
      <c r="J1656">
        <v>-247699564</v>
      </c>
      <c r="K1656">
        <v>95498899</v>
      </c>
      <c r="L1656">
        <v>67591390</v>
      </c>
      <c r="M1656">
        <v>-684274619</v>
      </c>
      <c r="N1656">
        <v>294436856</v>
      </c>
      <c r="O1656">
        <v>-3288629</v>
      </c>
      <c r="P1656">
        <v>267</v>
      </c>
      <c r="Q1656" t="s">
        <v>3625</v>
      </c>
    </row>
    <row r="1657" spans="1:17" x14ac:dyDescent="0.3">
      <c r="A1657" t="s">
        <v>17</v>
      </c>
      <c r="B1657" t="str">
        <f>"600963"</f>
        <v>600963</v>
      </c>
      <c r="C1657" t="s">
        <v>3626</v>
      </c>
      <c r="D1657" t="s">
        <v>514</v>
      </c>
      <c r="E1657">
        <v>22027376</v>
      </c>
      <c r="F1657">
        <v>29351775</v>
      </c>
      <c r="G1657">
        <v>263203643</v>
      </c>
      <c r="H1657">
        <v>215748665</v>
      </c>
      <c r="I1657">
        <v>271526622</v>
      </c>
      <c r="J1657">
        <v>451206030</v>
      </c>
      <c r="K1657">
        <v>-236488054</v>
      </c>
      <c r="L1657">
        <v>9142927</v>
      </c>
      <c r="M1657">
        <v>534854218</v>
      </c>
      <c r="N1657">
        <v>62415691</v>
      </c>
      <c r="O1657">
        <v>-423977844</v>
      </c>
      <c r="P1657">
        <v>201</v>
      </c>
      <c r="Q1657" t="s">
        <v>3627</v>
      </c>
    </row>
    <row r="1658" spans="1:17" x14ac:dyDescent="0.3">
      <c r="A1658" t="s">
        <v>33</v>
      </c>
      <c r="B1658" t="str">
        <f>"300399"</f>
        <v>300399</v>
      </c>
      <c r="C1658" t="s">
        <v>3628</v>
      </c>
      <c r="D1658" t="s">
        <v>508</v>
      </c>
      <c r="E1658">
        <v>22014886</v>
      </c>
      <c r="F1658">
        <v>5655914</v>
      </c>
      <c r="G1658">
        <v>-7112204</v>
      </c>
      <c r="H1658">
        <v>-20344636</v>
      </c>
      <c r="I1658">
        <v>-31183095</v>
      </c>
      <c r="J1658">
        <v>-18904332</v>
      </c>
      <c r="K1658">
        <v>-18976779</v>
      </c>
      <c r="L1658">
        <v>5847363</v>
      </c>
      <c r="M1658">
        <v>-17198753</v>
      </c>
      <c r="P1658">
        <v>80</v>
      </c>
      <c r="Q1658" t="s">
        <v>3629</v>
      </c>
    </row>
    <row r="1659" spans="1:17" x14ac:dyDescent="0.3">
      <c r="A1659" t="s">
        <v>33</v>
      </c>
      <c r="B1659" t="str">
        <f>"002374"</f>
        <v>002374</v>
      </c>
      <c r="C1659" t="s">
        <v>3630</v>
      </c>
      <c r="D1659" t="s">
        <v>2115</v>
      </c>
      <c r="E1659">
        <v>22001430</v>
      </c>
      <c r="F1659">
        <v>192594112</v>
      </c>
      <c r="G1659">
        <v>-58592296</v>
      </c>
      <c r="H1659">
        <v>-30516326</v>
      </c>
      <c r="I1659">
        <v>-219954837</v>
      </c>
      <c r="J1659">
        <v>-169131631</v>
      </c>
      <c r="K1659">
        <v>-155472748</v>
      </c>
      <c r="L1659">
        <v>-1282285</v>
      </c>
      <c r="M1659">
        <v>18910929</v>
      </c>
      <c r="N1659">
        <v>13097753</v>
      </c>
      <c r="O1659">
        <v>13793765</v>
      </c>
      <c r="P1659">
        <v>92</v>
      </c>
      <c r="Q1659" t="s">
        <v>3631</v>
      </c>
    </row>
    <row r="1660" spans="1:17" x14ac:dyDescent="0.3">
      <c r="A1660" t="s">
        <v>33</v>
      </c>
      <c r="B1660" t="str">
        <f>"300538"</f>
        <v>300538</v>
      </c>
      <c r="C1660" t="s">
        <v>3632</v>
      </c>
      <c r="D1660" t="s">
        <v>1556</v>
      </c>
      <c r="E1660">
        <v>21973271</v>
      </c>
      <c r="F1660">
        <v>-136219789</v>
      </c>
      <c r="G1660">
        <v>-25828290</v>
      </c>
      <c r="H1660">
        <v>-15133213</v>
      </c>
      <c r="I1660">
        <v>14823418</v>
      </c>
      <c r="J1660">
        <v>-32088461</v>
      </c>
      <c r="K1660">
        <v>10535618</v>
      </c>
      <c r="P1660">
        <v>186</v>
      </c>
      <c r="Q1660" t="s">
        <v>3633</v>
      </c>
    </row>
    <row r="1661" spans="1:17" x14ac:dyDescent="0.3">
      <c r="A1661" t="s">
        <v>17</v>
      </c>
      <c r="B1661" t="str">
        <f>"603697"</f>
        <v>603697</v>
      </c>
      <c r="C1661" t="s">
        <v>3634</v>
      </c>
      <c r="D1661" t="s">
        <v>1157</v>
      </c>
      <c r="E1661">
        <v>21817390</v>
      </c>
      <c r="F1661">
        <v>96711752</v>
      </c>
      <c r="G1661">
        <v>96369041</v>
      </c>
      <c r="H1661">
        <v>65574031</v>
      </c>
      <c r="I1661">
        <v>58757590</v>
      </c>
      <c r="P1661">
        <v>394</v>
      </c>
      <c r="Q1661" t="s">
        <v>3635</v>
      </c>
    </row>
    <row r="1662" spans="1:17" x14ac:dyDescent="0.3">
      <c r="A1662" t="s">
        <v>33</v>
      </c>
      <c r="B1662" t="str">
        <f>"300852"</f>
        <v>300852</v>
      </c>
      <c r="C1662" t="s">
        <v>3636</v>
      </c>
      <c r="D1662" t="s">
        <v>239</v>
      </c>
      <c r="E1662">
        <v>21746883</v>
      </c>
      <c r="F1662">
        <v>-2133696</v>
      </c>
      <c r="G1662">
        <v>20797541</v>
      </c>
      <c r="H1662">
        <v>19218498</v>
      </c>
      <c r="P1662">
        <v>103</v>
      </c>
      <c r="Q1662" t="s">
        <v>3637</v>
      </c>
    </row>
    <row r="1663" spans="1:17" x14ac:dyDescent="0.3">
      <c r="A1663" t="s">
        <v>33</v>
      </c>
      <c r="B1663" t="str">
        <f>"002046"</f>
        <v>002046</v>
      </c>
      <c r="C1663" t="s">
        <v>3638</v>
      </c>
      <c r="D1663" t="s">
        <v>164</v>
      </c>
      <c r="E1663">
        <v>21670779</v>
      </c>
      <c r="F1663">
        <v>-124769638</v>
      </c>
      <c r="G1663">
        <v>-10740409</v>
      </c>
      <c r="H1663">
        <v>-66678983</v>
      </c>
      <c r="I1663">
        <v>-175223812</v>
      </c>
      <c r="J1663">
        <v>-52429496</v>
      </c>
      <c r="K1663">
        <v>-43600897</v>
      </c>
      <c r="L1663">
        <v>-32314237</v>
      </c>
      <c r="M1663">
        <v>-17192649</v>
      </c>
      <c r="N1663">
        <v>-62484339</v>
      </c>
      <c r="O1663">
        <v>-38495185</v>
      </c>
      <c r="P1663">
        <v>148</v>
      </c>
      <c r="Q1663" t="s">
        <v>3639</v>
      </c>
    </row>
    <row r="1664" spans="1:17" x14ac:dyDescent="0.3">
      <c r="A1664" t="s">
        <v>33</v>
      </c>
      <c r="B1664" t="str">
        <f>"300669"</f>
        <v>300669</v>
      </c>
      <c r="C1664" t="s">
        <v>3640</v>
      </c>
      <c r="D1664" t="s">
        <v>2528</v>
      </c>
      <c r="E1664">
        <v>21537673</v>
      </c>
      <c r="F1664">
        <v>11650576</v>
      </c>
      <c r="G1664">
        <v>27320294</v>
      </c>
      <c r="H1664">
        <v>7141025</v>
      </c>
      <c r="I1664">
        <v>7447796</v>
      </c>
      <c r="J1664">
        <v>21231022</v>
      </c>
      <c r="K1664">
        <v>17435986</v>
      </c>
      <c r="P1664">
        <v>102</v>
      </c>
      <c r="Q1664" t="s">
        <v>3641</v>
      </c>
    </row>
    <row r="1665" spans="1:17" x14ac:dyDescent="0.3">
      <c r="A1665" t="s">
        <v>33</v>
      </c>
      <c r="B1665" t="str">
        <f>"301062"</f>
        <v>301062</v>
      </c>
      <c r="C1665" t="s">
        <v>3642</v>
      </c>
      <c r="D1665" t="s">
        <v>1015</v>
      </c>
      <c r="E1665">
        <v>21480223</v>
      </c>
      <c r="P1665">
        <v>13</v>
      </c>
      <c r="Q1665" t="s">
        <v>3643</v>
      </c>
    </row>
    <row r="1666" spans="1:17" x14ac:dyDescent="0.3">
      <c r="A1666" t="s">
        <v>17</v>
      </c>
      <c r="B1666" t="str">
        <f>"603967"</f>
        <v>603967</v>
      </c>
      <c r="C1666" t="s">
        <v>3644</v>
      </c>
      <c r="D1666" t="s">
        <v>272</v>
      </c>
      <c r="E1666">
        <v>21427400</v>
      </c>
      <c r="F1666">
        <v>-48263886</v>
      </c>
      <c r="G1666">
        <v>-23799553</v>
      </c>
      <c r="H1666">
        <v>41621101</v>
      </c>
      <c r="I1666">
        <v>61664054</v>
      </c>
      <c r="P1666">
        <v>85</v>
      </c>
      <c r="Q1666" t="s">
        <v>3645</v>
      </c>
    </row>
    <row r="1667" spans="1:17" x14ac:dyDescent="0.3">
      <c r="A1667" t="s">
        <v>17</v>
      </c>
      <c r="B1667" t="str">
        <f>"603080"</f>
        <v>603080</v>
      </c>
      <c r="C1667" t="s">
        <v>3646</v>
      </c>
      <c r="D1667" t="s">
        <v>649</v>
      </c>
      <c r="E1667">
        <v>21393197</v>
      </c>
      <c r="F1667">
        <v>-36879724</v>
      </c>
      <c r="G1667">
        <v>-29551546</v>
      </c>
      <c r="H1667">
        <v>-2213979</v>
      </c>
      <c r="I1667">
        <v>-14830093</v>
      </c>
      <c r="J1667">
        <v>4091926</v>
      </c>
      <c r="P1667">
        <v>93</v>
      </c>
      <c r="Q1667" t="s">
        <v>3647</v>
      </c>
    </row>
    <row r="1668" spans="1:17" x14ac:dyDescent="0.3">
      <c r="A1668" t="s">
        <v>33</v>
      </c>
      <c r="B1668" t="str">
        <f>"300016"</f>
        <v>300016</v>
      </c>
      <c r="C1668" t="s">
        <v>3648</v>
      </c>
      <c r="D1668" t="s">
        <v>590</v>
      </c>
      <c r="E1668">
        <v>21378261</v>
      </c>
      <c r="F1668">
        <v>47201000</v>
      </c>
      <c r="G1668">
        <v>54574320</v>
      </c>
      <c r="H1668">
        <v>48047149</v>
      </c>
      <c r="I1668">
        <v>39363180</v>
      </c>
      <c r="J1668">
        <v>68954551</v>
      </c>
      <c r="K1668">
        <v>34533186</v>
      </c>
      <c r="L1668">
        <v>9103407</v>
      </c>
      <c r="M1668">
        <v>-16553753</v>
      </c>
      <c r="N1668">
        <v>-3741230</v>
      </c>
      <c r="O1668">
        <v>-16536786</v>
      </c>
      <c r="P1668">
        <v>305</v>
      </c>
      <c r="Q1668" t="s">
        <v>3649</v>
      </c>
    </row>
    <row r="1669" spans="1:17" x14ac:dyDescent="0.3">
      <c r="A1669" t="s">
        <v>33</v>
      </c>
      <c r="B1669" t="str">
        <f>"002358"</f>
        <v>002358</v>
      </c>
      <c r="C1669" t="s">
        <v>3650</v>
      </c>
      <c r="D1669" t="s">
        <v>298</v>
      </c>
      <c r="E1669">
        <v>21369906</v>
      </c>
      <c r="F1669">
        <v>5778332</v>
      </c>
      <c r="G1669">
        <v>-105414930</v>
      </c>
      <c r="H1669">
        <v>692592716</v>
      </c>
      <c r="I1669">
        <v>-261548962</v>
      </c>
      <c r="J1669">
        <v>-316575699</v>
      </c>
      <c r="K1669">
        <v>-199370239</v>
      </c>
      <c r="L1669">
        <v>-8416518</v>
      </c>
      <c r="M1669">
        <v>-105814497</v>
      </c>
      <c r="N1669">
        <v>-89735723</v>
      </c>
      <c r="O1669">
        <v>-97310256</v>
      </c>
      <c r="P1669">
        <v>142</v>
      </c>
      <c r="Q1669" t="s">
        <v>3651</v>
      </c>
    </row>
    <row r="1670" spans="1:17" x14ac:dyDescent="0.3">
      <c r="A1670" t="s">
        <v>33</v>
      </c>
      <c r="B1670" t="str">
        <f>"002553"</f>
        <v>002553</v>
      </c>
      <c r="C1670" t="s">
        <v>3652</v>
      </c>
      <c r="D1670" t="s">
        <v>858</v>
      </c>
      <c r="E1670">
        <v>21239997</v>
      </c>
      <c r="F1670">
        <v>20363028</v>
      </c>
      <c r="G1670">
        <v>18783693</v>
      </c>
      <c r="H1670">
        <v>14464281</v>
      </c>
      <c r="I1670">
        <v>16593674</v>
      </c>
      <c r="J1670">
        <v>16353687</v>
      </c>
      <c r="K1670">
        <v>21388065</v>
      </c>
      <c r="L1670">
        <v>16268631</v>
      </c>
      <c r="M1670">
        <v>11521554</v>
      </c>
      <c r="N1670">
        <v>22061523</v>
      </c>
      <c r="O1670">
        <v>21609625</v>
      </c>
      <c r="P1670">
        <v>140</v>
      </c>
      <c r="Q1670" t="s">
        <v>3653</v>
      </c>
    </row>
    <row r="1671" spans="1:17" x14ac:dyDescent="0.3">
      <c r="A1671" t="s">
        <v>17</v>
      </c>
      <c r="B1671" t="str">
        <f>"688091"</f>
        <v>688091</v>
      </c>
      <c r="C1671" t="s">
        <v>3654</v>
      </c>
      <c r="D1671" t="s">
        <v>590</v>
      </c>
      <c r="E1671">
        <v>21232493</v>
      </c>
      <c r="G1671">
        <v>-7339918</v>
      </c>
      <c r="P1671">
        <v>14</v>
      </c>
      <c r="Q1671" t="s">
        <v>3655</v>
      </c>
    </row>
    <row r="1672" spans="1:17" x14ac:dyDescent="0.3">
      <c r="A1672" t="s">
        <v>33</v>
      </c>
      <c r="B1672" t="str">
        <f>"002328"</f>
        <v>002328</v>
      </c>
      <c r="C1672" t="s">
        <v>3656</v>
      </c>
      <c r="D1672" t="s">
        <v>1419</v>
      </c>
      <c r="E1672">
        <v>21227613</v>
      </c>
      <c r="F1672">
        <v>60437211</v>
      </c>
      <c r="G1672">
        <v>80962923</v>
      </c>
      <c r="H1672">
        <v>124472455</v>
      </c>
      <c r="I1672">
        <v>82704537</v>
      </c>
      <c r="J1672">
        <v>-17788634</v>
      </c>
      <c r="K1672">
        <v>137099635</v>
      </c>
      <c r="L1672">
        <v>-84033948</v>
      </c>
      <c r="M1672">
        <v>127884600</v>
      </c>
      <c r="N1672">
        <v>38039194</v>
      </c>
      <c r="O1672">
        <v>40732519</v>
      </c>
      <c r="P1672">
        <v>110</v>
      </c>
      <c r="Q1672" t="s">
        <v>3657</v>
      </c>
    </row>
    <row r="1673" spans="1:17" x14ac:dyDescent="0.3">
      <c r="A1673" t="s">
        <v>33</v>
      </c>
      <c r="B1673" t="str">
        <f>"002094"</f>
        <v>002094</v>
      </c>
      <c r="C1673" t="s">
        <v>3658</v>
      </c>
      <c r="D1673" t="s">
        <v>2110</v>
      </c>
      <c r="E1673">
        <v>21178843</v>
      </c>
      <c r="F1673">
        <v>-255005340</v>
      </c>
      <c r="G1673">
        <v>-231299318</v>
      </c>
      <c r="H1673">
        <v>-349087459</v>
      </c>
      <c r="I1673">
        <v>-268462568</v>
      </c>
      <c r="J1673">
        <v>-145111323</v>
      </c>
      <c r="K1673">
        <v>-104792446</v>
      </c>
      <c r="L1673">
        <v>13257609</v>
      </c>
      <c r="M1673">
        <v>1866556</v>
      </c>
      <c r="N1673">
        <v>-109341456</v>
      </c>
      <c r="O1673">
        <v>-67725476</v>
      </c>
      <c r="P1673">
        <v>183</v>
      </c>
      <c r="Q1673" t="s">
        <v>3659</v>
      </c>
    </row>
    <row r="1674" spans="1:17" x14ac:dyDescent="0.3">
      <c r="A1674" t="s">
        <v>17</v>
      </c>
      <c r="B1674" t="str">
        <f>"603505"</f>
        <v>603505</v>
      </c>
      <c r="C1674" t="s">
        <v>3660</v>
      </c>
      <c r="D1674" t="s">
        <v>881</v>
      </c>
      <c r="E1674">
        <v>21138295</v>
      </c>
      <c r="F1674">
        <v>82166117</v>
      </c>
      <c r="G1674">
        <v>10921456</v>
      </c>
      <c r="H1674">
        <v>18115782</v>
      </c>
      <c r="I1674">
        <v>2438342</v>
      </c>
      <c r="J1674">
        <v>13985113</v>
      </c>
      <c r="K1674">
        <v>-8970168</v>
      </c>
      <c r="P1674">
        <v>325</v>
      </c>
      <c r="Q1674" t="s">
        <v>3661</v>
      </c>
    </row>
    <row r="1675" spans="1:17" x14ac:dyDescent="0.3">
      <c r="A1675" t="s">
        <v>17</v>
      </c>
      <c r="B1675" t="str">
        <f>"688100"</f>
        <v>688100</v>
      </c>
      <c r="C1675" t="s">
        <v>3662</v>
      </c>
      <c r="D1675" t="s">
        <v>1347</v>
      </c>
      <c r="E1675">
        <v>21130358</v>
      </c>
      <c r="F1675">
        <v>5031395</v>
      </c>
      <c r="G1675">
        <v>40909667</v>
      </c>
      <c r="H1675">
        <v>101557034</v>
      </c>
      <c r="P1675">
        <v>103</v>
      </c>
      <c r="Q1675" t="s">
        <v>3663</v>
      </c>
    </row>
    <row r="1676" spans="1:17" x14ac:dyDescent="0.3">
      <c r="A1676" t="s">
        <v>17</v>
      </c>
      <c r="B1676" t="str">
        <f>"603519"</f>
        <v>603519</v>
      </c>
      <c r="C1676" t="s">
        <v>3664</v>
      </c>
      <c r="D1676" t="s">
        <v>1869</v>
      </c>
      <c r="E1676">
        <v>21090055</v>
      </c>
      <c r="F1676">
        <v>-55610812</v>
      </c>
      <c r="G1676">
        <v>24704300</v>
      </c>
      <c r="H1676">
        <v>10445939</v>
      </c>
      <c r="I1676">
        <v>20962386</v>
      </c>
      <c r="J1676">
        <v>-8142206</v>
      </c>
      <c r="K1676">
        <v>35848188</v>
      </c>
      <c r="L1676">
        <v>979183</v>
      </c>
      <c r="M1676">
        <v>-27756290</v>
      </c>
      <c r="P1676">
        <v>148</v>
      </c>
      <c r="Q1676" t="s">
        <v>3665</v>
      </c>
    </row>
    <row r="1677" spans="1:17" x14ac:dyDescent="0.3">
      <c r="A1677" t="s">
        <v>33</v>
      </c>
      <c r="B1677" t="str">
        <f>"002336"</f>
        <v>002336</v>
      </c>
      <c r="C1677" t="s">
        <v>3666</v>
      </c>
      <c r="D1677" t="s">
        <v>279</v>
      </c>
      <c r="E1677">
        <v>21056287</v>
      </c>
      <c r="F1677">
        <v>78734978</v>
      </c>
      <c r="G1677">
        <v>71262531</v>
      </c>
      <c r="H1677">
        <v>47084424</v>
      </c>
      <c r="I1677">
        <v>-6915507</v>
      </c>
      <c r="J1677">
        <v>49457230</v>
      </c>
      <c r="K1677">
        <v>187195621</v>
      </c>
      <c r="L1677">
        <v>26987982</v>
      </c>
      <c r="M1677">
        <v>63227178</v>
      </c>
      <c r="N1677">
        <v>244930341</v>
      </c>
      <c r="O1677">
        <v>217163738</v>
      </c>
      <c r="P1677">
        <v>69</v>
      </c>
      <c r="Q1677" t="s">
        <v>3667</v>
      </c>
    </row>
    <row r="1678" spans="1:17" x14ac:dyDescent="0.3">
      <c r="A1678" t="s">
        <v>33</v>
      </c>
      <c r="B1678" t="str">
        <f>"300144"</f>
        <v>300144</v>
      </c>
      <c r="C1678" t="s">
        <v>3668</v>
      </c>
      <c r="D1678" t="s">
        <v>3669</v>
      </c>
      <c r="E1678">
        <v>21029864</v>
      </c>
      <c r="F1678">
        <v>86395032</v>
      </c>
      <c r="G1678">
        <v>-20444427</v>
      </c>
      <c r="H1678">
        <v>718075274</v>
      </c>
      <c r="I1678">
        <v>467922263</v>
      </c>
      <c r="J1678">
        <v>385629785</v>
      </c>
      <c r="K1678">
        <v>287215652</v>
      </c>
      <c r="L1678">
        <v>169663101</v>
      </c>
      <c r="M1678">
        <v>87970269</v>
      </c>
      <c r="N1678">
        <v>96194461</v>
      </c>
      <c r="O1678">
        <v>71978644</v>
      </c>
      <c r="P1678">
        <v>3022</v>
      </c>
      <c r="Q1678" t="s">
        <v>3670</v>
      </c>
    </row>
    <row r="1679" spans="1:17" x14ac:dyDescent="0.3">
      <c r="A1679" t="s">
        <v>17</v>
      </c>
      <c r="B1679" t="str">
        <f>"603535"</f>
        <v>603535</v>
      </c>
      <c r="C1679" t="s">
        <v>3671</v>
      </c>
      <c r="D1679" t="s">
        <v>272</v>
      </c>
      <c r="E1679">
        <v>20997679</v>
      </c>
      <c r="F1679">
        <v>-45011182</v>
      </c>
      <c r="G1679">
        <v>1414268</v>
      </c>
      <c r="H1679">
        <v>17453891</v>
      </c>
      <c r="I1679">
        <v>18616016</v>
      </c>
      <c r="J1679">
        <v>-57182600</v>
      </c>
      <c r="K1679">
        <v>-43472200</v>
      </c>
      <c r="P1679">
        <v>85</v>
      </c>
      <c r="Q1679" t="s">
        <v>3672</v>
      </c>
    </row>
    <row r="1680" spans="1:17" x14ac:dyDescent="0.3">
      <c r="A1680" t="s">
        <v>33</v>
      </c>
      <c r="B1680" t="str">
        <f>"300539"</f>
        <v>300539</v>
      </c>
      <c r="C1680" t="s">
        <v>3673</v>
      </c>
      <c r="D1680" t="s">
        <v>1483</v>
      </c>
      <c r="E1680">
        <v>20972372</v>
      </c>
      <c r="F1680">
        <v>19428750</v>
      </c>
      <c r="G1680">
        <v>28621913</v>
      </c>
      <c r="H1680">
        <v>15497868</v>
      </c>
      <c r="I1680">
        <v>-7511414</v>
      </c>
      <c r="J1680">
        <v>15507940</v>
      </c>
      <c r="K1680">
        <v>2356517</v>
      </c>
      <c r="P1680">
        <v>84</v>
      </c>
      <c r="Q1680" t="s">
        <v>3674</v>
      </c>
    </row>
    <row r="1681" spans="1:17" x14ac:dyDescent="0.3">
      <c r="A1681" t="s">
        <v>33</v>
      </c>
      <c r="B1681" t="str">
        <f>"301065"</f>
        <v>301065</v>
      </c>
      <c r="C1681" t="s">
        <v>3675</v>
      </c>
      <c r="D1681" t="s">
        <v>418</v>
      </c>
      <c r="E1681">
        <v>20964248</v>
      </c>
      <c r="P1681">
        <v>12</v>
      </c>
      <c r="Q1681" t="s">
        <v>3676</v>
      </c>
    </row>
    <row r="1682" spans="1:17" x14ac:dyDescent="0.3">
      <c r="A1682" t="s">
        <v>33</v>
      </c>
      <c r="B1682" t="str">
        <f>"000856"</f>
        <v>000856</v>
      </c>
      <c r="C1682" t="s">
        <v>3677</v>
      </c>
      <c r="D1682" t="s">
        <v>1895</v>
      </c>
      <c r="E1682">
        <v>20944160</v>
      </c>
      <c r="F1682">
        <v>-59020961</v>
      </c>
      <c r="G1682">
        <v>-7702791</v>
      </c>
      <c r="H1682">
        <v>-101473123</v>
      </c>
      <c r="I1682">
        <v>-106800440</v>
      </c>
      <c r="J1682">
        <v>-36636259</v>
      </c>
      <c r="K1682">
        <v>19034889</v>
      </c>
      <c r="L1682">
        <v>-8422398</v>
      </c>
      <c r="M1682">
        <v>-33055618</v>
      </c>
      <c r="N1682">
        <v>-27845789</v>
      </c>
      <c r="O1682">
        <v>-17818777</v>
      </c>
      <c r="P1682">
        <v>101</v>
      </c>
      <c r="Q1682" t="s">
        <v>3678</v>
      </c>
    </row>
    <row r="1683" spans="1:17" x14ac:dyDescent="0.3">
      <c r="A1683" t="s">
        <v>33</v>
      </c>
      <c r="B1683" t="str">
        <f>"300938"</f>
        <v>300938</v>
      </c>
      <c r="C1683" t="s">
        <v>3679</v>
      </c>
      <c r="D1683" t="s">
        <v>2274</v>
      </c>
      <c r="E1683">
        <v>20928815</v>
      </c>
      <c r="F1683">
        <v>5783187</v>
      </c>
      <c r="G1683">
        <v>-3586433</v>
      </c>
      <c r="P1683">
        <v>43</v>
      </c>
      <c r="Q1683" t="s">
        <v>3680</v>
      </c>
    </row>
    <row r="1684" spans="1:17" x14ac:dyDescent="0.3">
      <c r="A1684" t="s">
        <v>17</v>
      </c>
      <c r="B1684" t="str">
        <f>"603083"</f>
        <v>603083</v>
      </c>
      <c r="C1684" t="s">
        <v>3681</v>
      </c>
      <c r="D1684" t="s">
        <v>1347</v>
      </c>
      <c r="E1684">
        <v>20918101</v>
      </c>
      <c r="F1684">
        <v>-129925794</v>
      </c>
      <c r="G1684">
        <v>-145089258</v>
      </c>
      <c r="H1684">
        <v>91938397</v>
      </c>
      <c r="I1684">
        <v>-104259609</v>
      </c>
      <c r="J1684">
        <v>-86768879</v>
      </c>
      <c r="P1684">
        <v>272</v>
      </c>
      <c r="Q1684" t="s">
        <v>3682</v>
      </c>
    </row>
    <row r="1685" spans="1:17" x14ac:dyDescent="0.3">
      <c r="A1685" t="s">
        <v>33</v>
      </c>
      <c r="B1685" t="str">
        <f>"300494"</f>
        <v>300494</v>
      </c>
      <c r="C1685" t="s">
        <v>3683</v>
      </c>
      <c r="D1685" t="s">
        <v>751</v>
      </c>
      <c r="E1685">
        <v>20909324</v>
      </c>
      <c r="F1685">
        <v>7813514</v>
      </c>
      <c r="G1685">
        <v>-13856017</v>
      </c>
      <c r="H1685">
        <v>-6022979</v>
      </c>
      <c r="I1685">
        <v>-46100447</v>
      </c>
      <c r="J1685">
        <v>-2356607</v>
      </c>
      <c r="K1685">
        <v>-5681846</v>
      </c>
      <c r="L1685">
        <v>20962099</v>
      </c>
      <c r="M1685">
        <v>23959078</v>
      </c>
      <c r="P1685">
        <v>134</v>
      </c>
      <c r="Q1685" t="s">
        <v>3684</v>
      </c>
    </row>
    <row r="1686" spans="1:17" x14ac:dyDescent="0.3">
      <c r="A1686" t="s">
        <v>17</v>
      </c>
      <c r="B1686" t="str">
        <f>"600714"</f>
        <v>600714</v>
      </c>
      <c r="C1686" t="s">
        <v>3685</v>
      </c>
      <c r="D1686" t="s">
        <v>511</v>
      </c>
      <c r="E1686">
        <v>20853146</v>
      </c>
      <c r="F1686">
        <v>-5843608</v>
      </c>
      <c r="G1686">
        <v>-5678790</v>
      </c>
      <c r="H1686">
        <v>41085866</v>
      </c>
      <c r="I1686">
        <v>-1557666</v>
      </c>
      <c r="J1686">
        <v>-1966800</v>
      </c>
      <c r="K1686">
        <v>-40806265</v>
      </c>
      <c r="L1686">
        <v>74639677</v>
      </c>
      <c r="M1686">
        <v>-68809471</v>
      </c>
      <c r="N1686">
        <v>-58460405</v>
      </c>
      <c r="O1686">
        <v>-60373282</v>
      </c>
      <c r="P1686">
        <v>68</v>
      </c>
      <c r="Q1686" t="s">
        <v>3686</v>
      </c>
    </row>
    <row r="1687" spans="1:17" x14ac:dyDescent="0.3">
      <c r="A1687" t="s">
        <v>33</v>
      </c>
      <c r="B1687" t="str">
        <f>"301001"</f>
        <v>301001</v>
      </c>
      <c r="C1687" t="s">
        <v>3687</v>
      </c>
      <c r="D1687" t="s">
        <v>3516</v>
      </c>
      <c r="E1687">
        <v>20847707</v>
      </c>
      <c r="F1687">
        <v>2586184</v>
      </c>
      <c r="G1687">
        <v>36798638</v>
      </c>
      <c r="P1687">
        <v>23</v>
      </c>
      <c r="Q1687" t="s">
        <v>3688</v>
      </c>
    </row>
    <row r="1688" spans="1:17" x14ac:dyDescent="0.3">
      <c r="A1688" t="s">
        <v>17</v>
      </c>
      <c r="B1688" t="str">
        <f>"688026"</f>
        <v>688026</v>
      </c>
      <c r="C1688" t="s">
        <v>3689</v>
      </c>
      <c r="D1688" t="s">
        <v>1483</v>
      </c>
      <c r="E1688">
        <v>20813636</v>
      </c>
      <c r="F1688">
        <v>-1228119</v>
      </c>
      <c r="G1688">
        <v>75427926</v>
      </c>
      <c r="H1688">
        <v>8477865</v>
      </c>
      <c r="P1688">
        <v>211</v>
      </c>
      <c r="Q1688" t="s">
        <v>3690</v>
      </c>
    </row>
    <row r="1689" spans="1:17" x14ac:dyDescent="0.3">
      <c r="A1689" t="s">
        <v>33</v>
      </c>
      <c r="B1689" t="str">
        <f>"002860"</f>
        <v>002860</v>
      </c>
      <c r="C1689" t="s">
        <v>3691</v>
      </c>
      <c r="D1689" t="s">
        <v>1869</v>
      </c>
      <c r="E1689">
        <v>20775243</v>
      </c>
      <c r="F1689">
        <v>-22314327</v>
      </c>
      <c r="G1689">
        <v>43529335</v>
      </c>
      <c r="H1689">
        <v>13404996</v>
      </c>
      <c r="I1689">
        <v>18019915</v>
      </c>
      <c r="J1689">
        <v>18927805</v>
      </c>
      <c r="K1689">
        <v>9110814</v>
      </c>
      <c r="P1689">
        <v>249</v>
      </c>
      <c r="Q1689" t="s">
        <v>3692</v>
      </c>
    </row>
    <row r="1690" spans="1:17" x14ac:dyDescent="0.3">
      <c r="A1690" t="s">
        <v>33</v>
      </c>
      <c r="B1690" t="str">
        <f>"002299"</f>
        <v>002299</v>
      </c>
      <c r="C1690" t="s">
        <v>3693</v>
      </c>
      <c r="D1690" t="s">
        <v>1285</v>
      </c>
      <c r="E1690">
        <v>20760193</v>
      </c>
      <c r="F1690">
        <v>76678470</v>
      </c>
      <c r="G1690">
        <v>668848396</v>
      </c>
      <c r="H1690">
        <v>1093017107</v>
      </c>
      <c r="I1690">
        <v>305127020</v>
      </c>
      <c r="J1690">
        <v>96781323</v>
      </c>
      <c r="K1690">
        <v>74095980</v>
      </c>
      <c r="L1690">
        <v>-97723907</v>
      </c>
      <c r="M1690">
        <v>234209897</v>
      </c>
      <c r="N1690">
        <v>-175729409</v>
      </c>
      <c r="O1690">
        <v>169116251</v>
      </c>
      <c r="P1690">
        <v>1371</v>
      </c>
      <c r="Q1690" t="s">
        <v>3694</v>
      </c>
    </row>
    <row r="1691" spans="1:17" x14ac:dyDescent="0.3">
      <c r="A1691" t="s">
        <v>33</v>
      </c>
      <c r="B1691" t="str">
        <f>"002886"</f>
        <v>002886</v>
      </c>
      <c r="C1691" t="s">
        <v>3695</v>
      </c>
      <c r="D1691" t="s">
        <v>1556</v>
      </c>
      <c r="E1691">
        <v>20729281</v>
      </c>
      <c r="F1691">
        <v>-76969972</v>
      </c>
      <c r="G1691">
        <v>18067735</v>
      </c>
      <c r="H1691">
        <v>-16424307</v>
      </c>
      <c r="I1691">
        <v>-86051628</v>
      </c>
      <c r="J1691">
        <v>-57272500</v>
      </c>
      <c r="K1691">
        <v>-3606500</v>
      </c>
      <c r="P1691">
        <v>190</v>
      </c>
      <c r="Q1691" t="s">
        <v>3696</v>
      </c>
    </row>
    <row r="1692" spans="1:17" x14ac:dyDescent="0.3">
      <c r="A1692" t="s">
        <v>33</v>
      </c>
      <c r="B1692" t="str">
        <f>"300829"</f>
        <v>300829</v>
      </c>
      <c r="C1692" t="s">
        <v>3697</v>
      </c>
      <c r="D1692" t="s">
        <v>1028</v>
      </c>
      <c r="E1692">
        <v>20727719</v>
      </c>
      <c r="F1692">
        <v>26185386</v>
      </c>
      <c r="G1692">
        <v>54638716</v>
      </c>
      <c r="P1692">
        <v>125</v>
      </c>
      <c r="Q1692" t="s">
        <v>3698</v>
      </c>
    </row>
    <row r="1693" spans="1:17" x14ac:dyDescent="0.3">
      <c r="A1693" t="s">
        <v>17</v>
      </c>
      <c r="B1693" t="str">
        <f>"605218"</f>
        <v>605218</v>
      </c>
      <c r="C1693" t="s">
        <v>3699</v>
      </c>
      <c r="D1693" t="s">
        <v>102</v>
      </c>
      <c r="E1693">
        <v>20726086</v>
      </c>
      <c r="F1693">
        <v>29893432</v>
      </c>
      <c r="G1693">
        <v>-33803277</v>
      </c>
      <c r="P1693">
        <v>56</v>
      </c>
      <c r="Q1693" t="s">
        <v>3700</v>
      </c>
    </row>
    <row r="1694" spans="1:17" x14ac:dyDescent="0.3">
      <c r="A1694" t="s">
        <v>33</v>
      </c>
      <c r="B1694" t="str">
        <f>"300199"</f>
        <v>300199</v>
      </c>
      <c r="C1694" t="s">
        <v>3701</v>
      </c>
      <c r="D1694" t="s">
        <v>590</v>
      </c>
      <c r="E1694">
        <v>20715954</v>
      </c>
      <c r="F1694">
        <v>70450146</v>
      </c>
      <c r="G1694">
        <v>-38929544</v>
      </c>
      <c r="H1694">
        <v>7441493</v>
      </c>
      <c r="I1694">
        <v>98438239</v>
      </c>
      <c r="J1694">
        <v>-10487583</v>
      </c>
      <c r="K1694">
        <v>-60006829</v>
      </c>
      <c r="L1694">
        <v>7504900</v>
      </c>
      <c r="M1694">
        <v>-1513900</v>
      </c>
      <c r="N1694">
        <v>-3373175</v>
      </c>
      <c r="O1694">
        <v>4292982</v>
      </c>
      <c r="P1694">
        <v>242</v>
      </c>
      <c r="Q1694" t="s">
        <v>3702</v>
      </c>
    </row>
    <row r="1695" spans="1:17" x14ac:dyDescent="0.3">
      <c r="A1695" t="s">
        <v>17</v>
      </c>
      <c r="B1695" t="str">
        <f>"603416"</f>
        <v>603416</v>
      </c>
      <c r="C1695" t="s">
        <v>3703</v>
      </c>
      <c r="D1695" t="s">
        <v>1142</v>
      </c>
      <c r="E1695">
        <v>20665029</v>
      </c>
      <c r="F1695">
        <v>-31470666</v>
      </c>
      <c r="G1695">
        <v>25496136</v>
      </c>
      <c r="H1695">
        <v>23569242</v>
      </c>
      <c r="I1695">
        <v>-6413292</v>
      </c>
      <c r="J1695">
        <v>6916381</v>
      </c>
      <c r="K1695">
        <v>3019156</v>
      </c>
      <c r="P1695">
        <v>325</v>
      </c>
      <c r="Q1695" t="s">
        <v>3704</v>
      </c>
    </row>
    <row r="1696" spans="1:17" x14ac:dyDescent="0.3">
      <c r="A1696" t="s">
        <v>33</v>
      </c>
      <c r="B1696" t="str">
        <f>"300707"</f>
        <v>300707</v>
      </c>
      <c r="C1696" t="s">
        <v>3705</v>
      </c>
      <c r="D1696" t="s">
        <v>1419</v>
      </c>
      <c r="E1696">
        <v>20478048</v>
      </c>
      <c r="F1696">
        <v>22246050</v>
      </c>
      <c r="G1696">
        <v>-8171852</v>
      </c>
      <c r="H1696">
        <v>35660032</v>
      </c>
      <c r="I1696">
        <v>32820780</v>
      </c>
      <c r="J1696">
        <v>3303504</v>
      </c>
      <c r="P1696">
        <v>140</v>
      </c>
      <c r="Q1696" t="s">
        <v>3706</v>
      </c>
    </row>
    <row r="1697" spans="1:17" x14ac:dyDescent="0.3">
      <c r="A1697" t="s">
        <v>33</v>
      </c>
      <c r="B1697" t="str">
        <f>"300576"</f>
        <v>300576</v>
      </c>
      <c r="C1697" t="s">
        <v>3707</v>
      </c>
      <c r="D1697" t="s">
        <v>1330</v>
      </c>
      <c r="E1697">
        <v>20459255</v>
      </c>
      <c r="F1697">
        <v>14821891</v>
      </c>
      <c r="G1697">
        <v>3379061</v>
      </c>
      <c r="H1697">
        <v>1016678</v>
      </c>
      <c r="I1697">
        <v>2885974</v>
      </c>
      <c r="J1697">
        <v>3232053</v>
      </c>
      <c r="K1697">
        <v>6425997</v>
      </c>
      <c r="P1697">
        <v>189</v>
      </c>
      <c r="Q1697" t="s">
        <v>3708</v>
      </c>
    </row>
    <row r="1698" spans="1:17" x14ac:dyDescent="0.3">
      <c r="A1698" t="s">
        <v>17</v>
      </c>
      <c r="B1698" t="str">
        <f>"600429"</f>
        <v>600429</v>
      </c>
      <c r="C1698" t="s">
        <v>3709</v>
      </c>
      <c r="D1698" t="s">
        <v>918</v>
      </c>
      <c r="E1698">
        <v>20454337</v>
      </c>
      <c r="F1698">
        <v>216219351</v>
      </c>
      <c r="G1698">
        <v>-161818330</v>
      </c>
      <c r="H1698">
        <v>-101120971</v>
      </c>
      <c r="I1698">
        <v>-208632098</v>
      </c>
      <c r="J1698">
        <v>-129358060</v>
      </c>
      <c r="K1698">
        <v>2296302</v>
      </c>
      <c r="L1698">
        <v>39622540</v>
      </c>
      <c r="M1698">
        <v>36315683</v>
      </c>
      <c r="N1698">
        <v>-26155590</v>
      </c>
      <c r="O1698">
        <v>-82023144</v>
      </c>
      <c r="P1698">
        <v>494</v>
      </c>
      <c r="Q1698" t="s">
        <v>3710</v>
      </c>
    </row>
    <row r="1699" spans="1:17" x14ac:dyDescent="0.3">
      <c r="A1699" t="s">
        <v>33</v>
      </c>
      <c r="B1699" t="str">
        <f>"002293"</f>
        <v>002293</v>
      </c>
      <c r="C1699" t="s">
        <v>3711</v>
      </c>
      <c r="D1699" t="s">
        <v>2758</v>
      </c>
      <c r="E1699">
        <v>20449246</v>
      </c>
      <c r="F1699">
        <v>15198040</v>
      </c>
      <c r="G1699">
        <v>84702961</v>
      </c>
      <c r="H1699">
        <v>64781895</v>
      </c>
      <c r="I1699">
        <v>-21880228</v>
      </c>
      <c r="J1699">
        <v>91197204</v>
      </c>
      <c r="K1699">
        <v>80416091</v>
      </c>
      <c r="L1699">
        <v>142675187</v>
      </c>
      <c r="M1699">
        <v>165971258</v>
      </c>
      <c r="N1699">
        <v>37386372</v>
      </c>
      <c r="O1699">
        <v>42416730</v>
      </c>
      <c r="P1699">
        <v>4959</v>
      </c>
      <c r="Q1699" t="s">
        <v>3712</v>
      </c>
    </row>
    <row r="1700" spans="1:17" x14ac:dyDescent="0.3">
      <c r="A1700" t="s">
        <v>33</v>
      </c>
      <c r="B1700" t="str">
        <f>"301206"</f>
        <v>301206</v>
      </c>
      <c r="C1700" t="s">
        <v>3713</v>
      </c>
      <c r="E1700">
        <v>20443977</v>
      </c>
      <c r="P1700">
        <v>24</v>
      </c>
      <c r="Q1700" t="s">
        <v>3714</v>
      </c>
    </row>
    <row r="1701" spans="1:17" x14ac:dyDescent="0.3">
      <c r="A1701" t="s">
        <v>33</v>
      </c>
      <c r="B1701" t="str">
        <f>"000049"</f>
        <v>000049</v>
      </c>
      <c r="C1701" t="s">
        <v>3715</v>
      </c>
      <c r="D1701" t="s">
        <v>156</v>
      </c>
      <c r="E1701">
        <v>20415878</v>
      </c>
      <c r="F1701">
        <v>171159200</v>
      </c>
      <c r="G1701">
        <v>201867599</v>
      </c>
      <c r="H1701">
        <v>292601370</v>
      </c>
      <c r="I1701">
        <v>270423148</v>
      </c>
      <c r="J1701">
        <v>309609356</v>
      </c>
      <c r="K1701">
        <v>-135394570</v>
      </c>
      <c r="L1701">
        <v>144526865</v>
      </c>
      <c r="M1701">
        <v>280206878</v>
      </c>
      <c r="N1701">
        <v>424737219</v>
      </c>
      <c r="O1701">
        <v>219303461</v>
      </c>
      <c r="P1701">
        <v>41582</v>
      </c>
      <c r="Q1701" t="s">
        <v>3716</v>
      </c>
    </row>
    <row r="1702" spans="1:17" x14ac:dyDescent="0.3">
      <c r="A1702" t="s">
        <v>33</v>
      </c>
      <c r="B1702" t="str">
        <f>"300212"</f>
        <v>300212</v>
      </c>
      <c r="C1702" t="s">
        <v>3717</v>
      </c>
      <c r="D1702" t="s">
        <v>508</v>
      </c>
      <c r="E1702">
        <v>20387670</v>
      </c>
      <c r="F1702">
        <v>-223803277</v>
      </c>
      <c r="G1702">
        <v>-76159293</v>
      </c>
      <c r="H1702">
        <v>25292917</v>
      </c>
      <c r="I1702">
        <v>-349489029</v>
      </c>
      <c r="J1702">
        <v>-493368669</v>
      </c>
      <c r="K1702">
        <v>-170544870</v>
      </c>
      <c r="L1702">
        <v>-130945202</v>
      </c>
      <c r="M1702">
        <v>-137450611</v>
      </c>
      <c r="N1702">
        <v>-22145942</v>
      </c>
      <c r="O1702">
        <v>-43416073</v>
      </c>
      <c r="P1702">
        <v>389</v>
      </c>
      <c r="Q1702" t="s">
        <v>3718</v>
      </c>
    </row>
    <row r="1703" spans="1:17" x14ac:dyDescent="0.3">
      <c r="A1703" t="s">
        <v>17</v>
      </c>
      <c r="B1703" t="str">
        <f>"688633"</f>
        <v>688633</v>
      </c>
      <c r="C1703" t="s">
        <v>3719</v>
      </c>
      <c r="D1703" t="s">
        <v>1132</v>
      </c>
      <c r="E1703">
        <v>20346752</v>
      </c>
      <c r="F1703">
        <v>-6604107</v>
      </c>
      <c r="G1703">
        <v>34171738</v>
      </c>
      <c r="P1703">
        <v>38</v>
      </c>
      <c r="Q1703" t="s">
        <v>3720</v>
      </c>
    </row>
    <row r="1704" spans="1:17" x14ac:dyDescent="0.3">
      <c r="A1704" t="s">
        <v>33</v>
      </c>
      <c r="B1704" t="str">
        <f>"002835"</f>
        <v>002835</v>
      </c>
      <c r="C1704" t="s">
        <v>3721</v>
      </c>
      <c r="D1704" t="s">
        <v>2597</v>
      </c>
      <c r="E1704">
        <v>20252370</v>
      </c>
      <c r="F1704">
        <v>28776891</v>
      </c>
      <c r="G1704">
        <v>-64111249</v>
      </c>
      <c r="H1704">
        <v>20020210</v>
      </c>
      <c r="I1704">
        <v>3230333</v>
      </c>
      <c r="J1704">
        <v>-19097682</v>
      </c>
      <c r="K1704">
        <v>-630323</v>
      </c>
      <c r="P1704">
        <v>94</v>
      </c>
      <c r="Q1704" t="s">
        <v>3722</v>
      </c>
    </row>
    <row r="1705" spans="1:17" x14ac:dyDescent="0.3">
      <c r="A1705" t="s">
        <v>17</v>
      </c>
      <c r="B1705" t="str">
        <f>"600071"</f>
        <v>600071</v>
      </c>
      <c r="C1705" t="s">
        <v>3723</v>
      </c>
      <c r="D1705" t="s">
        <v>2017</v>
      </c>
      <c r="E1705">
        <v>20038390</v>
      </c>
      <c r="F1705">
        <v>13362675</v>
      </c>
      <c r="G1705">
        <v>3459117</v>
      </c>
      <c r="H1705">
        <v>18069493</v>
      </c>
      <c r="I1705">
        <v>-2771527</v>
      </c>
      <c r="J1705">
        <v>-9343399</v>
      </c>
      <c r="K1705">
        <v>-5471285</v>
      </c>
      <c r="L1705">
        <v>-2194363</v>
      </c>
      <c r="M1705">
        <v>-11874295</v>
      </c>
      <c r="N1705">
        <v>-22425680</v>
      </c>
      <c r="O1705">
        <v>-31771451</v>
      </c>
      <c r="P1705">
        <v>97</v>
      </c>
      <c r="Q1705" t="s">
        <v>3724</v>
      </c>
    </row>
    <row r="1706" spans="1:17" x14ac:dyDescent="0.3">
      <c r="A1706" t="s">
        <v>17</v>
      </c>
      <c r="B1706" t="str">
        <f>"688309"</f>
        <v>688309</v>
      </c>
      <c r="C1706" t="s">
        <v>3725</v>
      </c>
      <c r="D1706" t="s">
        <v>1763</v>
      </c>
      <c r="E1706">
        <v>19988131</v>
      </c>
      <c r="F1706">
        <v>-17613269</v>
      </c>
      <c r="G1706">
        <v>921349</v>
      </c>
      <c r="H1706">
        <v>-34681959</v>
      </c>
      <c r="P1706">
        <v>30</v>
      </c>
      <c r="Q1706" t="s">
        <v>3726</v>
      </c>
    </row>
    <row r="1707" spans="1:17" x14ac:dyDescent="0.3">
      <c r="A1707" t="s">
        <v>33</v>
      </c>
      <c r="B1707" t="str">
        <f>"002402"</f>
        <v>002402</v>
      </c>
      <c r="C1707" t="s">
        <v>3727</v>
      </c>
      <c r="D1707" t="s">
        <v>226</v>
      </c>
      <c r="E1707">
        <v>19965072</v>
      </c>
      <c r="F1707">
        <v>-61315409</v>
      </c>
      <c r="G1707">
        <v>155668351</v>
      </c>
      <c r="H1707">
        <v>197534114</v>
      </c>
      <c r="I1707">
        <v>-23359698</v>
      </c>
      <c r="J1707">
        <v>68267389</v>
      </c>
      <c r="K1707">
        <v>17608610</v>
      </c>
      <c r="L1707">
        <v>28524360</v>
      </c>
      <c r="M1707">
        <v>4679350</v>
      </c>
      <c r="N1707">
        <v>10809177</v>
      </c>
      <c r="O1707">
        <v>-25200194</v>
      </c>
      <c r="P1707">
        <v>1281</v>
      </c>
      <c r="Q1707" t="s">
        <v>3728</v>
      </c>
    </row>
    <row r="1708" spans="1:17" x14ac:dyDescent="0.3">
      <c r="A1708" t="s">
        <v>33</v>
      </c>
      <c r="B1708" t="str">
        <f>"002144"</f>
        <v>002144</v>
      </c>
      <c r="C1708" t="s">
        <v>3729</v>
      </c>
      <c r="D1708" t="s">
        <v>1292</v>
      </c>
      <c r="E1708">
        <v>19892602</v>
      </c>
      <c r="F1708">
        <v>7474078</v>
      </c>
      <c r="G1708">
        <v>2919683</v>
      </c>
      <c r="H1708">
        <v>5866465</v>
      </c>
      <c r="I1708">
        <v>-32554300</v>
      </c>
      <c r="J1708">
        <v>22450044</v>
      </c>
      <c r="K1708">
        <v>21392591</v>
      </c>
      <c r="L1708">
        <v>14169439</v>
      </c>
      <c r="M1708">
        <v>4337285</v>
      </c>
      <c r="N1708">
        <v>-893683</v>
      </c>
      <c r="O1708">
        <v>32066796</v>
      </c>
      <c r="P1708">
        <v>115</v>
      </c>
      <c r="Q1708" t="s">
        <v>3730</v>
      </c>
    </row>
    <row r="1709" spans="1:17" x14ac:dyDescent="0.3">
      <c r="A1709" t="s">
        <v>17</v>
      </c>
      <c r="B1709" t="str">
        <f>"603755"</f>
        <v>603755</v>
      </c>
      <c r="C1709" t="s">
        <v>3731</v>
      </c>
      <c r="D1709" t="s">
        <v>669</v>
      </c>
      <c r="E1709">
        <v>19890871</v>
      </c>
      <c r="F1709">
        <v>63899</v>
      </c>
      <c r="G1709">
        <v>-4353310</v>
      </c>
      <c r="H1709">
        <v>1021630</v>
      </c>
      <c r="P1709">
        <v>370</v>
      </c>
      <c r="Q1709" t="s">
        <v>3732</v>
      </c>
    </row>
    <row r="1710" spans="1:17" x14ac:dyDescent="0.3">
      <c r="A1710" t="s">
        <v>33</v>
      </c>
      <c r="B1710" t="str">
        <f>"300725"</f>
        <v>300725</v>
      </c>
      <c r="C1710" t="s">
        <v>3733</v>
      </c>
      <c r="D1710" t="s">
        <v>846</v>
      </c>
      <c r="E1710">
        <v>19853091</v>
      </c>
      <c r="F1710">
        <v>157685995</v>
      </c>
      <c r="G1710">
        <v>52891684</v>
      </c>
      <c r="H1710">
        <v>20969362</v>
      </c>
      <c r="I1710">
        <v>23503993</v>
      </c>
      <c r="J1710">
        <v>-1070567</v>
      </c>
      <c r="P1710">
        <v>1114</v>
      </c>
      <c r="Q1710" t="s">
        <v>3734</v>
      </c>
    </row>
    <row r="1711" spans="1:17" x14ac:dyDescent="0.3">
      <c r="A1711" t="s">
        <v>33</v>
      </c>
      <c r="B1711" t="str">
        <f>"001219"</f>
        <v>001219</v>
      </c>
      <c r="C1711" t="s">
        <v>3735</v>
      </c>
      <c r="D1711" t="s">
        <v>1356</v>
      </c>
      <c r="E1711">
        <v>19799464</v>
      </c>
      <c r="F1711">
        <v>-8538899</v>
      </c>
      <c r="P1711">
        <v>33</v>
      </c>
      <c r="Q1711" t="s">
        <v>3736</v>
      </c>
    </row>
    <row r="1712" spans="1:17" x14ac:dyDescent="0.3">
      <c r="A1712" t="s">
        <v>33</v>
      </c>
      <c r="B1712" t="str">
        <f>"300200"</f>
        <v>300200</v>
      </c>
      <c r="C1712" t="s">
        <v>3737</v>
      </c>
      <c r="D1712" t="s">
        <v>195</v>
      </c>
      <c r="E1712">
        <v>19780760</v>
      </c>
      <c r="F1712">
        <v>31460342</v>
      </c>
      <c r="G1712">
        <v>31430717</v>
      </c>
      <c r="H1712">
        <v>67940459</v>
      </c>
      <c r="I1712">
        <v>9207228</v>
      </c>
      <c r="J1712">
        <v>-19669879</v>
      </c>
      <c r="K1712">
        <v>12461583</v>
      </c>
      <c r="L1712">
        <v>8826040</v>
      </c>
      <c r="M1712">
        <v>-2681877</v>
      </c>
      <c r="N1712">
        <v>-5478116</v>
      </c>
      <c r="O1712">
        <v>-19638082</v>
      </c>
      <c r="P1712">
        <v>160</v>
      </c>
      <c r="Q1712" t="s">
        <v>3738</v>
      </c>
    </row>
    <row r="1713" spans="1:17" x14ac:dyDescent="0.3">
      <c r="A1713" t="s">
        <v>33</v>
      </c>
      <c r="B1713" t="str">
        <f>"200026"</f>
        <v>200026</v>
      </c>
      <c r="C1713" t="s">
        <v>3739</v>
      </c>
      <c r="E1713">
        <v>19769200.748</v>
      </c>
      <c r="F1713">
        <v>34008440.090000004</v>
      </c>
      <c r="G1713">
        <v>-116664618.1608</v>
      </c>
      <c r="H1713">
        <v>12544896.6108</v>
      </c>
      <c r="I1713">
        <v>84574068.600999996</v>
      </c>
      <c r="J1713">
        <v>138675973.65180001</v>
      </c>
      <c r="K1713">
        <v>117120965.7405</v>
      </c>
      <c r="L1713">
        <v>136697721.25</v>
      </c>
      <c r="M1713">
        <v>38767225.603600003</v>
      </c>
      <c r="N1713">
        <v>65460159.698399998</v>
      </c>
      <c r="O1713">
        <v>-81160469.208000004</v>
      </c>
      <c r="P1713">
        <v>52</v>
      </c>
      <c r="Q1713" t="s">
        <v>3740</v>
      </c>
    </row>
    <row r="1714" spans="1:17" x14ac:dyDescent="0.3">
      <c r="A1714" t="s">
        <v>17</v>
      </c>
      <c r="B1714" t="str">
        <f>"688210"</f>
        <v>688210</v>
      </c>
      <c r="C1714" t="s">
        <v>3741</v>
      </c>
      <c r="D1714" t="s">
        <v>226</v>
      </c>
      <c r="E1714">
        <v>19768587</v>
      </c>
      <c r="P1714">
        <v>9</v>
      </c>
      <c r="Q1714" t="s">
        <v>3742</v>
      </c>
    </row>
    <row r="1715" spans="1:17" x14ac:dyDescent="0.3">
      <c r="A1715" t="s">
        <v>17</v>
      </c>
      <c r="B1715" t="str">
        <f>"688059"</f>
        <v>688059</v>
      </c>
      <c r="C1715" t="s">
        <v>3743</v>
      </c>
      <c r="D1715" t="s">
        <v>164</v>
      </c>
      <c r="E1715">
        <v>19747805</v>
      </c>
      <c r="F1715">
        <v>13933043</v>
      </c>
      <c r="P1715">
        <v>105</v>
      </c>
      <c r="Q1715" t="s">
        <v>3744</v>
      </c>
    </row>
    <row r="1716" spans="1:17" x14ac:dyDescent="0.3">
      <c r="A1716" t="s">
        <v>33</v>
      </c>
      <c r="B1716" t="str">
        <f>"002858"</f>
        <v>002858</v>
      </c>
      <c r="C1716" t="s">
        <v>3745</v>
      </c>
      <c r="D1716" t="s">
        <v>1667</v>
      </c>
      <c r="E1716">
        <v>19735360</v>
      </c>
      <c r="F1716">
        <v>9638918</v>
      </c>
      <c r="G1716">
        <v>20440402</v>
      </c>
      <c r="H1716">
        <v>-45735904</v>
      </c>
      <c r="I1716">
        <v>-35252633</v>
      </c>
      <c r="J1716">
        <v>-25936160</v>
      </c>
      <c r="K1716">
        <v>7711577</v>
      </c>
      <c r="P1716">
        <v>75</v>
      </c>
      <c r="Q1716" t="s">
        <v>3746</v>
      </c>
    </row>
    <row r="1717" spans="1:17" x14ac:dyDescent="0.3">
      <c r="A1717" t="s">
        <v>33</v>
      </c>
      <c r="B1717" t="str">
        <f>"301003"</f>
        <v>301003</v>
      </c>
      <c r="C1717" t="s">
        <v>3747</v>
      </c>
      <c r="D1717" t="s">
        <v>1556</v>
      </c>
      <c r="E1717">
        <v>19727001</v>
      </c>
      <c r="F1717">
        <v>-24686159</v>
      </c>
      <c r="G1717">
        <v>9397139</v>
      </c>
      <c r="P1717">
        <v>31</v>
      </c>
      <c r="Q1717" t="s">
        <v>3748</v>
      </c>
    </row>
    <row r="1718" spans="1:17" x14ac:dyDescent="0.3">
      <c r="A1718" t="s">
        <v>33</v>
      </c>
      <c r="B1718" t="str">
        <f>"000790"</f>
        <v>000790</v>
      </c>
      <c r="C1718" t="s">
        <v>3749</v>
      </c>
      <c r="D1718" t="s">
        <v>533</v>
      </c>
      <c r="E1718">
        <v>19660474</v>
      </c>
      <c r="F1718">
        <v>-57536200</v>
      </c>
      <c r="G1718">
        <v>-18961143</v>
      </c>
      <c r="H1718">
        <v>5374969</v>
      </c>
      <c r="I1718">
        <v>-30174247</v>
      </c>
      <c r="J1718">
        <v>-64939545</v>
      </c>
      <c r="K1718">
        <v>-33246601</v>
      </c>
      <c r="L1718">
        <v>-42052458</v>
      </c>
      <c r="M1718">
        <v>-29534307</v>
      </c>
      <c r="N1718">
        <v>-11831195</v>
      </c>
      <c r="O1718">
        <v>-52025825</v>
      </c>
      <c r="P1718">
        <v>175</v>
      </c>
      <c r="Q1718" t="s">
        <v>3750</v>
      </c>
    </row>
    <row r="1719" spans="1:17" x14ac:dyDescent="0.3">
      <c r="A1719" t="s">
        <v>17</v>
      </c>
      <c r="B1719" t="str">
        <f>"600228"</f>
        <v>600228</v>
      </c>
      <c r="C1719" t="s">
        <v>3751</v>
      </c>
      <c r="D1719" t="s">
        <v>2040</v>
      </c>
      <c r="E1719">
        <v>19624339</v>
      </c>
      <c r="F1719">
        <v>7260525</v>
      </c>
      <c r="G1719">
        <v>24636948</v>
      </c>
      <c r="H1719">
        <v>-1317583</v>
      </c>
      <c r="I1719">
        <v>-4240127</v>
      </c>
      <c r="J1719">
        <v>1164427</v>
      </c>
      <c r="K1719">
        <v>13577768</v>
      </c>
      <c r="L1719">
        <v>37323291</v>
      </c>
      <c r="M1719">
        <v>-2954135</v>
      </c>
      <c r="N1719">
        <v>22500902</v>
      </c>
      <c r="O1719">
        <v>-1714874</v>
      </c>
      <c r="P1719">
        <v>68</v>
      </c>
      <c r="Q1719" t="s">
        <v>3752</v>
      </c>
    </row>
    <row r="1720" spans="1:17" x14ac:dyDescent="0.3">
      <c r="A1720" t="s">
        <v>33</v>
      </c>
      <c r="B1720" t="str">
        <f>"002755"</f>
        <v>002755</v>
      </c>
      <c r="C1720" t="s">
        <v>3753</v>
      </c>
      <c r="D1720" t="s">
        <v>590</v>
      </c>
      <c r="E1720">
        <v>19603259</v>
      </c>
      <c r="F1720">
        <v>53577910</v>
      </c>
      <c r="G1720">
        <v>172458290</v>
      </c>
      <c r="H1720">
        <v>37811214</v>
      </c>
      <c r="I1720">
        <v>-5648603</v>
      </c>
      <c r="J1720">
        <v>-42491372</v>
      </c>
      <c r="K1720">
        <v>12524907</v>
      </c>
      <c r="L1720">
        <v>-30082095</v>
      </c>
      <c r="M1720">
        <v>-26445368</v>
      </c>
      <c r="P1720">
        <v>307</v>
      </c>
      <c r="Q1720" t="s">
        <v>3754</v>
      </c>
    </row>
    <row r="1721" spans="1:17" x14ac:dyDescent="0.3">
      <c r="A1721" t="s">
        <v>33</v>
      </c>
      <c r="B1721" t="str">
        <f>"002616"</f>
        <v>002616</v>
      </c>
      <c r="C1721" t="s">
        <v>3755</v>
      </c>
      <c r="D1721" t="s">
        <v>3756</v>
      </c>
      <c r="E1721">
        <v>19451764</v>
      </c>
      <c r="F1721">
        <v>8471057</v>
      </c>
      <c r="G1721">
        <v>-106149624</v>
      </c>
      <c r="H1721">
        <v>-50195033</v>
      </c>
      <c r="I1721">
        <v>-74732678</v>
      </c>
      <c r="J1721">
        <v>-53579195</v>
      </c>
      <c r="K1721">
        <v>4545617</v>
      </c>
      <c r="L1721">
        <v>33411365</v>
      </c>
      <c r="M1721">
        <v>-23180354</v>
      </c>
      <c r="N1721">
        <v>-16022895</v>
      </c>
      <c r="O1721">
        <v>-85649056</v>
      </c>
      <c r="P1721">
        <v>202</v>
      </c>
      <c r="Q1721" t="s">
        <v>3757</v>
      </c>
    </row>
    <row r="1722" spans="1:17" x14ac:dyDescent="0.3">
      <c r="A1722" t="s">
        <v>33</v>
      </c>
      <c r="B1722" t="str">
        <f>"300643"</f>
        <v>300643</v>
      </c>
      <c r="C1722" t="s">
        <v>3758</v>
      </c>
      <c r="D1722" t="s">
        <v>1419</v>
      </c>
      <c r="E1722">
        <v>19387265</v>
      </c>
      <c r="F1722">
        <v>20506486</v>
      </c>
      <c r="G1722">
        <v>12074976</v>
      </c>
      <c r="H1722">
        <v>9521053</v>
      </c>
      <c r="I1722">
        <v>13238375</v>
      </c>
      <c r="J1722">
        <v>10823490</v>
      </c>
      <c r="K1722">
        <v>15849775</v>
      </c>
      <c r="P1722">
        <v>96</v>
      </c>
      <c r="Q1722" t="s">
        <v>3759</v>
      </c>
    </row>
    <row r="1723" spans="1:17" x14ac:dyDescent="0.3">
      <c r="A1723" t="s">
        <v>33</v>
      </c>
      <c r="B1723" t="str">
        <f>"002125"</f>
        <v>002125</v>
      </c>
      <c r="C1723" t="s">
        <v>3760</v>
      </c>
      <c r="D1723" t="s">
        <v>511</v>
      </c>
      <c r="E1723">
        <v>19352844</v>
      </c>
      <c r="F1723">
        <v>15128023</v>
      </c>
      <c r="G1723">
        <v>26516572</v>
      </c>
      <c r="H1723">
        <v>23071299</v>
      </c>
      <c r="I1723">
        <v>27627201</v>
      </c>
      <c r="J1723">
        <v>-10550403</v>
      </c>
      <c r="K1723">
        <v>-11675152</v>
      </c>
      <c r="L1723">
        <v>37617431</v>
      </c>
      <c r="M1723">
        <v>-20646115</v>
      </c>
      <c r="N1723">
        <v>29897655</v>
      </c>
      <c r="O1723">
        <v>13677265</v>
      </c>
      <c r="P1723">
        <v>157</v>
      </c>
      <c r="Q1723" t="s">
        <v>3761</v>
      </c>
    </row>
    <row r="1724" spans="1:17" x14ac:dyDescent="0.3">
      <c r="A1724" t="s">
        <v>17</v>
      </c>
      <c r="B1724" t="str">
        <f>"603315"</f>
        <v>603315</v>
      </c>
      <c r="C1724" t="s">
        <v>3762</v>
      </c>
      <c r="D1724" t="s">
        <v>164</v>
      </c>
      <c r="E1724">
        <v>19193007</v>
      </c>
      <c r="F1724">
        <v>-93618982</v>
      </c>
      <c r="G1724">
        <v>-11225865</v>
      </c>
      <c r="H1724">
        <v>23841244</v>
      </c>
      <c r="I1724">
        <v>-34087291</v>
      </c>
      <c r="J1724">
        <v>-29963001</v>
      </c>
      <c r="K1724">
        <v>9133776</v>
      </c>
      <c r="L1724">
        <v>-46123050</v>
      </c>
      <c r="M1724">
        <v>-23064587</v>
      </c>
      <c r="P1724">
        <v>57</v>
      </c>
      <c r="Q1724" t="s">
        <v>3763</v>
      </c>
    </row>
    <row r="1725" spans="1:17" x14ac:dyDescent="0.3">
      <c r="A1725" t="s">
        <v>17</v>
      </c>
      <c r="B1725" t="str">
        <f>"688389"</f>
        <v>688389</v>
      </c>
      <c r="C1725" t="s">
        <v>3764</v>
      </c>
      <c r="D1725" t="s">
        <v>221</v>
      </c>
      <c r="E1725">
        <v>19101883</v>
      </c>
      <c r="F1725">
        <v>14014587</v>
      </c>
      <c r="G1725">
        <v>8791358</v>
      </c>
      <c r="H1725">
        <v>-5273589</v>
      </c>
      <c r="P1725">
        <v>161</v>
      </c>
      <c r="Q1725" t="s">
        <v>3765</v>
      </c>
    </row>
    <row r="1726" spans="1:17" x14ac:dyDescent="0.3">
      <c r="A1726" t="s">
        <v>17</v>
      </c>
      <c r="B1726" t="str">
        <f>"600851"</f>
        <v>600851</v>
      </c>
      <c r="C1726" t="s">
        <v>3766</v>
      </c>
      <c r="D1726" t="s">
        <v>590</v>
      </c>
      <c r="E1726">
        <v>19097360</v>
      </c>
      <c r="F1726">
        <v>75419565</v>
      </c>
      <c r="G1726">
        <v>-16268113</v>
      </c>
      <c r="H1726">
        <v>-37280014</v>
      </c>
      <c r="I1726">
        <v>-8065634</v>
      </c>
      <c r="J1726">
        <v>-46511104</v>
      </c>
      <c r="K1726">
        <v>-39906984</v>
      </c>
      <c r="L1726">
        <v>-55663871</v>
      </c>
      <c r="M1726">
        <v>-51631080</v>
      </c>
      <c r="N1726">
        <v>-39774682</v>
      </c>
      <c r="O1726">
        <v>-29142244</v>
      </c>
      <c r="P1726">
        <v>98</v>
      </c>
      <c r="Q1726" t="s">
        <v>3767</v>
      </c>
    </row>
    <row r="1727" spans="1:17" x14ac:dyDescent="0.3">
      <c r="A1727" t="s">
        <v>17</v>
      </c>
      <c r="B1727" t="str">
        <f>"603508"</f>
        <v>603508</v>
      </c>
      <c r="C1727" t="s">
        <v>3768</v>
      </c>
      <c r="D1727" t="s">
        <v>2597</v>
      </c>
      <c r="E1727">
        <v>19097253</v>
      </c>
      <c r="F1727">
        <v>17061567</v>
      </c>
      <c r="G1727">
        <v>131639618</v>
      </c>
      <c r="H1727">
        <v>8516073</v>
      </c>
      <c r="I1727">
        <v>57279011</v>
      </c>
      <c r="J1727">
        <v>87263546</v>
      </c>
      <c r="K1727">
        <v>75696710</v>
      </c>
      <c r="L1727">
        <v>1250467</v>
      </c>
      <c r="M1727">
        <v>25089082</v>
      </c>
      <c r="P1727">
        <v>219</v>
      </c>
      <c r="Q1727" t="s">
        <v>3769</v>
      </c>
    </row>
    <row r="1728" spans="1:17" x14ac:dyDescent="0.3">
      <c r="A1728" t="s">
        <v>33</v>
      </c>
      <c r="B1728" t="str">
        <f>"300169"</f>
        <v>300169</v>
      </c>
      <c r="C1728" t="s">
        <v>3770</v>
      </c>
      <c r="D1728" t="s">
        <v>418</v>
      </c>
      <c r="E1728">
        <v>19033019</v>
      </c>
      <c r="F1728">
        <v>37947579</v>
      </c>
      <c r="G1728">
        <v>-57633401</v>
      </c>
      <c r="H1728">
        <v>-26766811</v>
      </c>
      <c r="I1728">
        <v>-83198265</v>
      </c>
      <c r="J1728">
        <v>-81926589</v>
      </c>
      <c r="K1728">
        <v>-25062505</v>
      </c>
      <c r="L1728">
        <v>-64212605</v>
      </c>
      <c r="M1728">
        <v>-24631923</v>
      </c>
      <c r="N1728">
        <v>-9788636</v>
      </c>
      <c r="O1728">
        <v>-35746198</v>
      </c>
      <c r="P1728">
        <v>68</v>
      </c>
      <c r="Q1728" t="s">
        <v>3771</v>
      </c>
    </row>
    <row r="1729" spans="1:17" x14ac:dyDescent="0.3">
      <c r="A1729" t="s">
        <v>33</v>
      </c>
      <c r="B1729" t="str">
        <f>"300988"</f>
        <v>300988</v>
      </c>
      <c r="C1729" t="s">
        <v>3772</v>
      </c>
      <c r="D1729" t="s">
        <v>1895</v>
      </c>
      <c r="E1729">
        <v>18940343</v>
      </c>
      <c r="F1729">
        <v>14723899</v>
      </c>
      <c r="G1729">
        <v>12612802</v>
      </c>
      <c r="P1729">
        <v>20</v>
      </c>
      <c r="Q1729" t="s">
        <v>3773</v>
      </c>
    </row>
    <row r="1730" spans="1:17" x14ac:dyDescent="0.3">
      <c r="A1730" t="s">
        <v>33</v>
      </c>
      <c r="B1730" t="str">
        <f>"300309"</f>
        <v>300309</v>
      </c>
      <c r="C1730" t="s">
        <v>3774</v>
      </c>
      <c r="D1730" t="s">
        <v>2604</v>
      </c>
      <c r="E1730">
        <v>18926869</v>
      </c>
      <c r="F1730">
        <v>-13990826</v>
      </c>
      <c r="G1730">
        <v>-24405452</v>
      </c>
      <c r="H1730">
        <v>153991711</v>
      </c>
      <c r="I1730">
        <v>73519547</v>
      </c>
      <c r="J1730">
        <v>59888120</v>
      </c>
      <c r="K1730">
        <v>-33107697</v>
      </c>
      <c r="L1730">
        <v>28128732</v>
      </c>
      <c r="M1730">
        <v>-32280036</v>
      </c>
      <c r="N1730">
        <v>-14796953</v>
      </c>
      <c r="O1730">
        <v>-31889874</v>
      </c>
      <c r="P1730">
        <v>108</v>
      </c>
      <c r="Q1730" t="s">
        <v>3775</v>
      </c>
    </row>
    <row r="1731" spans="1:17" x14ac:dyDescent="0.3">
      <c r="A1731" t="s">
        <v>33</v>
      </c>
      <c r="B1731" t="str">
        <f>"002040"</f>
        <v>002040</v>
      </c>
      <c r="C1731" t="s">
        <v>3776</v>
      </c>
      <c r="D1731" t="s">
        <v>289</v>
      </c>
      <c r="E1731">
        <v>18906721</v>
      </c>
      <c r="F1731">
        <v>44859376</v>
      </c>
      <c r="G1731">
        <v>33311309</v>
      </c>
      <c r="H1731">
        <v>15297012</v>
      </c>
      <c r="I1731">
        <v>20156052</v>
      </c>
      <c r="J1731">
        <v>27688810</v>
      </c>
      <c r="K1731">
        <v>-5642568</v>
      </c>
      <c r="L1731">
        <v>-5294681</v>
      </c>
      <c r="M1731">
        <v>-5353010</v>
      </c>
      <c r="N1731">
        <v>-3674975</v>
      </c>
      <c r="O1731">
        <v>10638857</v>
      </c>
      <c r="P1731">
        <v>100</v>
      </c>
      <c r="Q1731" t="s">
        <v>3777</v>
      </c>
    </row>
    <row r="1732" spans="1:17" x14ac:dyDescent="0.3">
      <c r="A1732" t="s">
        <v>33</v>
      </c>
      <c r="B1732" t="str">
        <f>"200512"</f>
        <v>200512</v>
      </c>
      <c r="C1732" t="s">
        <v>3778</v>
      </c>
      <c r="E1732">
        <v>18744899.304000001</v>
      </c>
      <c r="F1732">
        <v>-64528922.118500002</v>
      </c>
      <c r="G1732">
        <v>-62066558.215800002</v>
      </c>
      <c r="H1732">
        <v>14633318.3958</v>
      </c>
      <c r="I1732">
        <v>-11057663.797</v>
      </c>
      <c r="J1732">
        <v>3575779.1310000001</v>
      </c>
      <c r="K1732">
        <v>-26122166.3895</v>
      </c>
      <c r="L1732">
        <v>-46228333.75</v>
      </c>
      <c r="M1732">
        <v>-19460070.435600001</v>
      </c>
      <c r="N1732">
        <v>-35505618.192000002</v>
      </c>
      <c r="O1732">
        <v>-72204491.097000003</v>
      </c>
      <c r="P1732">
        <v>34</v>
      </c>
      <c r="Q1732" t="s">
        <v>3779</v>
      </c>
    </row>
    <row r="1733" spans="1:17" x14ac:dyDescent="0.3">
      <c r="A1733" t="s">
        <v>33</v>
      </c>
      <c r="B1733" t="str">
        <f>"002551"</f>
        <v>002551</v>
      </c>
      <c r="C1733" t="s">
        <v>3780</v>
      </c>
      <c r="D1733" t="s">
        <v>903</v>
      </c>
      <c r="E1733">
        <v>18707357</v>
      </c>
      <c r="F1733">
        <v>77101655</v>
      </c>
      <c r="G1733">
        <v>20377915</v>
      </c>
      <c r="H1733">
        <v>-130513143</v>
      </c>
      <c r="I1733">
        <v>-170143055</v>
      </c>
      <c r="J1733">
        <v>-35210925</v>
      </c>
      <c r="K1733">
        <v>41401560</v>
      </c>
      <c r="L1733">
        <v>-13515595</v>
      </c>
      <c r="M1733">
        <v>-12536982</v>
      </c>
      <c r="N1733">
        <v>-22249001</v>
      </c>
      <c r="O1733">
        <v>-21199351</v>
      </c>
      <c r="P1733">
        <v>242</v>
      </c>
      <c r="Q1733" t="s">
        <v>3781</v>
      </c>
    </row>
    <row r="1734" spans="1:17" x14ac:dyDescent="0.3">
      <c r="A1734" t="s">
        <v>33</v>
      </c>
      <c r="B1734" t="str">
        <f>"002848"</f>
        <v>002848</v>
      </c>
      <c r="C1734" t="s">
        <v>3782</v>
      </c>
      <c r="D1734" t="s">
        <v>3783</v>
      </c>
      <c r="E1734">
        <v>18677234</v>
      </c>
      <c r="F1734">
        <v>-30229204</v>
      </c>
      <c r="G1734">
        <v>-7076982</v>
      </c>
      <c r="H1734">
        <v>-3416449</v>
      </c>
      <c r="I1734">
        <v>-46070721</v>
      </c>
      <c r="J1734">
        <v>-60989751</v>
      </c>
      <c r="K1734">
        <v>-81339909</v>
      </c>
      <c r="P1734">
        <v>189</v>
      </c>
      <c r="Q1734" t="s">
        <v>3784</v>
      </c>
    </row>
    <row r="1735" spans="1:17" x14ac:dyDescent="0.3">
      <c r="A1735" t="s">
        <v>33</v>
      </c>
      <c r="B1735" t="str">
        <f>"002816"</f>
        <v>002816</v>
      </c>
      <c r="C1735" t="s">
        <v>3785</v>
      </c>
      <c r="D1735" t="s">
        <v>1895</v>
      </c>
      <c r="E1735">
        <v>18584145</v>
      </c>
      <c r="F1735">
        <v>11236023</v>
      </c>
      <c r="G1735">
        <v>6165242</v>
      </c>
      <c r="H1735">
        <v>3135357</v>
      </c>
      <c r="I1735">
        <v>4768611</v>
      </c>
      <c r="J1735">
        <v>-11649947</v>
      </c>
      <c r="K1735">
        <v>-20992963</v>
      </c>
      <c r="P1735">
        <v>46</v>
      </c>
      <c r="Q1735" t="s">
        <v>3786</v>
      </c>
    </row>
    <row r="1736" spans="1:17" x14ac:dyDescent="0.3">
      <c r="A1736" t="s">
        <v>17</v>
      </c>
      <c r="B1736" t="str">
        <f>"605151"</f>
        <v>605151</v>
      </c>
      <c r="C1736" t="s">
        <v>3787</v>
      </c>
      <c r="D1736" t="s">
        <v>2478</v>
      </c>
      <c r="E1736">
        <v>18559030</v>
      </c>
      <c r="F1736">
        <v>38128549</v>
      </c>
      <c r="G1736">
        <v>19307862</v>
      </c>
      <c r="P1736">
        <v>55</v>
      </c>
      <c r="Q1736" t="s">
        <v>3788</v>
      </c>
    </row>
    <row r="1737" spans="1:17" x14ac:dyDescent="0.3">
      <c r="A1737" t="s">
        <v>33</v>
      </c>
      <c r="B1737" t="str">
        <f>"002871"</f>
        <v>002871</v>
      </c>
      <c r="C1737" t="s">
        <v>3789</v>
      </c>
      <c r="D1737" t="s">
        <v>164</v>
      </c>
      <c r="E1737">
        <v>18544630</v>
      </c>
      <c r="F1737">
        <v>-7088065</v>
      </c>
      <c r="G1737">
        <v>17617297</v>
      </c>
      <c r="H1737">
        <v>16112189</v>
      </c>
      <c r="I1737">
        <v>11787758</v>
      </c>
      <c r="J1737">
        <v>22927112</v>
      </c>
      <c r="K1737">
        <v>16095898</v>
      </c>
      <c r="P1737">
        <v>66</v>
      </c>
      <c r="Q1737" t="s">
        <v>3790</v>
      </c>
    </row>
    <row r="1738" spans="1:17" x14ac:dyDescent="0.3">
      <c r="A1738" t="s">
        <v>33</v>
      </c>
      <c r="B1738" t="str">
        <f>"301076"</f>
        <v>301076</v>
      </c>
      <c r="C1738" t="s">
        <v>3791</v>
      </c>
      <c r="D1738" t="s">
        <v>418</v>
      </c>
      <c r="E1738">
        <v>18509607</v>
      </c>
      <c r="P1738">
        <v>20</v>
      </c>
      <c r="Q1738" t="s">
        <v>3792</v>
      </c>
    </row>
    <row r="1739" spans="1:17" x14ac:dyDescent="0.3">
      <c r="A1739" t="s">
        <v>33</v>
      </c>
      <c r="B1739" t="str">
        <f>"002696"</f>
        <v>002696</v>
      </c>
      <c r="C1739" t="s">
        <v>3793</v>
      </c>
      <c r="D1739" t="s">
        <v>1490</v>
      </c>
      <c r="E1739">
        <v>18347080</v>
      </c>
      <c r="F1739">
        <v>-30935812</v>
      </c>
      <c r="G1739">
        <v>-84629108</v>
      </c>
      <c r="H1739">
        <v>60702652</v>
      </c>
      <c r="I1739">
        <v>8252925</v>
      </c>
      <c r="J1739">
        <v>14071095</v>
      </c>
      <c r="K1739">
        <v>49075557</v>
      </c>
      <c r="L1739">
        <v>38254506</v>
      </c>
      <c r="M1739">
        <v>36732011</v>
      </c>
      <c r="N1739">
        <v>31757917</v>
      </c>
      <c r="O1739">
        <v>15994737</v>
      </c>
      <c r="P1739">
        <v>93</v>
      </c>
      <c r="Q1739" t="s">
        <v>3794</v>
      </c>
    </row>
    <row r="1740" spans="1:17" x14ac:dyDescent="0.3">
      <c r="A1740" t="s">
        <v>33</v>
      </c>
      <c r="B1740" t="str">
        <f>"002420"</f>
        <v>002420</v>
      </c>
      <c r="C1740" t="s">
        <v>3795</v>
      </c>
      <c r="D1740" t="s">
        <v>1869</v>
      </c>
      <c r="E1740">
        <v>18344990</v>
      </c>
      <c r="F1740">
        <v>-88902230</v>
      </c>
      <c r="G1740">
        <v>-60322036</v>
      </c>
      <c r="H1740">
        <v>106517459</v>
      </c>
      <c r="I1740">
        <v>181310170</v>
      </c>
      <c r="J1740">
        <v>270187963</v>
      </c>
      <c r="K1740">
        <v>201013754</v>
      </c>
      <c r="L1740">
        <v>109726192</v>
      </c>
      <c r="M1740">
        <v>48748024</v>
      </c>
      <c r="N1740">
        <v>-75784</v>
      </c>
      <c r="O1740">
        <v>103077749</v>
      </c>
      <c r="P1740">
        <v>82</v>
      </c>
      <c r="Q1740" t="s">
        <v>3796</v>
      </c>
    </row>
    <row r="1741" spans="1:17" x14ac:dyDescent="0.3">
      <c r="A1741" t="s">
        <v>17</v>
      </c>
      <c r="B1741" t="str">
        <f>"688057"</f>
        <v>688057</v>
      </c>
      <c r="C1741" t="s">
        <v>3797</v>
      </c>
      <c r="D1741" t="s">
        <v>932</v>
      </c>
      <c r="E1741">
        <v>18331058</v>
      </c>
      <c r="F1741">
        <v>-22827322</v>
      </c>
      <c r="H1741">
        <v>-49333297</v>
      </c>
      <c r="I1741">
        <v>31355966</v>
      </c>
      <c r="P1741">
        <v>116</v>
      </c>
      <c r="Q1741" t="s">
        <v>3798</v>
      </c>
    </row>
    <row r="1742" spans="1:17" x14ac:dyDescent="0.3">
      <c r="A1742" t="s">
        <v>17</v>
      </c>
      <c r="B1742" t="str">
        <f>"688609"</f>
        <v>688609</v>
      </c>
      <c r="C1742" t="s">
        <v>3799</v>
      </c>
      <c r="D1742" t="s">
        <v>3783</v>
      </c>
      <c r="E1742">
        <v>18270147</v>
      </c>
      <c r="F1742">
        <v>-228613996</v>
      </c>
      <c r="G1742">
        <v>-170799183</v>
      </c>
      <c r="P1742">
        <v>31</v>
      </c>
      <c r="Q1742" t="s">
        <v>3800</v>
      </c>
    </row>
    <row r="1743" spans="1:17" x14ac:dyDescent="0.3">
      <c r="A1743" t="s">
        <v>33</v>
      </c>
      <c r="B1743" t="str">
        <f>"003006"</f>
        <v>003006</v>
      </c>
      <c r="C1743" t="s">
        <v>3801</v>
      </c>
      <c r="D1743" t="s">
        <v>974</v>
      </c>
      <c r="E1743">
        <v>18251743</v>
      </c>
      <c r="F1743">
        <v>49987203</v>
      </c>
      <c r="G1743">
        <v>85969150</v>
      </c>
      <c r="P1743">
        <v>172</v>
      </c>
      <c r="Q1743" t="s">
        <v>3802</v>
      </c>
    </row>
    <row r="1744" spans="1:17" x14ac:dyDescent="0.3">
      <c r="A1744" t="s">
        <v>17</v>
      </c>
      <c r="B1744" t="str">
        <f>"688611"</f>
        <v>688611</v>
      </c>
      <c r="C1744" t="s">
        <v>3803</v>
      </c>
      <c r="D1744" t="s">
        <v>1182</v>
      </c>
      <c r="E1744">
        <v>18183948</v>
      </c>
      <c r="F1744">
        <v>-34043503</v>
      </c>
      <c r="G1744">
        <v>11320578</v>
      </c>
      <c r="P1744">
        <v>38</v>
      </c>
      <c r="Q1744" t="s">
        <v>3804</v>
      </c>
    </row>
    <row r="1745" spans="1:17" x14ac:dyDescent="0.3">
      <c r="A1745" t="s">
        <v>17</v>
      </c>
      <c r="B1745" t="str">
        <f>"603385"</f>
        <v>603385</v>
      </c>
      <c r="C1745" t="s">
        <v>3805</v>
      </c>
      <c r="D1745" t="s">
        <v>1710</v>
      </c>
      <c r="E1745">
        <v>18144585</v>
      </c>
      <c r="F1745">
        <v>-107722056</v>
      </c>
      <c r="G1745">
        <v>-1103025</v>
      </c>
      <c r="H1745">
        <v>-1391459</v>
      </c>
      <c r="I1745">
        <v>1027124</v>
      </c>
      <c r="J1745">
        <v>86527718</v>
      </c>
      <c r="K1745">
        <v>104398664</v>
      </c>
      <c r="P1745">
        <v>192</v>
      </c>
      <c r="Q1745" t="s">
        <v>3806</v>
      </c>
    </row>
    <row r="1746" spans="1:17" x14ac:dyDescent="0.3">
      <c r="A1746" t="s">
        <v>33</v>
      </c>
      <c r="B1746" t="str">
        <f>"002263"</f>
        <v>002263</v>
      </c>
      <c r="C1746" t="s">
        <v>3807</v>
      </c>
      <c r="D1746" t="s">
        <v>1734</v>
      </c>
      <c r="E1746">
        <v>18114819</v>
      </c>
      <c r="F1746">
        <v>-5941223</v>
      </c>
      <c r="G1746">
        <v>-10706006</v>
      </c>
      <c r="H1746">
        <v>27955748</v>
      </c>
      <c r="I1746">
        <v>-24466527</v>
      </c>
      <c r="J1746">
        <v>-19660969</v>
      </c>
      <c r="K1746">
        <v>-21264430</v>
      </c>
      <c r="L1746">
        <v>60509510</v>
      </c>
      <c r="M1746">
        <v>-70725466</v>
      </c>
      <c r="N1746">
        <v>-58345762</v>
      </c>
      <c r="O1746">
        <v>-4870869</v>
      </c>
      <c r="P1746">
        <v>126</v>
      </c>
      <c r="Q1746" t="s">
        <v>3808</v>
      </c>
    </row>
    <row r="1747" spans="1:17" x14ac:dyDescent="0.3">
      <c r="A1747" t="s">
        <v>17</v>
      </c>
      <c r="B1747" t="str">
        <f>"603818"</f>
        <v>603818</v>
      </c>
      <c r="C1747" t="s">
        <v>3809</v>
      </c>
      <c r="D1747" t="s">
        <v>664</v>
      </c>
      <c r="E1747">
        <v>17907459</v>
      </c>
      <c r="F1747">
        <v>-52975023</v>
      </c>
      <c r="G1747">
        <v>-35202182</v>
      </c>
      <c r="H1747">
        <v>139098033</v>
      </c>
      <c r="I1747">
        <v>-53130904</v>
      </c>
      <c r="J1747">
        <v>-304429</v>
      </c>
      <c r="K1747">
        <v>-3776443</v>
      </c>
      <c r="L1747">
        <v>-16514348</v>
      </c>
      <c r="M1747">
        <v>-47985115</v>
      </c>
      <c r="P1747">
        <v>202</v>
      </c>
      <c r="Q1747" t="s">
        <v>3810</v>
      </c>
    </row>
    <row r="1748" spans="1:17" x14ac:dyDescent="0.3">
      <c r="A1748" t="s">
        <v>33</v>
      </c>
      <c r="B1748" t="str">
        <f>"301120"</f>
        <v>301120</v>
      </c>
      <c r="C1748" t="s">
        <v>3811</v>
      </c>
      <c r="E1748">
        <v>17893778</v>
      </c>
      <c r="F1748">
        <v>4567384</v>
      </c>
      <c r="P1748">
        <v>7</v>
      </c>
      <c r="Q1748" t="s">
        <v>3812</v>
      </c>
    </row>
    <row r="1749" spans="1:17" x14ac:dyDescent="0.3">
      <c r="A1749" t="s">
        <v>33</v>
      </c>
      <c r="B1749" t="str">
        <f>"300849"</f>
        <v>300849</v>
      </c>
      <c r="C1749" t="s">
        <v>3813</v>
      </c>
      <c r="D1749" t="s">
        <v>2110</v>
      </c>
      <c r="E1749">
        <v>17873153</v>
      </c>
      <c r="F1749">
        <v>-3295048</v>
      </c>
      <c r="G1749">
        <v>4659594</v>
      </c>
      <c r="H1749">
        <v>19152532</v>
      </c>
      <c r="P1749">
        <v>44</v>
      </c>
      <c r="Q1749" t="s">
        <v>3814</v>
      </c>
    </row>
    <row r="1750" spans="1:17" x14ac:dyDescent="0.3">
      <c r="A1750" t="s">
        <v>33</v>
      </c>
      <c r="B1750" t="str">
        <f>"000558"</f>
        <v>000558</v>
      </c>
      <c r="C1750" t="s">
        <v>3815</v>
      </c>
      <c r="D1750" t="s">
        <v>167</v>
      </c>
      <c r="E1750">
        <v>17796710</v>
      </c>
      <c r="F1750">
        <v>-24914475</v>
      </c>
      <c r="G1750">
        <v>-15688049</v>
      </c>
      <c r="H1750">
        <v>-26775630</v>
      </c>
      <c r="I1750">
        <v>-40982662</v>
      </c>
      <c r="J1750">
        <v>-108610138</v>
      </c>
      <c r="K1750">
        <v>106567294</v>
      </c>
      <c r="L1750">
        <v>-7065520</v>
      </c>
      <c r="M1750">
        <v>-64180810</v>
      </c>
      <c r="N1750">
        <v>223775763</v>
      </c>
      <c r="O1750">
        <v>72968046</v>
      </c>
      <c r="P1750">
        <v>118</v>
      </c>
      <c r="Q1750" t="s">
        <v>3816</v>
      </c>
    </row>
    <row r="1751" spans="1:17" x14ac:dyDescent="0.3">
      <c r="A1751" t="s">
        <v>33</v>
      </c>
      <c r="B1751" t="str">
        <f>"300044"</f>
        <v>300044</v>
      </c>
      <c r="C1751" t="s">
        <v>3817</v>
      </c>
      <c r="D1751" t="s">
        <v>508</v>
      </c>
      <c r="E1751">
        <v>17726698</v>
      </c>
      <c r="F1751">
        <v>9189090</v>
      </c>
      <c r="G1751">
        <v>-294221098</v>
      </c>
      <c r="H1751">
        <v>-47754444</v>
      </c>
      <c r="I1751">
        <v>-131420353</v>
      </c>
      <c r="J1751">
        <v>-256078920</v>
      </c>
      <c r="K1751">
        <v>-42644983</v>
      </c>
      <c r="L1751">
        <v>-57091064</v>
      </c>
      <c r="M1751">
        <v>-16766254</v>
      </c>
      <c r="N1751">
        <v>-20068965</v>
      </c>
      <c r="O1751">
        <v>7688401</v>
      </c>
      <c r="P1751">
        <v>289</v>
      </c>
      <c r="Q1751" t="s">
        <v>3818</v>
      </c>
    </row>
    <row r="1752" spans="1:17" x14ac:dyDescent="0.3">
      <c r="A1752" t="s">
        <v>33</v>
      </c>
      <c r="B1752" t="str">
        <f>"000592"</f>
        <v>000592</v>
      </c>
      <c r="C1752" t="s">
        <v>3819</v>
      </c>
      <c r="D1752" t="s">
        <v>3820</v>
      </c>
      <c r="E1752">
        <v>17664509</v>
      </c>
      <c r="F1752">
        <v>-78113855</v>
      </c>
      <c r="G1752">
        <v>-194855844</v>
      </c>
      <c r="H1752">
        <v>-35002996</v>
      </c>
      <c r="I1752">
        <v>-40081864</v>
      </c>
      <c r="J1752">
        <v>-101938583</v>
      </c>
      <c r="K1752">
        <v>-74528246</v>
      </c>
      <c r="L1752">
        <v>-50910829</v>
      </c>
      <c r="M1752">
        <v>-9047485</v>
      </c>
      <c r="N1752">
        <v>-92650295</v>
      </c>
      <c r="O1752">
        <v>16764315</v>
      </c>
      <c r="P1752">
        <v>150</v>
      </c>
      <c r="Q1752" t="s">
        <v>3821</v>
      </c>
    </row>
    <row r="1753" spans="1:17" x14ac:dyDescent="0.3">
      <c r="A1753" t="s">
        <v>33</v>
      </c>
      <c r="B1753" t="str">
        <f>"002472"</f>
        <v>002472</v>
      </c>
      <c r="C1753" t="s">
        <v>3822</v>
      </c>
      <c r="D1753" t="s">
        <v>858</v>
      </c>
      <c r="E1753">
        <v>17642948</v>
      </c>
      <c r="F1753">
        <v>156504500</v>
      </c>
      <c r="G1753">
        <v>200395338</v>
      </c>
      <c r="H1753">
        <v>-28873542</v>
      </c>
      <c r="I1753">
        <v>-75847979</v>
      </c>
      <c r="J1753">
        <v>27331908</v>
      </c>
      <c r="K1753">
        <v>33978286</v>
      </c>
      <c r="L1753">
        <v>13113250</v>
      </c>
      <c r="M1753">
        <v>5771165</v>
      </c>
      <c r="N1753">
        <v>12372660</v>
      </c>
      <c r="O1753">
        <v>8856181</v>
      </c>
      <c r="P1753">
        <v>258</v>
      </c>
      <c r="Q1753" t="s">
        <v>3823</v>
      </c>
    </row>
    <row r="1754" spans="1:17" x14ac:dyDescent="0.3">
      <c r="A1754" t="s">
        <v>33</v>
      </c>
      <c r="B1754" t="str">
        <f>"300219"</f>
        <v>300219</v>
      </c>
      <c r="C1754" t="s">
        <v>3824</v>
      </c>
      <c r="D1754" t="s">
        <v>1299</v>
      </c>
      <c r="E1754">
        <v>17576436</v>
      </c>
      <c r="F1754">
        <v>-35078137</v>
      </c>
      <c r="G1754">
        <v>-796576</v>
      </c>
      <c r="H1754">
        <v>106073986</v>
      </c>
      <c r="I1754">
        <v>118354164</v>
      </c>
      <c r="J1754">
        <v>-3616988</v>
      </c>
      <c r="K1754">
        <v>14494394</v>
      </c>
      <c r="L1754">
        <v>1903617</v>
      </c>
      <c r="M1754">
        <v>111408</v>
      </c>
      <c r="N1754">
        <v>21878839</v>
      </c>
      <c r="O1754">
        <v>15417625</v>
      </c>
      <c r="P1754">
        <v>135</v>
      </c>
      <c r="Q1754" t="s">
        <v>3825</v>
      </c>
    </row>
    <row r="1755" spans="1:17" x14ac:dyDescent="0.3">
      <c r="A1755" t="s">
        <v>33</v>
      </c>
      <c r="B1755" t="str">
        <f>"300485"</f>
        <v>300485</v>
      </c>
      <c r="C1755" t="s">
        <v>3826</v>
      </c>
      <c r="D1755" t="s">
        <v>756</v>
      </c>
      <c r="E1755">
        <v>17571413</v>
      </c>
      <c r="F1755">
        <v>26925247</v>
      </c>
      <c r="G1755">
        <v>35097217</v>
      </c>
      <c r="H1755">
        <v>8792311</v>
      </c>
      <c r="I1755">
        <v>53370306</v>
      </c>
      <c r="J1755">
        <v>-792833</v>
      </c>
      <c r="K1755">
        <v>46124217</v>
      </c>
      <c r="L1755">
        <v>-10088400</v>
      </c>
      <c r="M1755">
        <v>18468500</v>
      </c>
      <c r="P1755">
        <v>196</v>
      </c>
      <c r="Q1755" t="s">
        <v>3827</v>
      </c>
    </row>
    <row r="1756" spans="1:17" x14ac:dyDescent="0.3">
      <c r="A1756" t="s">
        <v>17</v>
      </c>
      <c r="B1756" t="str">
        <f>"688571"</f>
        <v>688571</v>
      </c>
      <c r="C1756" t="s">
        <v>3828</v>
      </c>
      <c r="D1756" t="s">
        <v>1341</v>
      </c>
      <c r="E1756">
        <v>17567056</v>
      </c>
      <c r="F1756">
        <v>18632727</v>
      </c>
      <c r="G1756">
        <v>-5039952</v>
      </c>
      <c r="P1756">
        <v>29</v>
      </c>
      <c r="Q1756" t="s">
        <v>3829</v>
      </c>
    </row>
    <row r="1757" spans="1:17" x14ac:dyDescent="0.3">
      <c r="A1757" t="s">
        <v>17</v>
      </c>
      <c r="B1757" t="str">
        <f>"603025"</f>
        <v>603025</v>
      </c>
      <c r="C1757" t="s">
        <v>3830</v>
      </c>
      <c r="D1757" t="s">
        <v>2148</v>
      </c>
      <c r="E1757">
        <v>17547676</v>
      </c>
      <c r="F1757">
        <v>-3526935</v>
      </c>
      <c r="G1757">
        <v>-24231377</v>
      </c>
      <c r="H1757">
        <v>70229632</v>
      </c>
      <c r="I1757">
        <v>35520973</v>
      </c>
      <c r="J1757">
        <v>46135965</v>
      </c>
      <c r="K1757">
        <v>63251584</v>
      </c>
      <c r="L1757">
        <v>23944105</v>
      </c>
      <c r="M1757">
        <v>14586448</v>
      </c>
      <c r="P1757">
        <v>434</v>
      </c>
      <c r="Q1757" t="s">
        <v>3831</v>
      </c>
    </row>
    <row r="1758" spans="1:17" x14ac:dyDescent="0.3">
      <c r="A1758" t="s">
        <v>17</v>
      </c>
      <c r="B1758" t="str">
        <f>"688085"</f>
        <v>688085</v>
      </c>
      <c r="C1758" t="s">
        <v>3832</v>
      </c>
      <c r="D1758" t="s">
        <v>903</v>
      </c>
      <c r="E1758">
        <v>17443720</v>
      </c>
      <c r="F1758">
        <v>-1040474</v>
      </c>
      <c r="G1758">
        <v>5505502</v>
      </c>
      <c r="H1758">
        <v>9860753</v>
      </c>
      <c r="P1758">
        <v>197</v>
      </c>
      <c r="Q1758" t="s">
        <v>3833</v>
      </c>
    </row>
    <row r="1759" spans="1:17" x14ac:dyDescent="0.3">
      <c r="A1759" t="s">
        <v>33</v>
      </c>
      <c r="B1759" t="str">
        <f>"300192"</f>
        <v>300192</v>
      </c>
      <c r="C1759" t="s">
        <v>3834</v>
      </c>
      <c r="D1759" t="s">
        <v>761</v>
      </c>
      <c r="E1759">
        <v>17440420</v>
      </c>
      <c r="F1759">
        <v>53294139</v>
      </c>
      <c r="G1759">
        <v>112801585</v>
      </c>
      <c r="H1759">
        <v>109450395</v>
      </c>
      <c r="I1759">
        <v>76542908</v>
      </c>
      <c r="J1759">
        <v>13201354</v>
      </c>
      <c r="K1759">
        <v>18639167</v>
      </c>
      <c r="L1759">
        <v>7909622</v>
      </c>
      <c r="M1759">
        <v>2360073</v>
      </c>
      <c r="N1759">
        <v>2063122</v>
      </c>
      <c r="O1759">
        <v>-6474420</v>
      </c>
      <c r="P1759">
        <v>182</v>
      </c>
      <c r="Q1759" t="s">
        <v>3835</v>
      </c>
    </row>
    <row r="1760" spans="1:17" x14ac:dyDescent="0.3">
      <c r="A1760" t="s">
        <v>33</v>
      </c>
      <c r="B1760" t="str">
        <f>"002732"</f>
        <v>002732</v>
      </c>
      <c r="C1760" t="s">
        <v>3836</v>
      </c>
      <c r="D1760" t="s">
        <v>918</v>
      </c>
      <c r="E1760">
        <v>17371701</v>
      </c>
      <c r="F1760">
        <v>52358991</v>
      </c>
      <c r="G1760">
        <v>-2416502</v>
      </c>
      <c r="H1760">
        <v>6568010</v>
      </c>
      <c r="I1760">
        <v>-22704539</v>
      </c>
      <c r="J1760">
        <v>805812</v>
      </c>
      <c r="K1760">
        <v>-21338385</v>
      </c>
      <c r="L1760">
        <v>-9391153</v>
      </c>
      <c r="M1760">
        <v>-53602687</v>
      </c>
      <c r="P1760">
        <v>349</v>
      </c>
      <c r="Q1760" t="s">
        <v>3837</v>
      </c>
    </row>
    <row r="1761" spans="1:17" x14ac:dyDescent="0.3">
      <c r="A1761" t="s">
        <v>33</v>
      </c>
      <c r="B1761" t="str">
        <f>"002122"</f>
        <v>002122</v>
      </c>
      <c r="C1761" t="s">
        <v>3838</v>
      </c>
      <c r="D1761" t="s">
        <v>164</v>
      </c>
      <c r="E1761">
        <v>17201341</v>
      </c>
      <c r="F1761">
        <v>-9076420</v>
      </c>
      <c r="G1761">
        <v>-17403903</v>
      </c>
      <c r="H1761">
        <v>-45075399</v>
      </c>
      <c r="I1761">
        <v>-278594193</v>
      </c>
      <c r="J1761">
        <v>38985149</v>
      </c>
      <c r="K1761">
        <v>131010862</v>
      </c>
      <c r="L1761">
        <v>4377229</v>
      </c>
      <c r="M1761">
        <v>104221734</v>
      </c>
      <c r="N1761">
        <v>46599682</v>
      </c>
      <c r="O1761">
        <v>69386565</v>
      </c>
      <c r="P1761">
        <v>69</v>
      </c>
      <c r="Q1761" t="s">
        <v>3839</v>
      </c>
    </row>
    <row r="1762" spans="1:17" x14ac:dyDescent="0.3">
      <c r="A1762" t="s">
        <v>33</v>
      </c>
      <c r="B1762" t="str">
        <f>"300502"</f>
        <v>300502</v>
      </c>
      <c r="C1762" t="s">
        <v>3840</v>
      </c>
      <c r="D1762" t="s">
        <v>461</v>
      </c>
      <c r="E1762">
        <v>17174344</v>
      </c>
      <c r="F1762">
        <v>-29565878</v>
      </c>
      <c r="G1762">
        <v>103535143</v>
      </c>
      <c r="H1762">
        <v>18509097</v>
      </c>
      <c r="I1762">
        <v>62104036</v>
      </c>
      <c r="J1762">
        <v>-43148455</v>
      </c>
      <c r="K1762">
        <v>-14043365</v>
      </c>
      <c r="L1762">
        <v>-7743457</v>
      </c>
      <c r="P1762">
        <v>636</v>
      </c>
      <c r="Q1762" t="s">
        <v>3841</v>
      </c>
    </row>
    <row r="1763" spans="1:17" x14ac:dyDescent="0.3">
      <c r="A1763" t="s">
        <v>17</v>
      </c>
      <c r="B1763" t="str">
        <f>"688103"</f>
        <v>688103</v>
      </c>
      <c r="C1763" t="s">
        <v>3842</v>
      </c>
      <c r="D1763" t="s">
        <v>499</v>
      </c>
      <c r="E1763">
        <v>17131843</v>
      </c>
      <c r="P1763">
        <v>13</v>
      </c>
      <c r="Q1763" t="s">
        <v>3843</v>
      </c>
    </row>
    <row r="1764" spans="1:17" x14ac:dyDescent="0.3">
      <c r="A1764" t="s">
        <v>17</v>
      </c>
      <c r="B1764" t="str">
        <f>"688566"</f>
        <v>688566</v>
      </c>
      <c r="C1764" t="s">
        <v>3844</v>
      </c>
      <c r="D1764" t="s">
        <v>590</v>
      </c>
      <c r="E1764">
        <v>17129889</v>
      </c>
      <c r="F1764">
        <v>18432797</v>
      </c>
      <c r="G1764">
        <v>22158450</v>
      </c>
      <c r="H1764">
        <v>11490604</v>
      </c>
      <c r="P1764">
        <v>69</v>
      </c>
      <c r="Q1764" t="s">
        <v>3845</v>
      </c>
    </row>
    <row r="1765" spans="1:17" x14ac:dyDescent="0.3">
      <c r="A1765" t="s">
        <v>17</v>
      </c>
      <c r="B1765" t="str">
        <f>"600193"</f>
        <v>600193</v>
      </c>
      <c r="C1765" t="s">
        <v>3846</v>
      </c>
      <c r="D1765" t="s">
        <v>1779</v>
      </c>
      <c r="E1765">
        <v>17111966</v>
      </c>
      <c r="F1765">
        <v>-4264608</v>
      </c>
      <c r="G1765">
        <v>-90054163</v>
      </c>
      <c r="H1765">
        <v>-54498670</v>
      </c>
      <c r="I1765">
        <v>-8935351</v>
      </c>
      <c r="J1765">
        <v>20635471</v>
      </c>
      <c r="K1765">
        <v>-14424478</v>
      </c>
      <c r="L1765">
        <v>-26609547</v>
      </c>
      <c r="M1765">
        <v>19589853</v>
      </c>
      <c r="N1765">
        <v>-25042142</v>
      </c>
      <c r="O1765">
        <v>-20219831</v>
      </c>
      <c r="P1765">
        <v>57</v>
      </c>
      <c r="Q1765" t="s">
        <v>3847</v>
      </c>
    </row>
    <row r="1766" spans="1:17" x14ac:dyDescent="0.3">
      <c r="A1766" t="s">
        <v>33</v>
      </c>
      <c r="B1766" t="str">
        <f>"002243"</f>
        <v>002243</v>
      </c>
      <c r="C1766" t="s">
        <v>3848</v>
      </c>
      <c r="D1766" t="s">
        <v>2110</v>
      </c>
      <c r="E1766">
        <v>17111725</v>
      </c>
      <c r="F1766">
        <v>-182277673</v>
      </c>
      <c r="G1766">
        <v>-52567726</v>
      </c>
      <c r="H1766">
        <v>58506275</v>
      </c>
      <c r="I1766">
        <v>-11720655</v>
      </c>
      <c r="J1766">
        <v>8810893</v>
      </c>
      <c r="K1766">
        <v>3531556</v>
      </c>
      <c r="L1766">
        <v>29984992</v>
      </c>
      <c r="M1766">
        <v>25761405</v>
      </c>
      <c r="N1766">
        <v>18047519</v>
      </c>
      <c r="O1766">
        <v>-5441163</v>
      </c>
      <c r="P1766">
        <v>155</v>
      </c>
      <c r="Q1766" t="s">
        <v>3849</v>
      </c>
    </row>
    <row r="1767" spans="1:17" x14ac:dyDescent="0.3">
      <c r="A1767" t="s">
        <v>33</v>
      </c>
      <c r="B1767" t="str">
        <f>"002138"</f>
        <v>002138</v>
      </c>
      <c r="C1767" t="s">
        <v>3850</v>
      </c>
      <c r="D1767" t="s">
        <v>869</v>
      </c>
      <c r="E1767">
        <v>17097431</v>
      </c>
      <c r="F1767">
        <v>95997251</v>
      </c>
      <c r="G1767">
        <v>142028110</v>
      </c>
      <c r="H1767">
        <v>74112328</v>
      </c>
      <c r="I1767">
        <v>197394997</v>
      </c>
      <c r="J1767">
        <v>82793309</v>
      </c>
      <c r="K1767">
        <v>46473162</v>
      </c>
      <c r="L1767">
        <v>70079221</v>
      </c>
      <c r="M1767">
        <v>55345524</v>
      </c>
      <c r="N1767">
        <v>1034269</v>
      </c>
      <c r="O1767">
        <v>56339647</v>
      </c>
      <c r="P1767">
        <v>1065</v>
      </c>
      <c r="Q1767" t="s">
        <v>3851</v>
      </c>
    </row>
    <row r="1768" spans="1:17" x14ac:dyDescent="0.3">
      <c r="A1768" t="s">
        <v>33</v>
      </c>
      <c r="B1768" t="str">
        <f>"002910"</f>
        <v>002910</v>
      </c>
      <c r="C1768" t="s">
        <v>3852</v>
      </c>
      <c r="D1768" t="s">
        <v>918</v>
      </c>
      <c r="E1768">
        <v>17051387</v>
      </c>
      <c r="F1768">
        <v>71478745</v>
      </c>
      <c r="G1768">
        <v>45117172</v>
      </c>
      <c r="H1768">
        <v>41658853</v>
      </c>
      <c r="I1768">
        <v>-11937701</v>
      </c>
      <c r="J1768">
        <v>25204650</v>
      </c>
      <c r="P1768">
        <v>147</v>
      </c>
      <c r="Q1768" t="s">
        <v>3853</v>
      </c>
    </row>
    <row r="1769" spans="1:17" x14ac:dyDescent="0.3">
      <c r="A1769" t="s">
        <v>17</v>
      </c>
      <c r="B1769" t="str">
        <f>"600844"</f>
        <v>600844</v>
      </c>
      <c r="C1769" t="s">
        <v>3854</v>
      </c>
      <c r="D1769" t="s">
        <v>301</v>
      </c>
      <c r="E1769">
        <v>17021091</v>
      </c>
      <c r="F1769">
        <v>1734620</v>
      </c>
      <c r="G1769">
        <v>77172711</v>
      </c>
      <c r="H1769">
        <v>95928728</v>
      </c>
      <c r="I1769">
        <v>187476185</v>
      </c>
      <c r="J1769">
        <v>126793541</v>
      </c>
      <c r="K1769">
        <v>5782990</v>
      </c>
      <c r="L1769">
        <v>22109522</v>
      </c>
      <c r="M1769">
        <v>92947423</v>
      </c>
      <c r="N1769">
        <v>-73054294</v>
      </c>
      <c r="O1769">
        <v>336103912</v>
      </c>
      <c r="P1769">
        <v>106</v>
      </c>
      <c r="Q1769" t="s">
        <v>3855</v>
      </c>
    </row>
    <row r="1770" spans="1:17" x14ac:dyDescent="0.3">
      <c r="A1770" t="s">
        <v>17</v>
      </c>
      <c r="B1770" t="str">
        <f>"600029"</f>
        <v>600029</v>
      </c>
      <c r="C1770" t="s">
        <v>3856</v>
      </c>
      <c r="D1770" t="s">
        <v>1166</v>
      </c>
      <c r="E1770">
        <v>17000000</v>
      </c>
      <c r="F1770">
        <v>-51000000</v>
      </c>
      <c r="G1770">
        <v>-8238000000</v>
      </c>
      <c r="H1770">
        <v>5087000000</v>
      </c>
      <c r="I1770">
        <v>4516000000</v>
      </c>
      <c r="J1770">
        <v>2857000000</v>
      </c>
      <c r="K1770">
        <v>4865000000</v>
      </c>
      <c r="L1770">
        <v>5441000000</v>
      </c>
      <c r="M1770">
        <v>987000000</v>
      </c>
      <c r="N1770">
        <v>2637000000</v>
      </c>
      <c r="O1770">
        <v>879000000</v>
      </c>
      <c r="P1770">
        <v>1137</v>
      </c>
      <c r="Q1770" t="s">
        <v>3857</v>
      </c>
    </row>
    <row r="1771" spans="1:17" x14ac:dyDescent="0.3">
      <c r="A1771" t="s">
        <v>17</v>
      </c>
      <c r="B1771" t="str">
        <f>"603311"</f>
        <v>603311</v>
      </c>
      <c r="C1771" t="s">
        <v>3858</v>
      </c>
      <c r="D1771" t="s">
        <v>1869</v>
      </c>
      <c r="E1771">
        <v>16842120</v>
      </c>
      <c r="F1771">
        <v>2678491</v>
      </c>
      <c r="G1771">
        <v>35346445</v>
      </c>
      <c r="H1771">
        <v>3443057</v>
      </c>
      <c r="I1771">
        <v>8630310</v>
      </c>
      <c r="J1771">
        <v>8516835</v>
      </c>
      <c r="K1771">
        <v>15128504</v>
      </c>
      <c r="L1771">
        <v>7465184</v>
      </c>
      <c r="M1771">
        <v>28375163</v>
      </c>
      <c r="P1771">
        <v>96</v>
      </c>
      <c r="Q1771" t="s">
        <v>3859</v>
      </c>
    </row>
    <row r="1772" spans="1:17" x14ac:dyDescent="0.3">
      <c r="A1772" t="s">
        <v>17</v>
      </c>
      <c r="B1772" t="str">
        <f>"600666"</f>
        <v>600666</v>
      </c>
      <c r="C1772" t="s">
        <v>3860</v>
      </c>
      <c r="D1772" t="s">
        <v>102</v>
      </c>
      <c r="E1772">
        <v>16799482</v>
      </c>
      <c r="F1772">
        <v>23270940</v>
      </c>
      <c r="G1772">
        <v>-45991658</v>
      </c>
      <c r="H1772">
        <v>33798894</v>
      </c>
      <c r="I1772">
        <v>31341294</v>
      </c>
      <c r="J1772">
        <v>112140328</v>
      </c>
      <c r="K1772">
        <v>-184594988</v>
      </c>
      <c r="L1772">
        <v>128957237</v>
      </c>
      <c r="M1772">
        <v>55407263</v>
      </c>
      <c r="N1772">
        <v>49707337</v>
      </c>
      <c r="O1772">
        <v>32320854</v>
      </c>
      <c r="P1772">
        <v>75</v>
      </c>
      <c r="Q1772" t="s">
        <v>3861</v>
      </c>
    </row>
    <row r="1773" spans="1:17" x14ac:dyDescent="0.3">
      <c r="A1773" t="s">
        <v>33</v>
      </c>
      <c r="B1773" t="str">
        <f>"002836"</f>
        <v>002836</v>
      </c>
      <c r="C1773" t="s">
        <v>3862</v>
      </c>
      <c r="D1773" t="s">
        <v>1015</v>
      </c>
      <c r="E1773">
        <v>16744274</v>
      </c>
      <c r="F1773">
        <v>6515174</v>
      </c>
      <c r="G1773">
        <v>11238881</v>
      </c>
      <c r="H1773">
        <v>-1823769</v>
      </c>
      <c r="I1773">
        <v>21023562</v>
      </c>
      <c r="J1773">
        <v>-19484992</v>
      </c>
      <c r="K1773">
        <v>16311519</v>
      </c>
      <c r="P1773">
        <v>63</v>
      </c>
      <c r="Q1773" t="s">
        <v>3863</v>
      </c>
    </row>
    <row r="1774" spans="1:17" x14ac:dyDescent="0.3">
      <c r="A1774" t="s">
        <v>17</v>
      </c>
      <c r="B1774" t="str">
        <f>"600689"</f>
        <v>600689</v>
      </c>
      <c r="C1774" t="s">
        <v>3864</v>
      </c>
      <c r="D1774" t="s">
        <v>1292</v>
      </c>
      <c r="E1774">
        <v>16642257</v>
      </c>
      <c r="F1774">
        <v>19599508</v>
      </c>
      <c r="G1774">
        <v>19351576</v>
      </c>
      <c r="H1774">
        <v>-39959875</v>
      </c>
      <c r="I1774">
        <v>-49799895</v>
      </c>
      <c r="J1774">
        <v>-24872800</v>
      </c>
      <c r="K1774">
        <v>46880273</v>
      </c>
      <c r="L1774">
        <v>5135012</v>
      </c>
      <c r="M1774">
        <v>1931300</v>
      </c>
      <c r="N1774">
        <v>-93942460</v>
      </c>
      <c r="O1774">
        <v>-108639120</v>
      </c>
      <c r="P1774">
        <v>74</v>
      </c>
      <c r="Q1774" t="s">
        <v>3865</v>
      </c>
    </row>
    <row r="1775" spans="1:17" x14ac:dyDescent="0.3">
      <c r="A1775" t="s">
        <v>17</v>
      </c>
      <c r="B1775" t="str">
        <f>"600523"</f>
        <v>600523</v>
      </c>
      <c r="C1775" t="s">
        <v>3866</v>
      </c>
      <c r="D1775" t="s">
        <v>1419</v>
      </c>
      <c r="E1775">
        <v>16577695</v>
      </c>
      <c r="F1775">
        <v>-70508393</v>
      </c>
      <c r="G1775">
        <v>-72557189</v>
      </c>
      <c r="H1775">
        <v>9435407</v>
      </c>
      <c r="I1775">
        <v>346614</v>
      </c>
      <c r="J1775">
        <v>28403381</v>
      </c>
      <c r="K1775">
        <v>15589625</v>
      </c>
      <c r="L1775">
        <v>-46615270</v>
      </c>
      <c r="M1775">
        <v>-103564910</v>
      </c>
      <c r="N1775">
        <v>-60351687</v>
      </c>
      <c r="O1775">
        <v>27841964</v>
      </c>
      <c r="P1775">
        <v>96</v>
      </c>
      <c r="Q1775" t="s">
        <v>3867</v>
      </c>
    </row>
    <row r="1776" spans="1:17" x14ac:dyDescent="0.3">
      <c r="A1776" t="s">
        <v>33</v>
      </c>
      <c r="B1776" t="str">
        <f>"300270"</f>
        <v>300270</v>
      </c>
      <c r="C1776" t="s">
        <v>3868</v>
      </c>
      <c r="D1776" t="s">
        <v>2597</v>
      </c>
      <c r="E1776">
        <v>16375122</v>
      </c>
      <c r="F1776">
        <v>1084918</v>
      </c>
      <c r="G1776">
        <v>35655263</v>
      </c>
      <c r="H1776">
        <v>-44062092</v>
      </c>
      <c r="I1776">
        <v>-70959409</v>
      </c>
      <c r="J1776">
        <v>-66521051</v>
      </c>
      <c r="K1776">
        <v>-16506508</v>
      </c>
      <c r="L1776">
        <v>-8514835</v>
      </c>
      <c r="M1776">
        <v>-4951478</v>
      </c>
      <c r="N1776">
        <v>1982958</v>
      </c>
      <c r="O1776">
        <v>-19426369</v>
      </c>
      <c r="P1776">
        <v>136</v>
      </c>
      <c r="Q1776" t="s">
        <v>3869</v>
      </c>
    </row>
    <row r="1777" spans="1:17" x14ac:dyDescent="0.3">
      <c r="A1777" t="s">
        <v>33</v>
      </c>
      <c r="B1777" t="str">
        <f>"003011"</f>
        <v>003011</v>
      </c>
      <c r="C1777" t="s">
        <v>3870</v>
      </c>
      <c r="D1777" t="s">
        <v>2743</v>
      </c>
      <c r="E1777">
        <v>16330734</v>
      </c>
      <c r="F1777">
        <v>-99833686</v>
      </c>
      <c r="G1777">
        <v>24302153</v>
      </c>
      <c r="P1777">
        <v>89</v>
      </c>
      <c r="Q1777" t="s">
        <v>3871</v>
      </c>
    </row>
    <row r="1778" spans="1:17" x14ac:dyDescent="0.3">
      <c r="A1778" t="s">
        <v>33</v>
      </c>
      <c r="B1778" t="str">
        <f>"300680"</f>
        <v>300680</v>
      </c>
      <c r="C1778" t="s">
        <v>3872</v>
      </c>
      <c r="D1778" t="s">
        <v>858</v>
      </c>
      <c r="E1778">
        <v>16317461</v>
      </c>
      <c r="F1778">
        <v>-9145301</v>
      </c>
      <c r="G1778">
        <v>-2128629</v>
      </c>
      <c r="H1778">
        <v>-5275263</v>
      </c>
      <c r="I1778">
        <v>-19689346</v>
      </c>
      <c r="J1778">
        <v>-10375369</v>
      </c>
      <c r="K1778">
        <v>-3058389</v>
      </c>
      <c r="P1778">
        <v>114</v>
      </c>
      <c r="Q1778" t="s">
        <v>3873</v>
      </c>
    </row>
    <row r="1779" spans="1:17" x14ac:dyDescent="0.3">
      <c r="A1779" t="s">
        <v>33</v>
      </c>
      <c r="B1779" t="str">
        <f>"002803"</f>
        <v>002803</v>
      </c>
      <c r="C1779" t="s">
        <v>3874</v>
      </c>
      <c r="D1779" t="s">
        <v>2878</v>
      </c>
      <c r="E1779">
        <v>16301795</v>
      </c>
      <c r="F1779">
        <v>63577676</v>
      </c>
      <c r="G1779">
        <v>-43272122</v>
      </c>
      <c r="H1779">
        <v>73040658</v>
      </c>
      <c r="I1779">
        <v>46292287</v>
      </c>
      <c r="J1779">
        <v>-12081879</v>
      </c>
      <c r="K1779">
        <v>-18434404</v>
      </c>
      <c r="L1779">
        <v>-7081598</v>
      </c>
      <c r="P1779">
        <v>601</v>
      </c>
      <c r="Q1779" t="s">
        <v>3875</v>
      </c>
    </row>
    <row r="1780" spans="1:17" x14ac:dyDescent="0.3">
      <c r="A1780" t="s">
        <v>17</v>
      </c>
      <c r="B1780" t="str">
        <f>"600696"</f>
        <v>600696</v>
      </c>
      <c r="C1780" t="s">
        <v>3876</v>
      </c>
      <c r="D1780" t="s">
        <v>523</v>
      </c>
      <c r="E1780">
        <v>16283847</v>
      </c>
      <c r="F1780">
        <v>186487317</v>
      </c>
      <c r="G1780">
        <v>135860623</v>
      </c>
      <c r="H1780">
        <v>-109479590</v>
      </c>
      <c r="I1780">
        <v>-18173659</v>
      </c>
      <c r="J1780">
        <v>41760297</v>
      </c>
      <c r="K1780">
        <v>-55346333</v>
      </c>
      <c r="L1780">
        <v>-14933565</v>
      </c>
      <c r="M1780">
        <v>54368490</v>
      </c>
      <c r="N1780">
        <v>19013630</v>
      </c>
      <c r="O1780">
        <v>48551337</v>
      </c>
      <c r="P1780">
        <v>95</v>
      </c>
      <c r="Q1780" t="s">
        <v>3877</v>
      </c>
    </row>
    <row r="1781" spans="1:17" x14ac:dyDescent="0.3">
      <c r="A1781" t="s">
        <v>17</v>
      </c>
      <c r="B1781" t="str">
        <f>"605155"</f>
        <v>605155</v>
      </c>
      <c r="C1781" t="s">
        <v>3878</v>
      </c>
      <c r="D1781" t="s">
        <v>927</v>
      </c>
      <c r="E1781">
        <v>16277621</v>
      </c>
      <c r="F1781">
        <v>7953121</v>
      </c>
      <c r="G1781">
        <v>21337096</v>
      </c>
      <c r="P1781">
        <v>45</v>
      </c>
      <c r="Q1781" t="s">
        <v>3879</v>
      </c>
    </row>
    <row r="1782" spans="1:17" x14ac:dyDescent="0.3">
      <c r="A1782" t="s">
        <v>17</v>
      </c>
      <c r="B1782" t="str">
        <f>"688350"</f>
        <v>688350</v>
      </c>
      <c r="C1782" t="s">
        <v>3880</v>
      </c>
      <c r="D1782" t="s">
        <v>418</v>
      </c>
      <c r="E1782">
        <v>16094073</v>
      </c>
      <c r="F1782">
        <v>3533621</v>
      </c>
      <c r="G1782">
        <v>39435406</v>
      </c>
      <c r="P1782">
        <v>34</v>
      </c>
      <c r="Q1782" t="s">
        <v>3881</v>
      </c>
    </row>
    <row r="1783" spans="1:17" x14ac:dyDescent="0.3">
      <c r="A1783" t="s">
        <v>33</v>
      </c>
      <c r="B1783" t="str">
        <f>"000026"</f>
        <v>000026</v>
      </c>
      <c r="C1783" t="s">
        <v>3882</v>
      </c>
      <c r="D1783" t="s">
        <v>161</v>
      </c>
      <c r="E1783">
        <v>16020422</v>
      </c>
      <c r="F1783">
        <v>28711220</v>
      </c>
      <c r="G1783">
        <v>-106747752</v>
      </c>
      <c r="H1783">
        <v>10730388</v>
      </c>
      <c r="I1783">
        <v>67632202</v>
      </c>
      <c r="J1783">
        <v>122917899</v>
      </c>
      <c r="K1783">
        <v>97495185</v>
      </c>
      <c r="L1783">
        <v>109358177</v>
      </c>
      <c r="M1783">
        <v>31053529</v>
      </c>
      <c r="N1783">
        <v>52376508</v>
      </c>
      <c r="O1783">
        <v>-65823576</v>
      </c>
      <c r="P1783">
        <v>321</v>
      </c>
      <c r="Q1783" t="s">
        <v>3883</v>
      </c>
    </row>
    <row r="1784" spans="1:17" x14ac:dyDescent="0.3">
      <c r="A1784" t="s">
        <v>33</v>
      </c>
      <c r="B1784" t="str">
        <f>"002598"</f>
        <v>002598</v>
      </c>
      <c r="C1784" t="s">
        <v>3884</v>
      </c>
      <c r="D1784" t="s">
        <v>1033</v>
      </c>
      <c r="E1784">
        <v>15974908</v>
      </c>
      <c r="F1784">
        <v>-37195601</v>
      </c>
      <c r="G1784">
        <v>2263629</v>
      </c>
      <c r="H1784">
        <v>-6526141</v>
      </c>
      <c r="I1784">
        <v>1622710</v>
      </c>
      <c r="J1784">
        <v>18470063</v>
      </c>
      <c r="K1784">
        <v>-12024774</v>
      </c>
      <c r="L1784">
        <v>-17360885</v>
      </c>
      <c r="M1784">
        <v>2643242</v>
      </c>
      <c r="N1784">
        <v>14344633</v>
      </c>
      <c r="O1784">
        <v>34682661</v>
      </c>
      <c r="P1784">
        <v>88</v>
      </c>
      <c r="Q1784" t="s">
        <v>3885</v>
      </c>
    </row>
    <row r="1785" spans="1:17" x14ac:dyDescent="0.3">
      <c r="A1785" t="s">
        <v>33</v>
      </c>
      <c r="B1785" t="str">
        <f>"002810"</f>
        <v>002810</v>
      </c>
      <c r="C1785" t="s">
        <v>3886</v>
      </c>
      <c r="D1785" t="s">
        <v>418</v>
      </c>
      <c r="E1785">
        <v>15864256</v>
      </c>
      <c r="F1785">
        <v>82389348</v>
      </c>
      <c r="G1785">
        <v>82126497</v>
      </c>
      <c r="H1785">
        <v>4880023</v>
      </c>
      <c r="I1785">
        <v>-33010308</v>
      </c>
      <c r="J1785">
        <v>-35128295</v>
      </c>
      <c r="K1785">
        <v>12558387</v>
      </c>
      <c r="P1785">
        <v>419</v>
      </c>
      <c r="Q1785" t="s">
        <v>3887</v>
      </c>
    </row>
    <row r="1786" spans="1:17" x14ac:dyDescent="0.3">
      <c r="A1786" t="s">
        <v>33</v>
      </c>
      <c r="B1786" t="str">
        <f>"002851"</f>
        <v>002851</v>
      </c>
      <c r="C1786" t="s">
        <v>3888</v>
      </c>
      <c r="D1786" t="s">
        <v>2956</v>
      </c>
      <c r="E1786">
        <v>15802382</v>
      </c>
      <c r="F1786">
        <v>-144018940</v>
      </c>
      <c r="G1786">
        <v>90224000</v>
      </c>
      <c r="H1786">
        <v>169346368</v>
      </c>
      <c r="I1786">
        <v>-3739054</v>
      </c>
      <c r="J1786">
        <v>25028274</v>
      </c>
      <c r="K1786">
        <v>39358318</v>
      </c>
      <c r="P1786">
        <v>565</v>
      </c>
      <c r="Q1786" t="s">
        <v>3889</v>
      </c>
    </row>
    <row r="1787" spans="1:17" x14ac:dyDescent="0.3">
      <c r="A1787" t="s">
        <v>17</v>
      </c>
      <c r="B1787" t="str">
        <f>"603016"</f>
        <v>603016</v>
      </c>
      <c r="C1787" t="s">
        <v>3890</v>
      </c>
      <c r="D1787" t="s">
        <v>675</v>
      </c>
      <c r="E1787">
        <v>15781899</v>
      </c>
      <c r="F1787">
        <v>-2598375</v>
      </c>
      <c r="G1787">
        <v>27451559</v>
      </c>
      <c r="H1787">
        <v>10737975</v>
      </c>
      <c r="I1787">
        <v>2512403</v>
      </c>
      <c r="J1787">
        <v>16403243</v>
      </c>
      <c r="K1787">
        <v>11385337</v>
      </c>
      <c r="L1787">
        <v>11919869</v>
      </c>
      <c r="P1787">
        <v>93</v>
      </c>
      <c r="Q1787" t="s">
        <v>3891</v>
      </c>
    </row>
    <row r="1788" spans="1:17" x14ac:dyDescent="0.3">
      <c r="A1788" t="s">
        <v>33</v>
      </c>
      <c r="B1788" t="str">
        <f>"300855"</f>
        <v>300855</v>
      </c>
      <c r="C1788" t="s">
        <v>3892</v>
      </c>
      <c r="D1788" t="s">
        <v>2576</v>
      </c>
      <c r="E1788">
        <v>15752274</v>
      </c>
      <c r="F1788">
        <v>-548532</v>
      </c>
      <c r="G1788">
        <v>-33928922</v>
      </c>
      <c r="H1788">
        <v>8513329</v>
      </c>
      <c r="P1788">
        <v>139</v>
      </c>
      <c r="Q1788" t="s">
        <v>3893</v>
      </c>
    </row>
    <row r="1789" spans="1:17" x14ac:dyDescent="0.3">
      <c r="A1789" t="s">
        <v>17</v>
      </c>
      <c r="B1789" t="str">
        <f>"600825"</f>
        <v>600825</v>
      </c>
      <c r="C1789" t="s">
        <v>3894</v>
      </c>
      <c r="D1789" t="s">
        <v>1501</v>
      </c>
      <c r="E1789">
        <v>15739214</v>
      </c>
      <c r="F1789">
        <v>1521174</v>
      </c>
      <c r="G1789">
        <v>-148597276</v>
      </c>
      <c r="H1789">
        <v>-263674870</v>
      </c>
      <c r="I1789">
        <v>-76962561</v>
      </c>
      <c r="J1789">
        <v>-71670012</v>
      </c>
      <c r="K1789">
        <v>18770364</v>
      </c>
      <c r="L1789">
        <v>-54116371</v>
      </c>
      <c r="M1789">
        <v>-150519082</v>
      </c>
      <c r="N1789">
        <v>-53431734</v>
      </c>
      <c r="O1789">
        <v>-89761543</v>
      </c>
      <c r="P1789">
        <v>84</v>
      </c>
      <c r="Q1789" t="s">
        <v>3895</v>
      </c>
    </row>
    <row r="1790" spans="1:17" x14ac:dyDescent="0.3">
      <c r="A1790" t="s">
        <v>17</v>
      </c>
      <c r="B1790" t="str">
        <f>"603687"</f>
        <v>603687</v>
      </c>
      <c r="C1790" t="s">
        <v>3896</v>
      </c>
      <c r="D1790" t="s">
        <v>1015</v>
      </c>
      <c r="E1790">
        <v>15694375</v>
      </c>
      <c r="F1790">
        <v>1043531</v>
      </c>
      <c r="G1790">
        <v>-95623485</v>
      </c>
      <c r="H1790">
        <v>-3863033</v>
      </c>
      <c r="I1790">
        <v>26358859</v>
      </c>
      <c r="P1790">
        <v>92</v>
      </c>
      <c r="Q1790" t="s">
        <v>3897</v>
      </c>
    </row>
    <row r="1791" spans="1:17" x14ac:dyDescent="0.3">
      <c r="A1791" t="s">
        <v>17</v>
      </c>
      <c r="B1791" t="str">
        <f>"688314"</f>
        <v>688314</v>
      </c>
      <c r="C1791" t="s">
        <v>3898</v>
      </c>
      <c r="D1791" t="s">
        <v>903</v>
      </c>
      <c r="E1791">
        <v>15656176</v>
      </c>
      <c r="F1791">
        <v>7325746</v>
      </c>
      <c r="G1791">
        <v>-825055</v>
      </c>
      <c r="P1791">
        <v>53</v>
      </c>
      <c r="Q1791" t="s">
        <v>3899</v>
      </c>
    </row>
    <row r="1792" spans="1:17" x14ac:dyDescent="0.3">
      <c r="A1792" t="s">
        <v>33</v>
      </c>
      <c r="B1792" t="str">
        <f>"300360"</f>
        <v>300360</v>
      </c>
      <c r="C1792" t="s">
        <v>3900</v>
      </c>
      <c r="D1792" t="s">
        <v>2128</v>
      </c>
      <c r="E1792">
        <v>15652911</v>
      </c>
      <c r="F1792">
        <v>-38270819</v>
      </c>
      <c r="G1792">
        <v>-7631256</v>
      </c>
      <c r="H1792">
        <v>12229877</v>
      </c>
      <c r="I1792">
        <v>24368527</v>
      </c>
      <c r="J1792">
        <v>-36931241</v>
      </c>
      <c r="K1792">
        <v>-24710307</v>
      </c>
      <c r="L1792">
        <v>-72109340</v>
      </c>
      <c r="M1792">
        <v>858232</v>
      </c>
      <c r="N1792">
        <v>-59164684</v>
      </c>
      <c r="P1792">
        <v>958</v>
      </c>
      <c r="Q1792" t="s">
        <v>3901</v>
      </c>
    </row>
    <row r="1793" spans="1:17" x14ac:dyDescent="0.3">
      <c r="A1793" t="s">
        <v>33</v>
      </c>
      <c r="B1793" t="str">
        <f>"002112"</f>
        <v>002112</v>
      </c>
      <c r="C1793" t="s">
        <v>3902</v>
      </c>
      <c r="D1793" t="s">
        <v>298</v>
      </c>
      <c r="E1793">
        <v>15615747</v>
      </c>
      <c r="F1793">
        <v>-13801697</v>
      </c>
      <c r="G1793">
        <v>-7946561</v>
      </c>
      <c r="H1793">
        <v>-17409823</v>
      </c>
      <c r="I1793">
        <v>-14913012</v>
      </c>
      <c r="J1793">
        <v>-82673642</v>
      </c>
      <c r="K1793">
        <v>-62132168</v>
      </c>
      <c r="L1793">
        <v>-8609956</v>
      </c>
      <c r="M1793">
        <v>-15768529</v>
      </c>
      <c r="N1793">
        <v>17782250</v>
      </c>
      <c r="O1793">
        <v>-601274</v>
      </c>
      <c r="P1793">
        <v>76</v>
      </c>
      <c r="Q1793" t="s">
        <v>3903</v>
      </c>
    </row>
    <row r="1794" spans="1:17" x14ac:dyDescent="0.3">
      <c r="A1794" t="s">
        <v>33</v>
      </c>
      <c r="B1794" t="str">
        <f>"301130"</f>
        <v>301130</v>
      </c>
      <c r="C1794" t="s">
        <v>3904</v>
      </c>
      <c r="E1794">
        <v>15610920</v>
      </c>
      <c r="P1794">
        <v>7</v>
      </c>
      <c r="Q1794" t="s">
        <v>3905</v>
      </c>
    </row>
    <row r="1795" spans="1:17" x14ac:dyDescent="0.3">
      <c r="A1795" t="s">
        <v>33</v>
      </c>
      <c r="B1795" t="str">
        <f>"300071"</f>
        <v>300071</v>
      </c>
      <c r="C1795" t="s">
        <v>3906</v>
      </c>
      <c r="D1795" t="s">
        <v>1125</v>
      </c>
      <c r="E1795">
        <v>15529559</v>
      </c>
      <c r="F1795">
        <v>6532198</v>
      </c>
      <c r="G1795">
        <v>-25836657</v>
      </c>
      <c r="H1795">
        <v>36355796</v>
      </c>
      <c r="I1795">
        <v>27893859</v>
      </c>
      <c r="J1795">
        <v>-12423325</v>
      </c>
      <c r="K1795">
        <v>-36830397</v>
      </c>
      <c r="L1795">
        <v>-58253064</v>
      </c>
      <c r="M1795">
        <v>156888056</v>
      </c>
      <c r="N1795">
        <v>-80856029</v>
      </c>
      <c r="O1795">
        <v>-16417819</v>
      </c>
      <c r="P1795">
        <v>84</v>
      </c>
      <c r="Q1795" t="s">
        <v>3907</v>
      </c>
    </row>
    <row r="1796" spans="1:17" x14ac:dyDescent="0.3">
      <c r="A1796" t="s">
        <v>33</v>
      </c>
      <c r="B1796" t="str">
        <f>"300916"</f>
        <v>300916</v>
      </c>
      <c r="C1796" t="s">
        <v>3908</v>
      </c>
      <c r="D1796" t="s">
        <v>226</v>
      </c>
      <c r="E1796">
        <v>15514826</v>
      </c>
      <c r="F1796">
        <v>9805421</v>
      </c>
      <c r="G1796">
        <v>-22552412</v>
      </c>
      <c r="P1796">
        <v>79</v>
      </c>
      <c r="Q1796" t="s">
        <v>3909</v>
      </c>
    </row>
    <row r="1797" spans="1:17" x14ac:dyDescent="0.3">
      <c r="A1797" t="s">
        <v>33</v>
      </c>
      <c r="B1797" t="str">
        <f>"002083"</f>
        <v>002083</v>
      </c>
      <c r="C1797" t="s">
        <v>3910</v>
      </c>
      <c r="D1797" t="s">
        <v>693</v>
      </c>
      <c r="E1797">
        <v>15505316</v>
      </c>
      <c r="F1797">
        <v>218023565</v>
      </c>
      <c r="G1797">
        <v>298052292</v>
      </c>
      <c r="H1797">
        <v>246768234</v>
      </c>
      <c r="I1797">
        <v>111311692</v>
      </c>
      <c r="J1797">
        <v>158529068</v>
      </c>
      <c r="K1797">
        <v>225892428</v>
      </c>
      <c r="L1797">
        <v>186607127</v>
      </c>
      <c r="M1797">
        <v>-175891928</v>
      </c>
      <c r="N1797">
        <v>338175450</v>
      </c>
      <c r="O1797">
        <v>26623927</v>
      </c>
      <c r="P1797">
        <v>283</v>
      </c>
      <c r="Q1797" t="s">
        <v>3911</v>
      </c>
    </row>
    <row r="1798" spans="1:17" x14ac:dyDescent="0.3">
      <c r="A1798" t="s">
        <v>33</v>
      </c>
      <c r="B1798" t="str">
        <f>"000068"</f>
        <v>000068</v>
      </c>
      <c r="C1798" t="s">
        <v>3912</v>
      </c>
      <c r="D1798" t="s">
        <v>2171</v>
      </c>
      <c r="E1798">
        <v>15480638</v>
      </c>
      <c r="F1798">
        <v>6862735</v>
      </c>
      <c r="G1798">
        <v>25228475</v>
      </c>
      <c r="H1798">
        <v>-33558223</v>
      </c>
      <c r="I1798">
        <v>-156433493</v>
      </c>
      <c r="J1798">
        <v>-83657026</v>
      </c>
      <c r="K1798">
        <v>-27347300</v>
      </c>
      <c r="L1798">
        <v>-20493210</v>
      </c>
      <c r="M1798">
        <v>-38432741</v>
      </c>
      <c r="N1798">
        <v>-85683798</v>
      </c>
      <c r="O1798">
        <v>-5415181</v>
      </c>
      <c r="P1798">
        <v>144</v>
      </c>
      <c r="Q1798" t="s">
        <v>3913</v>
      </c>
    </row>
    <row r="1799" spans="1:17" x14ac:dyDescent="0.3">
      <c r="A1799" t="s">
        <v>33</v>
      </c>
      <c r="B1799" t="str">
        <f>"300885"</f>
        <v>300885</v>
      </c>
      <c r="C1799" t="s">
        <v>3914</v>
      </c>
      <c r="D1799" t="s">
        <v>164</v>
      </c>
      <c r="E1799">
        <v>15450252</v>
      </c>
      <c r="F1799">
        <v>25320748</v>
      </c>
      <c r="G1799">
        <v>22715696</v>
      </c>
      <c r="P1799">
        <v>45</v>
      </c>
      <c r="Q1799" t="s">
        <v>3915</v>
      </c>
    </row>
    <row r="1800" spans="1:17" x14ac:dyDescent="0.3">
      <c r="A1800" t="s">
        <v>33</v>
      </c>
      <c r="B1800" t="str">
        <f>"300434"</f>
        <v>300434</v>
      </c>
      <c r="C1800" t="s">
        <v>3916</v>
      </c>
      <c r="D1800" t="s">
        <v>590</v>
      </c>
      <c r="E1800">
        <v>15346998</v>
      </c>
      <c r="F1800">
        <v>-27776881</v>
      </c>
      <c r="G1800">
        <v>-59146140</v>
      </c>
      <c r="H1800">
        <v>-62525934</v>
      </c>
      <c r="I1800">
        <v>-18636007</v>
      </c>
      <c r="J1800">
        <v>-1618165</v>
      </c>
      <c r="K1800">
        <v>-4665962</v>
      </c>
      <c r="L1800">
        <v>18577851</v>
      </c>
      <c r="M1800">
        <v>4661607</v>
      </c>
      <c r="P1800">
        <v>96</v>
      </c>
      <c r="Q1800" t="s">
        <v>3917</v>
      </c>
    </row>
    <row r="1801" spans="1:17" x14ac:dyDescent="0.3">
      <c r="A1801" t="s">
        <v>17</v>
      </c>
      <c r="B1801" t="str">
        <f>"688697"</f>
        <v>688697</v>
      </c>
      <c r="C1801" t="s">
        <v>3918</v>
      </c>
      <c r="D1801" t="s">
        <v>1910</v>
      </c>
      <c r="E1801">
        <v>15341015</v>
      </c>
      <c r="P1801">
        <v>16</v>
      </c>
      <c r="Q1801" t="s">
        <v>3919</v>
      </c>
    </row>
    <row r="1802" spans="1:17" x14ac:dyDescent="0.3">
      <c r="A1802" t="s">
        <v>33</v>
      </c>
      <c r="B1802" t="str">
        <f>"002582"</f>
        <v>002582</v>
      </c>
      <c r="C1802" t="s">
        <v>3920</v>
      </c>
      <c r="D1802" t="s">
        <v>1157</v>
      </c>
      <c r="E1802">
        <v>15298364</v>
      </c>
      <c r="F1802">
        <v>135640734</v>
      </c>
      <c r="G1802">
        <v>271778999</v>
      </c>
      <c r="H1802">
        <v>543720725</v>
      </c>
      <c r="I1802">
        <v>496748579</v>
      </c>
      <c r="J1802">
        <v>600117370</v>
      </c>
      <c r="K1802">
        <v>71173913</v>
      </c>
      <c r="L1802">
        <v>154321770</v>
      </c>
      <c r="M1802">
        <v>64129599</v>
      </c>
      <c r="N1802">
        <v>59124969</v>
      </c>
      <c r="O1802">
        <v>37805051</v>
      </c>
      <c r="P1802">
        <v>439</v>
      </c>
      <c r="Q1802" t="s">
        <v>3921</v>
      </c>
    </row>
    <row r="1803" spans="1:17" x14ac:dyDescent="0.3">
      <c r="A1803" t="s">
        <v>33</v>
      </c>
      <c r="B1803" t="str">
        <f>"002105"</f>
        <v>002105</v>
      </c>
      <c r="C1803" t="s">
        <v>3922</v>
      </c>
      <c r="D1803" t="s">
        <v>545</v>
      </c>
      <c r="E1803">
        <v>15248893</v>
      </c>
      <c r="F1803">
        <v>-15971124</v>
      </c>
      <c r="G1803">
        <v>63131848</v>
      </c>
      <c r="H1803">
        <v>55381490</v>
      </c>
      <c r="I1803">
        <v>58825472</v>
      </c>
      <c r="J1803">
        <v>8705749</v>
      </c>
      <c r="K1803">
        <v>4278006</v>
      </c>
      <c r="L1803">
        <v>23638488</v>
      </c>
      <c r="M1803">
        <v>20145388</v>
      </c>
      <c r="N1803">
        <v>15235078</v>
      </c>
      <c r="O1803">
        <v>-4601732</v>
      </c>
      <c r="P1803">
        <v>217</v>
      </c>
      <c r="Q1803" t="s">
        <v>3923</v>
      </c>
    </row>
    <row r="1804" spans="1:17" x14ac:dyDescent="0.3">
      <c r="A1804" t="s">
        <v>33</v>
      </c>
      <c r="B1804" t="str">
        <f>"301181"</f>
        <v>301181</v>
      </c>
      <c r="C1804" t="s">
        <v>3924</v>
      </c>
      <c r="E1804">
        <v>15148884</v>
      </c>
      <c r="P1804">
        <v>5</v>
      </c>
      <c r="Q1804" t="s">
        <v>3925</v>
      </c>
    </row>
    <row r="1805" spans="1:17" x14ac:dyDescent="0.3">
      <c r="A1805" t="s">
        <v>33</v>
      </c>
      <c r="B1805" t="str">
        <f>"002453"</f>
        <v>002453</v>
      </c>
      <c r="C1805" t="s">
        <v>3926</v>
      </c>
      <c r="D1805" t="s">
        <v>418</v>
      </c>
      <c r="E1805">
        <v>15128764</v>
      </c>
      <c r="F1805">
        <v>-15299659</v>
      </c>
      <c r="G1805">
        <v>7554538</v>
      </c>
      <c r="H1805">
        <v>-14227914</v>
      </c>
      <c r="I1805">
        <v>90203953</v>
      </c>
      <c r="J1805">
        <v>47295352</v>
      </c>
      <c r="K1805">
        <v>-42658414</v>
      </c>
      <c r="L1805">
        <v>-22011676</v>
      </c>
      <c r="M1805">
        <v>42771790</v>
      </c>
      <c r="N1805">
        <v>7700159</v>
      </c>
      <c r="O1805">
        <v>-2216742</v>
      </c>
      <c r="P1805">
        <v>125</v>
      </c>
      <c r="Q1805" t="s">
        <v>3927</v>
      </c>
    </row>
    <row r="1806" spans="1:17" x14ac:dyDescent="0.3">
      <c r="A1806" t="s">
        <v>33</v>
      </c>
      <c r="B1806" t="str">
        <f>"000601"</f>
        <v>000601</v>
      </c>
      <c r="C1806" t="s">
        <v>3928</v>
      </c>
      <c r="D1806" t="s">
        <v>205</v>
      </c>
      <c r="E1806">
        <v>15123065</v>
      </c>
      <c r="F1806">
        <v>34673675</v>
      </c>
      <c r="G1806">
        <v>52852863</v>
      </c>
      <c r="H1806">
        <v>120340635</v>
      </c>
      <c r="I1806">
        <v>96263771</v>
      </c>
      <c r="J1806">
        <v>78699570</v>
      </c>
      <c r="K1806">
        <v>240645344</v>
      </c>
      <c r="L1806">
        <v>127382255</v>
      </c>
      <c r="M1806">
        <v>133218510</v>
      </c>
      <c r="N1806">
        <v>203165066</v>
      </c>
      <c r="O1806">
        <v>114445835</v>
      </c>
      <c r="P1806">
        <v>215</v>
      </c>
      <c r="Q1806" t="s">
        <v>3929</v>
      </c>
    </row>
    <row r="1807" spans="1:17" x14ac:dyDescent="0.3">
      <c r="A1807" t="s">
        <v>33</v>
      </c>
      <c r="B1807" t="str">
        <f>"300453"</f>
        <v>300453</v>
      </c>
      <c r="C1807" t="s">
        <v>3930</v>
      </c>
      <c r="D1807" t="s">
        <v>903</v>
      </c>
      <c r="E1807">
        <v>14868783</v>
      </c>
      <c r="F1807">
        <v>6550260</v>
      </c>
      <c r="G1807">
        <v>22537656</v>
      </c>
      <c r="H1807">
        <v>-28265579</v>
      </c>
      <c r="I1807">
        <v>-8999127</v>
      </c>
      <c r="J1807">
        <v>-6709272</v>
      </c>
      <c r="K1807">
        <v>-748194</v>
      </c>
      <c r="L1807">
        <v>-19013000</v>
      </c>
      <c r="P1807">
        <v>226</v>
      </c>
      <c r="Q1807" t="s">
        <v>3931</v>
      </c>
    </row>
    <row r="1808" spans="1:17" x14ac:dyDescent="0.3">
      <c r="A1808" t="s">
        <v>17</v>
      </c>
      <c r="B1808" t="str">
        <f>"600301"</f>
        <v>600301</v>
      </c>
      <c r="C1808" t="s">
        <v>3932</v>
      </c>
      <c r="D1808" t="s">
        <v>1592</v>
      </c>
      <c r="E1808">
        <v>14844428</v>
      </c>
      <c r="F1808">
        <v>-267951702</v>
      </c>
      <c r="G1808">
        <v>-2235610</v>
      </c>
      <c r="H1808">
        <v>2558242</v>
      </c>
      <c r="I1808">
        <v>-25422464</v>
      </c>
      <c r="J1808">
        <v>-50363387</v>
      </c>
      <c r="K1808">
        <v>-85220142</v>
      </c>
      <c r="L1808">
        <v>-32853919</v>
      </c>
      <c r="M1808">
        <v>-140528745</v>
      </c>
      <c r="N1808">
        <v>-67608806</v>
      </c>
      <c r="O1808">
        <v>-51253257</v>
      </c>
      <c r="P1808">
        <v>53</v>
      </c>
      <c r="Q1808" t="s">
        <v>3933</v>
      </c>
    </row>
    <row r="1809" spans="1:17" x14ac:dyDescent="0.3">
      <c r="A1809" t="s">
        <v>33</v>
      </c>
      <c r="B1809" t="str">
        <f>"002980"</f>
        <v>002980</v>
      </c>
      <c r="C1809" t="s">
        <v>3934</v>
      </c>
      <c r="D1809" t="s">
        <v>2128</v>
      </c>
      <c r="E1809">
        <v>14801981</v>
      </c>
      <c r="F1809">
        <v>5316218</v>
      </c>
      <c r="G1809">
        <v>179988497</v>
      </c>
      <c r="H1809">
        <v>27913681</v>
      </c>
      <c r="P1809">
        <v>154</v>
      </c>
      <c r="Q1809" t="s">
        <v>3935</v>
      </c>
    </row>
    <row r="1810" spans="1:17" x14ac:dyDescent="0.3">
      <c r="A1810" t="s">
        <v>33</v>
      </c>
      <c r="B1810" t="str">
        <f>"000980"</f>
        <v>000980</v>
      </c>
      <c r="C1810" t="s">
        <v>3936</v>
      </c>
      <c r="D1810" t="s">
        <v>603</v>
      </c>
      <c r="E1810">
        <v>14758467</v>
      </c>
      <c r="F1810">
        <v>22984125</v>
      </c>
      <c r="G1810">
        <v>-962081042</v>
      </c>
      <c r="H1810">
        <v>-927901809</v>
      </c>
      <c r="I1810">
        <v>-569431251</v>
      </c>
      <c r="J1810">
        <v>-71673302</v>
      </c>
      <c r="K1810">
        <v>113659624</v>
      </c>
      <c r="L1810">
        <v>33315286</v>
      </c>
      <c r="M1810">
        <v>-33491516</v>
      </c>
      <c r="N1810">
        <v>21336037</v>
      </c>
      <c r="O1810">
        <v>85025241</v>
      </c>
      <c r="P1810">
        <v>161</v>
      </c>
      <c r="Q1810" t="s">
        <v>3937</v>
      </c>
    </row>
    <row r="1811" spans="1:17" x14ac:dyDescent="0.3">
      <c r="A1811" t="s">
        <v>33</v>
      </c>
      <c r="B1811" t="str">
        <f>"301067"</f>
        <v>301067</v>
      </c>
      <c r="C1811" t="s">
        <v>3938</v>
      </c>
      <c r="D1811" t="s">
        <v>226</v>
      </c>
      <c r="E1811">
        <v>14663533</v>
      </c>
      <c r="P1811">
        <v>18</v>
      </c>
      <c r="Q1811" t="s">
        <v>3939</v>
      </c>
    </row>
    <row r="1812" spans="1:17" x14ac:dyDescent="0.3">
      <c r="A1812" t="s">
        <v>17</v>
      </c>
      <c r="B1812" t="str">
        <f>"600097"</f>
        <v>600097</v>
      </c>
      <c r="C1812" t="s">
        <v>3940</v>
      </c>
      <c r="D1812" t="s">
        <v>3941</v>
      </c>
      <c r="E1812">
        <v>14662841</v>
      </c>
      <c r="F1812">
        <v>60172005</v>
      </c>
      <c r="G1812">
        <v>13576257</v>
      </c>
      <c r="H1812">
        <v>14713311</v>
      </c>
      <c r="I1812">
        <v>65545056</v>
      </c>
      <c r="J1812">
        <v>-29653426</v>
      </c>
      <c r="K1812">
        <v>8551890</v>
      </c>
      <c r="L1812">
        <v>-77636033</v>
      </c>
      <c r="M1812">
        <v>-21800440</v>
      </c>
      <c r="N1812">
        <v>6828961</v>
      </c>
      <c r="O1812">
        <v>42008034</v>
      </c>
      <c r="P1812">
        <v>116</v>
      </c>
      <c r="Q1812" t="s">
        <v>3942</v>
      </c>
    </row>
    <row r="1813" spans="1:17" x14ac:dyDescent="0.3">
      <c r="A1813" t="s">
        <v>17</v>
      </c>
      <c r="B1813" t="str">
        <f>"688323"</f>
        <v>688323</v>
      </c>
      <c r="C1813" t="s">
        <v>3943</v>
      </c>
      <c r="D1813" t="s">
        <v>1734</v>
      </c>
      <c r="E1813">
        <v>14583792</v>
      </c>
      <c r="F1813">
        <v>8082544</v>
      </c>
      <c r="G1813">
        <v>28321593</v>
      </c>
      <c r="P1813">
        <v>26</v>
      </c>
      <c r="Q1813" t="s">
        <v>3944</v>
      </c>
    </row>
    <row r="1814" spans="1:17" x14ac:dyDescent="0.3">
      <c r="A1814" t="s">
        <v>17</v>
      </c>
      <c r="B1814" t="str">
        <f>"688101"</f>
        <v>688101</v>
      </c>
      <c r="C1814" t="s">
        <v>3945</v>
      </c>
      <c r="D1814" t="s">
        <v>932</v>
      </c>
      <c r="E1814">
        <v>14571469</v>
      </c>
      <c r="F1814">
        <v>-33737698</v>
      </c>
      <c r="G1814">
        <v>-22452387</v>
      </c>
      <c r="H1814">
        <v>47063897</v>
      </c>
      <c r="P1814">
        <v>77</v>
      </c>
      <c r="Q1814" t="s">
        <v>3946</v>
      </c>
    </row>
    <row r="1815" spans="1:17" x14ac:dyDescent="0.3">
      <c r="A1815" t="s">
        <v>17</v>
      </c>
      <c r="B1815" t="str">
        <f>"600207"</f>
        <v>600207</v>
      </c>
      <c r="C1815" t="s">
        <v>3947</v>
      </c>
      <c r="D1815" t="s">
        <v>800</v>
      </c>
      <c r="E1815">
        <v>14503689</v>
      </c>
      <c r="F1815">
        <v>-6504228</v>
      </c>
      <c r="G1815">
        <v>-84030865</v>
      </c>
      <c r="H1815">
        <v>180292</v>
      </c>
      <c r="I1815">
        <v>14865692</v>
      </c>
      <c r="J1815">
        <v>-34087855</v>
      </c>
      <c r="K1815">
        <v>40089324</v>
      </c>
      <c r="L1815">
        <v>-117291751</v>
      </c>
      <c r="M1815">
        <v>87160089</v>
      </c>
      <c r="N1815">
        <v>-11687069</v>
      </c>
      <c r="O1815">
        <v>-114650845</v>
      </c>
      <c r="P1815">
        <v>146</v>
      </c>
      <c r="Q1815" t="s">
        <v>3948</v>
      </c>
    </row>
    <row r="1816" spans="1:17" x14ac:dyDescent="0.3">
      <c r="A1816" t="s">
        <v>17</v>
      </c>
      <c r="B1816" t="str">
        <f>"688799"</f>
        <v>688799</v>
      </c>
      <c r="C1816" t="s">
        <v>3949</v>
      </c>
      <c r="D1816" t="s">
        <v>590</v>
      </c>
      <c r="E1816">
        <v>14455016</v>
      </c>
      <c r="F1816">
        <v>43335785</v>
      </c>
      <c r="G1816">
        <v>15926223</v>
      </c>
      <c r="P1816">
        <v>35</v>
      </c>
      <c r="Q1816" t="s">
        <v>3950</v>
      </c>
    </row>
    <row r="1817" spans="1:17" x14ac:dyDescent="0.3">
      <c r="A1817" t="s">
        <v>33</v>
      </c>
      <c r="B1817" t="str">
        <f>"300955"</f>
        <v>300955</v>
      </c>
      <c r="C1817" t="s">
        <v>3951</v>
      </c>
      <c r="D1817" t="s">
        <v>2110</v>
      </c>
      <c r="E1817">
        <v>14440831</v>
      </c>
      <c r="F1817">
        <v>21649804</v>
      </c>
      <c r="G1817">
        <v>1111970</v>
      </c>
      <c r="P1817">
        <v>42</v>
      </c>
      <c r="Q1817" t="s">
        <v>3952</v>
      </c>
    </row>
    <row r="1818" spans="1:17" x14ac:dyDescent="0.3">
      <c r="A1818" t="s">
        <v>33</v>
      </c>
      <c r="B1818" t="str">
        <f>"002778"</f>
        <v>002778</v>
      </c>
      <c r="C1818" t="s">
        <v>3953</v>
      </c>
      <c r="D1818" t="s">
        <v>732</v>
      </c>
      <c r="E1818">
        <v>14426124</v>
      </c>
      <c r="F1818">
        <v>81364377</v>
      </c>
      <c r="G1818">
        <v>-22456130</v>
      </c>
      <c r="H1818">
        <v>-39158262</v>
      </c>
      <c r="I1818">
        <v>-52874400</v>
      </c>
      <c r="J1818">
        <v>-51969293</v>
      </c>
      <c r="K1818">
        <v>-55766626</v>
      </c>
      <c r="L1818">
        <v>-69573477</v>
      </c>
      <c r="M1818">
        <v>-72230795</v>
      </c>
      <c r="P1818">
        <v>75</v>
      </c>
      <c r="Q1818" t="s">
        <v>3954</v>
      </c>
    </row>
    <row r="1819" spans="1:17" x14ac:dyDescent="0.3">
      <c r="A1819" t="s">
        <v>33</v>
      </c>
      <c r="B1819" t="str">
        <f>"300446"</f>
        <v>300446</v>
      </c>
      <c r="C1819" t="s">
        <v>3955</v>
      </c>
      <c r="D1819" t="s">
        <v>1330</v>
      </c>
      <c r="E1819">
        <v>14362343</v>
      </c>
      <c r="F1819">
        <v>1889965</v>
      </c>
      <c r="G1819">
        <v>14121506</v>
      </c>
      <c r="H1819">
        <v>8112469</v>
      </c>
      <c r="I1819">
        <v>12420584</v>
      </c>
      <c r="J1819">
        <v>14311257</v>
      </c>
      <c r="K1819">
        <v>26561800</v>
      </c>
      <c r="L1819">
        <v>28326981</v>
      </c>
      <c r="M1819">
        <v>23738719</v>
      </c>
      <c r="P1819">
        <v>980</v>
      </c>
      <c r="Q1819" t="s">
        <v>3956</v>
      </c>
    </row>
    <row r="1820" spans="1:17" x14ac:dyDescent="0.3">
      <c r="A1820" t="s">
        <v>33</v>
      </c>
      <c r="B1820" t="str">
        <f>"001217"</f>
        <v>001217</v>
      </c>
      <c r="C1820" t="s">
        <v>3957</v>
      </c>
      <c r="D1820" t="s">
        <v>1022</v>
      </c>
      <c r="E1820">
        <v>14269072</v>
      </c>
      <c r="F1820">
        <v>10001127</v>
      </c>
      <c r="P1820">
        <v>27</v>
      </c>
      <c r="Q1820" t="s">
        <v>3958</v>
      </c>
    </row>
    <row r="1821" spans="1:17" x14ac:dyDescent="0.3">
      <c r="A1821" t="s">
        <v>33</v>
      </c>
      <c r="B1821" t="str">
        <f>"002806"</f>
        <v>002806</v>
      </c>
      <c r="C1821" t="s">
        <v>3959</v>
      </c>
      <c r="D1821" t="s">
        <v>140</v>
      </c>
      <c r="E1821">
        <v>14265375</v>
      </c>
      <c r="F1821">
        <v>-32296485</v>
      </c>
      <c r="G1821">
        <v>-15140115</v>
      </c>
      <c r="H1821">
        <v>-7142244</v>
      </c>
      <c r="I1821">
        <v>1807213</v>
      </c>
      <c r="J1821">
        <v>1250308</v>
      </c>
      <c r="K1821">
        <v>7911156</v>
      </c>
      <c r="L1821">
        <v>11225849</v>
      </c>
      <c r="P1821">
        <v>100</v>
      </c>
      <c r="Q1821" t="s">
        <v>3960</v>
      </c>
    </row>
    <row r="1822" spans="1:17" x14ac:dyDescent="0.3">
      <c r="A1822" t="s">
        <v>33</v>
      </c>
      <c r="B1822" t="str">
        <f>"300341"</f>
        <v>300341</v>
      </c>
      <c r="C1822" t="s">
        <v>3961</v>
      </c>
      <c r="D1822" t="s">
        <v>298</v>
      </c>
      <c r="E1822">
        <v>14251925</v>
      </c>
      <c r="F1822">
        <v>51846278</v>
      </c>
      <c r="G1822">
        <v>-3530336</v>
      </c>
      <c r="H1822">
        <v>19238056</v>
      </c>
      <c r="I1822">
        <v>1576347</v>
      </c>
      <c r="J1822">
        <v>11604621</v>
      </c>
      <c r="K1822">
        <v>8717108</v>
      </c>
      <c r="L1822">
        <v>13283831</v>
      </c>
      <c r="M1822">
        <v>11594328</v>
      </c>
      <c r="N1822">
        <v>12331241</v>
      </c>
      <c r="O1822">
        <v>-5021487</v>
      </c>
      <c r="P1822">
        <v>142</v>
      </c>
      <c r="Q1822" t="s">
        <v>3962</v>
      </c>
    </row>
    <row r="1823" spans="1:17" x14ac:dyDescent="0.3">
      <c r="A1823" t="s">
        <v>17</v>
      </c>
      <c r="B1823" t="str">
        <f>"603320"</f>
        <v>603320</v>
      </c>
      <c r="C1823" t="s">
        <v>3963</v>
      </c>
      <c r="D1823" t="s">
        <v>1091</v>
      </c>
      <c r="E1823">
        <v>14222666</v>
      </c>
      <c r="F1823">
        <v>20196718</v>
      </c>
      <c r="G1823">
        <v>41120901</v>
      </c>
      <c r="H1823">
        <v>20435421</v>
      </c>
      <c r="I1823">
        <v>17126143</v>
      </c>
      <c r="J1823">
        <v>17080100</v>
      </c>
      <c r="P1823">
        <v>94</v>
      </c>
      <c r="Q1823" t="s">
        <v>3964</v>
      </c>
    </row>
    <row r="1824" spans="1:17" x14ac:dyDescent="0.3">
      <c r="A1824" t="s">
        <v>33</v>
      </c>
      <c r="B1824" t="str">
        <f>"002494"</f>
        <v>002494</v>
      </c>
      <c r="C1824" t="s">
        <v>3965</v>
      </c>
      <c r="D1824" t="s">
        <v>581</v>
      </c>
      <c r="E1824">
        <v>14145349</v>
      </c>
      <c r="F1824">
        <v>-5160632</v>
      </c>
      <c r="G1824">
        <v>-12190698</v>
      </c>
      <c r="H1824">
        <v>-49279894</v>
      </c>
      <c r="I1824">
        <v>-116767832</v>
      </c>
      <c r="J1824">
        <v>-19959675</v>
      </c>
      <c r="K1824">
        <v>-18415898</v>
      </c>
      <c r="L1824">
        <v>21297585</v>
      </c>
      <c r="M1824">
        <v>-40136681</v>
      </c>
      <c r="N1824">
        <v>-36416447</v>
      </c>
      <c r="O1824">
        <v>-33354958</v>
      </c>
      <c r="P1824">
        <v>81</v>
      </c>
      <c r="Q1824" t="s">
        <v>3966</v>
      </c>
    </row>
    <row r="1825" spans="1:17" x14ac:dyDescent="0.3">
      <c r="A1825" t="s">
        <v>33</v>
      </c>
      <c r="B1825" t="str">
        <f>"301222"</f>
        <v>301222</v>
      </c>
      <c r="C1825" t="s">
        <v>3967</v>
      </c>
      <c r="E1825">
        <v>14037070</v>
      </c>
      <c r="P1825">
        <v>4</v>
      </c>
      <c r="Q1825" t="s">
        <v>3968</v>
      </c>
    </row>
    <row r="1826" spans="1:17" x14ac:dyDescent="0.3">
      <c r="A1826" t="s">
        <v>33</v>
      </c>
      <c r="B1826" t="str">
        <f>"003020"</f>
        <v>003020</v>
      </c>
      <c r="C1826" t="s">
        <v>3969</v>
      </c>
      <c r="D1826" t="s">
        <v>590</v>
      </c>
      <c r="E1826">
        <v>14015958</v>
      </c>
      <c r="F1826">
        <v>7347550</v>
      </c>
      <c r="G1826">
        <v>17053490</v>
      </c>
      <c r="P1826">
        <v>78</v>
      </c>
      <c r="Q1826" t="s">
        <v>3970</v>
      </c>
    </row>
    <row r="1827" spans="1:17" x14ac:dyDescent="0.3">
      <c r="A1827" t="s">
        <v>33</v>
      </c>
      <c r="B1827" t="str">
        <f>"300336"</f>
        <v>300336</v>
      </c>
      <c r="C1827" t="s">
        <v>3971</v>
      </c>
      <c r="D1827" t="s">
        <v>377</v>
      </c>
      <c r="E1827">
        <v>13958630</v>
      </c>
      <c r="F1827">
        <v>46410488</v>
      </c>
      <c r="G1827">
        <v>3452037</v>
      </c>
      <c r="H1827">
        <v>-1872149</v>
      </c>
      <c r="I1827">
        <v>-11936590</v>
      </c>
      <c r="J1827">
        <v>-44804718</v>
      </c>
      <c r="K1827">
        <v>14854314</v>
      </c>
      <c r="L1827">
        <v>-100036152</v>
      </c>
      <c r="M1827">
        <v>-28118072</v>
      </c>
      <c r="N1827">
        <v>-78677742</v>
      </c>
      <c r="O1827">
        <v>-35493306</v>
      </c>
      <c r="P1827">
        <v>98</v>
      </c>
      <c r="Q1827" t="s">
        <v>3972</v>
      </c>
    </row>
    <row r="1828" spans="1:17" x14ac:dyDescent="0.3">
      <c r="A1828" t="s">
        <v>33</v>
      </c>
      <c r="B1828" t="str">
        <f>"300796"</f>
        <v>300796</v>
      </c>
      <c r="C1828" t="s">
        <v>3973</v>
      </c>
      <c r="D1828" t="s">
        <v>636</v>
      </c>
      <c r="E1828">
        <v>13929328</v>
      </c>
      <c r="F1828">
        <v>-15770779</v>
      </c>
      <c r="G1828">
        <v>-19383367</v>
      </c>
      <c r="H1828">
        <v>-38566561</v>
      </c>
      <c r="P1828">
        <v>45</v>
      </c>
      <c r="Q1828" t="s">
        <v>3974</v>
      </c>
    </row>
    <row r="1829" spans="1:17" x14ac:dyDescent="0.3">
      <c r="A1829" t="s">
        <v>33</v>
      </c>
      <c r="B1829" t="str">
        <f>"301042"</f>
        <v>301042</v>
      </c>
      <c r="C1829" t="s">
        <v>3975</v>
      </c>
      <c r="D1829" t="s">
        <v>2597</v>
      </c>
      <c r="E1829">
        <v>13875504</v>
      </c>
      <c r="F1829">
        <v>-11262843</v>
      </c>
      <c r="G1829">
        <v>-23909850</v>
      </c>
      <c r="P1829">
        <v>14</v>
      </c>
      <c r="Q1829" t="s">
        <v>3976</v>
      </c>
    </row>
    <row r="1830" spans="1:17" x14ac:dyDescent="0.3">
      <c r="A1830" t="s">
        <v>33</v>
      </c>
      <c r="B1830" t="str">
        <f>"301215"</f>
        <v>301215</v>
      </c>
      <c r="C1830" t="s">
        <v>3977</v>
      </c>
      <c r="E1830">
        <v>13863499</v>
      </c>
      <c r="P1830">
        <v>7</v>
      </c>
      <c r="Q1830" t="s">
        <v>3978</v>
      </c>
    </row>
    <row r="1831" spans="1:17" x14ac:dyDescent="0.3">
      <c r="A1831" t="s">
        <v>17</v>
      </c>
      <c r="B1831" t="str">
        <f>"688156"</f>
        <v>688156</v>
      </c>
      <c r="C1831" t="s">
        <v>3979</v>
      </c>
      <c r="D1831" t="s">
        <v>897</v>
      </c>
      <c r="E1831">
        <v>13797922</v>
      </c>
      <c r="F1831">
        <v>-10564186</v>
      </c>
      <c r="G1831">
        <v>4503882</v>
      </c>
      <c r="H1831">
        <v>-25002394</v>
      </c>
      <c r="P1831">
        <v>41</v>
      </c>
      <c r="Q1831" t="s">
        <v>3980</v>
      </c>
    </row>
    <row r="1832" spans="1:17" x14ac:dyDescent="0.3">
      <c r="A1832" t="s">
        <v>33</v>
      </c>
      <c r="B1832" t="str">
        <f>"000687"</f>
        <v>000687</v>
      </c>
      <c r="C1832" t="s">
        <v>3981</v>
      </c>
      <c r="D1832" t="s">
        <v>2262</v>
      </c>
      <c r="E1832">
        <v>13772694</v>
      </c>
      <c r="F1832">
        <v>-6953006</v>
      </c>
      <c r="G1832">
        <v>13680947</v>
      </c>
      <c r="H1832">
        <v>8224742</v>
      </c>
      <c r="I1832">
        <v>-159754946</v>
      </c>
      <c r="J1832">
        <v>-88761182</v>
      </c>
      <c r="K1832">
        <v>-87390839</v>
      </c>
      <c r="L1832">
        <v>-35970802</v>
      </c>
      <c r="M1832">
        <v>-34536748</v>
      </c>
      <c r="N1832">
        <v>-65628093</v>
      </c>
      <c r="O1832">
        <v>16896963</v>
      </c>
      <c r="P1832">
        <v>86</v>
      </c>
      <c r="Q1832" t="s">
        <v>3982</v>
      </c>
    </row>
    <row r="1833" spans="1:17" x14ac:dyDescent="0.3">
      <c r="A1833" t="s">
        <v>17</v>
      </c>
      <c r="B1833" t="str">
        <f>"605228"</f>
        <v>605228</v>
      </c>
      <c r="C1833" t="s">
        <v>3983</v>
      </c>
      <c r="D1833" t="s">
        <v>200</v>
      </c>
      <c r="E1833">
        <v>13725884</v>
      </c>
      <c r="F1833">
        <v>22917051</v>
      </c>
      <c r="G1833">
        <v>5547918</v>
      </c>
      <c r="P1833">
        <v>30</v>
      </c>
      <c r="Q1833" t="s">
        <v>3984</v>
      </c>
    </row>
    <row r="1834" spans="1:17" x14ac:dyDescent="0.3">
      <c r="A1834" t="s">
        <v>33</v>
      </c>
      <c r="B1834" t="str">
        <f>"300313"</f>
        <v>300313</v>
      </c>
      <c r="C1834" t="s">
        <v>3985</v>
      </c>
      <c r="D1834" t="s">
        <v>2987</v>
      </c>
      <c r="E1834">
        <v>13668440</v>
      </c>
      <c r="F1834">
        <v>-8579284</v>
      </c>
      <c r="G1834">
        <v>-15539925</v>
      </c>
      <c r="H1834">
        <v>-42361429</v>
      </c>
      <c r="I1834">
        <v>-8713418</v>
      </c>
      <c r="J1834">
        <v>15193104</v>
      </c>
      <c r="K1834">
        <v>27505652</v>
      </c>
      <c r="L1834">
        <v>-92360486</v>
      </c>
      <c r="M1834">
        <v>5680916</v>
      </c>
      <c r="N1834">
        <v>-10575849</v>
      </c>
      <c r="O1834">
        <v>-4721256</v>
      </c>
      <c r="P1834">
        <v>85</v>
      </c>
      <c r="Q1834" t="s">
        <v>3986</v>
      </c>
    </row>
    <row r="1835" spans="1:17" x14ac:dyDescent="0.3">
      <c r="A1835" t="s">
        <v>17</v>
      </c>
      <c r="B1835" t="str">
        <f>"603115"</f>
        <v>603115</v>
      </c>
      <c r="C1835" t="s">
        <v>3987</v>
      </c>
      <c r="D1835" t="s">
        <v>140</v>
      </c>
      <c r="E1835">
        <v>13625202</v>
      </c>
      <c r="F1835">
        <v>26941824</v>
      </c>
      <c r="G1835">
        <v>33159338</v>
      </c>
      <c r="H1835">
        <v>4009300</v>
      </c>
      <c r="I1835">
        <v>52799300</v>
      </c>
      <c r="P1835">
        <v>88</v>
      </c>
      <c r="Q1835" t="s">
        <v>3988</v>
      </c>
    </row>
    <row r="1836" spans="1:17" x14ac:dyDescent="0.3">
      <c r="A1836" t="s">
        <v>33</v>
      </c>
      <c r="B1836" t="str">
        <f>"300780"</f>
        <v>300780</v>
      </c>
      <c r="C1836" t="s">
        <v>3989</v>
      </c>
      <c r="D1836" t="s">
        <v>164</v>
      </c>
      <c r="E1836">
        <v>13588525</v>
      </c>
      <c r="F1836">
        <v>15251168</v>
      </c>
      <c r="G1836">
        <v>-7547994</v>
      </c>
      <c r="H1836">
        <v>3732524</v>
      </c>
      <c r="I1836">
        <v>23833241</v>
      </c>
      <c r="J1836">
        <v>1046825</v>
      </c>
      <c r="P1836">
        <v>56</v>
      </c>
      <c r="Q1836" t="s">
        <v>3990</v>
      </c>
    </row>
    <row r="1837" spans="1:17" x14ac:dyDescent="0.3">
      <c r="A1837" t="s">
        <v>17</v>
      </c>
      <c r="B1837" t="str">
        <f>"603663"</f>
        <v>603663</v>
      </c>
      <c r="C1837" t="s">
        <v>3991</v>
      </c>
      <c r="D1837" t="s">
        <v>511</v>
      </c>
      <c r="E1837">
        <v>13555503</v>
      </c>
      <c r="F1837">
        <v>58412838</v>
      </c>
      <c r="G1837">
        <v>40373016</v>
      </c>
      <c r="H1837">
        <v>-15118180</v>
      </c>
      <c r="I1837">
        <v>-4976993</v>
      </c>
      <c r="J1837">
        <v>-15989305</v>
      </c>
      <c r="K1837">
        <v>560566</v>
      </c>
      <c r="L1837">
        <v>2489380</v>
      </c>
      <c r="P1837">
        <v>143</v>
      </c>
      <c r="Q1837" t="s">
        <v>3992</v>
      </c>
    </row>
    <row r="1838" spans="1:17" x14ac:dyDescent="0.3">
      <c r="A1838" t="s">
        <v>33</v>
      </c>
      <c r="B1838" t="str">
        <f>"300656"</f>
        <v>300656</v>
      </c>
      <c r="C1838" t="s">
        <v>3993</v>
      </c>
      <c r="D1838" t="s">
        <v>499</v>
      </c>
      <c r="E1838">
        <v>13526453</v>
      </c>
      <c r="F1838">
        <v>6818440</v>
      </c>
      <c r="G1838">
        <v>-3988320</v>
      </c>
      <c r="H1838">
        <v>2465985</v>
      </c>
      <c r="I1838">
        <v>-25931513</v>
      </c>
      <c r="J1838">
        <v>-4106172</v>
      </c>
      <c r="K1838">
        <v>2334902</v>
      </c>
      <c r="P1838">
        <v>80</v>
      </c>
      <c r="Q1838" t="s">
        <v>3994</v>
      </c>
    </row>
    <row r="1839" spans="1:17" x14ac:dyDescent="0.3">
      <c r="A1839" t="s">
        <v>17</v>
      </c>
      <c r="B1839" t="str">
        <f>"603102"</f>
        <v>603102</v>
      </c>
      <c r="C1839" t="s">
        <v>3995</v>
      </c>
      <c r="E1839">
        <v>13518587</v>
      </c>
      <c r="P1839">
        <v>13</v>
      </c>
      <c r="Q1839" t="s">
        <v>3996</v>
      </c>
    </row>
    <row r="1840" spans="1:17" x14ac:dyDescent="0.3">
      <c r="A1840" t="s">
        <v>33</v>
      </c>
      <c r="B1840" t="str">
        <f>"002085"</f>
        <v>002085</v>
      </c>
      <c r="C1840" t="s">
        <v>3997</v>
      </c>
      <c r="D1840" t="s">
        <v>1618</v>
      </c>
      <c r="E1840">
        <v>13448889</v>
      </c>
      <c r="F1840">
        <v>245333040</v>
      </c>
      <c r="G1840">
        <v>423682009</v>
      </c>
      <c r="H1840">
        <v>66642302</v>
      </c>
      <c r="I1840">
        <v>235589044</v>
      </c>
      <c r="J1840">
        <v>242957043</v>
      </c>
      <c r="K1840">
        <v>195222427</v>
      </c>
      <c r="L1840">
        <v>193455807</v>
      </c>
      <c r="M1840">
        <v>234051146</v>
      </c>
      <c r="N1840">
        <v>93839875</v>
      </c>
      <c r="O1840">
        <v>76898750</v>
      </c>
      <c r="P1840">
        <v>1527</v>
      </c>
      <c r="Q1840" t="s">
        <v>3998</v>
      </c>
    </row>
    <row r="1841" spans="1:17" x14ac:dyDescent="0.3">
      <c r="A1841" t="s">
        <v>33</v>
      </c>
      <c r="B1841" t="str">
        <f>"000665"</f>
        <v>000665</v>
      </c>
      <c r="C1841" t="s">
        <v>3999</v>
      </c>
      <c r="D1841" t="s">
        <v>1074</v>
      </c>
      <c r="E1841">
        <v>13432427</v>
      </c>
      <c r="F1841">
        <v>-85013093</v>
      </c>
      <c r="G1841">
        <v>59822670</v>
      </c>
      <c r="H1841">
        <v>64935504</v>
      </c>
      <c r="I1841">
        <v>95564036</v>
      </c>
      <c r="J1841">
        <v>101435441</v>
      </c>
      <c r="K1841">
        <v>222933461</v>
      </c>
      <c r="L1841">
        <v>223191967</v>
      </c>
      <c r="M1841">
        <v>12764558</v>
      </c>
      <c r="N1841">
        <v>51288812</v>
      </c>
      <c r="O1841">
        <v>55404469</v>
      </c>
      <c r="P1841">
        <v>221</v>
      </c>
      <c r="Q1841" t="s">
        <v>4000</v>
      </c>
    </row>
    <row r="1842" spans="1:17" x14ac:dyDescent="0.3">
      <c r="A1842" t="s">
        <v>33</v>
      </c>
      <c r="B1842" t="str">
        <f>"001234"</f>
        <v>001234</v>
      </c>
      <c r="C1842" t="s">
        <v>4001</v>
      </c>
      <c r="D1842" t="s">
        <v>1292</v>
      </c>
      <c r="E1842">
        <v>13431962</v>
      </c>
      <c r="F1842">
        <v>-8161756</v>
      </c>
      <c r="P1842">
        <v>16</v>
      </c>
      <c r="Q1842" t="s">
        <v>4002</v>
      </c>
    </row>
    <row r="1843" spans="1:17" x14ac:dyDescent="0.3">
      <c r="A1843" t="s">
        <v>17</v>
      </c>
      <c r="B1843" t="str">
        <f>"600198"</f>
        <v>600198</v>
      </c>
      <c r="C1843" t="s">
        <v>4003</v>
      </c>
      <c r="D1843" t="s">
        <v>1277</v>
      </c>
      <c r="E1843">
        <v>13349962</v>
      </c>
      <c r="F1843">
        <v>-98243140</v>
      </c>
      <c r="G1843">
        <v>-40542760</v>
      </c>
      <c r="H1843">
        <v>-86239280</v>
      </c>
      <c r="I1843">
        <v>-73607686</v>
      </c>
      <c r="J1843">
        <v>-170303417</v>
      </c>
      <c r="K1843">
        <v>-38858206</v>
      </c>
      <c r="L1843">
        <v>-254472768</v>
      </c>
      <c r="M1843">
        <v>-469591190</v>
      </c>
      <c r="N1843">
        <v>-434275818</v>
      </c>
      <c r="O1843">
        <v>-393559908</v>
      </c>
      <c r="P1843">
        <v>286</v>
      </c>
      <c r="Q1843" t="s">
        <v>4004</v>
      </c>
    </row>
    <row r="1844" spans="1:17" x14ac:dyDescent="0.3">
      <c r="A1844" t="s">
        <v>33</v>
      </c>
      <c r="B1844" t="str">
        <f>"300717"</f>
        <v>300717</v>
      </c>
      <c r="C1844" t="s">
        <v>4005</v>
      </c>
      <c r="D1844" t="s">
        <v>1483</v>
      </c>
      <c r="E1844">
        <v>13303615</v>
      </c>
      <c r="F1844">
        <v>-5775670</v>
      </c>
      <c r="G1844">
        <v>-19307169</v>
      </c>
      <c r="H1844">
        <v>-1288360</v>
      </c>
      <c r="I1844">
        <v>-13989855</v>
      </c>
      <c r="J1844">
        <v>-10516647</v>
      </c>
      <c r="P1844">
        <v>71</v>
      </c>
      <c r="Q1844" t="s">
        <v>4006</v>
      </c>
    </row>
    <row r="1845" spans="1:17" x14ac:dyDescent="0.3">
      <c r="A1845" t="s">
        <v>33</v>
      </c>
      <c r="B1845" t="str">
        <f>"300981"</f>
        <v>300981</v>
      </c>
      <c r="C1845" t="s">
        <v>4007</v>
      </c>
      <c r="D1845" t="s">
        <v>903</v>
      </c>
      <c r="E1845">
        <v>13298033</v>
      </c>
      <c r="F1845">
        <v>979620508</v>
      </c>
      <c r="G1845">
        <v>107049721</v>
      </c>
      <c r="P1845">
        <v>127</v>
      </c>
      <c r="Q1845" t="s">
        <v>4008</v>
      </c>
    </row>
    <row r="1846" spans="1:17" x14ac:dyDescent="0.3">
      <c r="A1846" t="s">
        <v>17</v>
      </c>
      <c r="B1846" t="str">
        <f>"600980"</f>
        <v>600980</v>
      </c>
      <c r="C1846" t="s">
        <v>4009</v>
      </c>
      <c r="D1846" t="s">
        <v>1559</v>
      </c>
      <c r="E1846">
        <v>13256157</v>
      </c>
      <c r="F1846">
        <v>9044482</v>
      </c>
      <c r="G1846">
        <v>14019651</v>
      </c>
      <c r="H1846">
        <v>22367400</v>
      </c>
      <c r="I1846">
        <v>-25689020</v>
      </c>
      <c r="J1846">
        <v>-21230052</v>
      </c>
      <c r="K1846">
        <v>-46949560</v>
      </c>
      <c r="L1846">
        <v>-13618215</v>
      </c>
      <c r="M1846">
        <v>-7912688</v>
      </c>
      <c r="N1846">
        <v>3476583</v>
      </c>
      <c r="O1846">
        <v>-15346897</v>
      </c>
      <c r="P1846">
        <v>97</v>
      </c>
      <c r="Q1846" t="s">
        <v>4010</v>
      </c>
    </row>
    <row r="1847" spans="1:17" x14ac:dyDescent="0.3">
      <c r="A1847" t="s">
        <v>33</v>
      </c>
      <c r="B1847" t="str">
        <f>"300404"</f>
        <v>300404</v>
      </c>
      <c r="C1847" t="s">
        <v>4011</v>
      </c>
      <c r="D1847" t="s">
        <v>846</v>
      </c>
      <c r="E1847">
        <v>13226797</v>
      </c>
      <c r="F1847">
        <v>7490831</v>
      </c>
      <c r="G1847">
        <v>-529616</v>
      </c>
      <c r="H1847">
        <v>4822967</v>
      </c>
      <c r="I1847">
        <v>20577465</v>
      </c>
      <c r="J1847">
        <v>-5846163</v>
      </c>
      <c r="K1847">
        <v>-12368668</v>
      </c>
      <c r="L1847">
        <v>-8120180</v>
      </c>
      <c r="M1847">
        <v>-10400916</v>
      </c>
      <c r="P1847">
        <v>150</v>
      </c>
      <c r="Q1847" t="s">
        <v>4012</v>
      </c>
    </row>
    <row r="1848" spans="1:17" x14ac:dyDescent="0.3">
      <c r="A1848" t="s">
        <v>33</v>
      </c>
      <c r="B1848" t="str">
        <f>"300710"</f>
        <v>300710</v>
      </c>
      <c r="C1848" t="s">
        <v>4013</v>
      </c>
      <c r="D1848" t="s">
        <v>461</v>
      </c>
      <c r="E1848">
        <v>13223902</v>
      </c>
      <c r="F1848">
        <v>4525713</v>
      </c>
      <c r="G1848">
        <v>-23076393</v>
      </c>
      <c r="H1848">
        <v>-10716479</v>
      </c>
      <c r="I1848">
        <v>-31211216</v>
      </c>
      <c r="J1848">
        <v>-1885197</v>
      </c>
      <c r="P1848">
        <v>107</v>
      </c>
      <c r="Q1848" t="s">
        <v>4014</v>
      </c>
    </row>
    <row r="1849" spans="1:17" x14ac:dyDescent="0.3">
      <c r="A1849" t="s">
        <v>17</v>
      </c>
      <c r="B1849" t="str">
        <f>"603096"</f>
        <v>603096</v>
      </c>
      <c r="C1849" t="s">
        <v>4015</v>
      </c>
      <c r="D1849" t="s">
        <v>1501</v>
      </c>
      <c r="E1849">
        <v>13205415</v>
      </c>
      <c r="F1849">
        <v>-41456996</v>
      </c>
      <c r="G1849">
        <v>14194074</v>
      </c>
      <c r="H1849">
        <v>45151519</v>
      </c>
      <c r="I1849">
        <v>-123006278</v>
      </c>
      <c r="J1849">
        <v>-14698793</v>
      </c>
      <c r="K1849">
        <v>17762245</v>
      </c>
      <c r="P1849">
        <v>222</v>
      </c>
      <c r="Q1849" t="s">
        <v>4016</v>
      </c>
    </row>
    <row r="1850" spans="1:17" x14ac:dyDescent="0.3">
      <c r="A1850" t="s">
        <v>17</v>
      </c>
      <c r="B1850" t="str">
        <f>"600080"</f>
        <v>600080</v>
      </c>
      <c r="C1850" t="s">
        <v>4017</v>
      </c>
      <c r="D1850" t="s">
        <v>533</v>
      </c>
      <c r="E1850">
        <v>13070626</v>
      </c>
      <c r="F1850">
        <v>-37984546</v>
      </c>
      <c r="G1850">
        <v>-14582174</v>
      </c>
      <c r="H1850">
        <v>4626723</v>
      </c>
      <c r="I1850">
        <v>-10137823</v>
      </c>
      <c r="J1850">
        <v>1744509</v>
      </c>
      <c r="K1850">
        <v>7722008</v>
      </c>
      <c r="L1850">
        <v>-1367273</v>
      </c>
      <c r="M1850">
        <v>-6459833</v>
      </c>
      <c r="N1850">
        <v>113186</v>
      </c>
      <c r="O1850">
        <v>-8431204</v>
      </c>
      <c r="P1850">
        <v>97</v>
      </c>
      <c r="Q1850" t="s">
        <v>4018</v>
      </c>
    </row>
    <row r="1851" spans="1:17" x14ac:dyDescent="0.3">
      <c r="A1851" t="s">
        <v>17</v>
      </c>
      <c r="B1851" t="str">
        <f>"603105"</f>
        <v>603105</v>
      </c>
      <c r="C1851" t="s">
        <v>4019</v>
      </c>
      <c r="D1851" t="s">
        <v>1007</v>
      </c>
      <c r="E1851">
        <v>13008040</v>
      </c>
      <c r="F1851">
        <v>8725852</v>
      </c>
      <c r="G1851">
        <v>16398601</v>
      </c>
      <c r="H1851">
        <v>45821337</v>
      </c>
      <c r="I1851">
        <v>-21115898</v>
      </c>
      <c r="J1851">
        <v>-93874302</v>
      </c>
      <c r="P1851">
        <v>144</v>
      </c>
      <c r="Q1851" t="s">
        <v>4020</v>
      </c>
    </row>
    <row r="1852" spans="1:17" x14ac:dyDescent="0.3">
      <c r="A1852" t="s">
        <v>33</v>
      </c>
      <c r="B1852" t="str">
        <f>"002516"</f>
        <v>002516</v>
      </c>
      <c r="C1852" t="s">
        <v>4021</v>
      </c>
      <c r="D1852" t="s">
        <v>200</v>
      </c>
      <c r="E1852">
        <v>12924113</v>
      </c>
      <c r="F1852">
        <v>7159026</v>
      </c>
      <c r="G1852">
        <v>89278907</v>
      </c>
      <c r="H1852">
        <v>15891229</v>
      </c>
      <c r="I1852">
        <v>23603658</v>
      </c>
      <c r="J1852">
        <v>109976164</v>
      </c>
      <c r="K1852">
        <v>60893847</v>
      </c>
      <c r="L1852">
        <v>-31779872</v>
      </c>
      <c r="M1852">
        <v>9834526</v>
      </c>
      <c r="N1852">
        <v>13336082</v>
      </c>
      <c r="O1852">
        <v>45014482</v>
      </c>
      <c r="P1852">
        <v>160</v>
      </c>
      <c r="Q1852" t="s">
        <v>4022</v>
      </c>
    </row>
    <row r="1853" spans="1:17" x14ac:dyDescent="0.3">
      <c r="A1853" t="s">
        <v>33</v>
      </c>
      <c r="B1853" t="str">
        <f>"300742"</f>
        <v>300742</v>
      </c>
      <c r="C1853" t="s">
        <v>4023</v>
      </c>
      <c r="D1853" t="s">
        <v>858</v>
      </c>
      <c r="E1853">
        <v>12891747</v>
      </c>
      <c r="F1853">
        <v>-120883747</v>
      </c>
      <c r="G1853">
        <v>-106988599</v>
      </c>
      <c r="H1853">
        <v>-184842270</v>
      </c>
      <c r="I1853">
        <v>-42842653</v>
      </c>
      <c r="J1853">
        <v>-79717891</v>
      </c>
      <c r="P1853">
        <v>90</v>
      </c>
      <c r="Q1853" t="s">
        <v>4024</v>
      </c>
    </row>
    <row r="1854" spans="1:17" x14ac:dyDescent="0.3">
      <c r="A1854" t="s">
        <v>33</v>
      </c>
      <c r="B1854" t="str">
        <f>"002089"</f>
        <v>002089</v>
      </c>
      <c r="C1854" t="s">
        <v>4025</v>
      </c>
      <c r="D1854" t="s">
        <v>461</v>
      </c>
      <c r="E1854">
        <v>12794367</v>
      </c>
      <c r="F1854">
        <v>-150750922</v>
      </c>
      <c r="G1854">
        <v>-1624893</v>
      </c>
      <c r="H1854">
        <v>-33584116</v>
      </c>
      <c r="I1854">
        <v>9633344</v>
      </c>
      <c r="J1854">
        <v>-58912147</v>
      </c>
      <c r="K1854">
        <v>-239023006</v>
      </c>
      <c r="L1854">
        <v>154005701</v>
      </c>
      <c r="M1854">
        <v>47252108</v>
      </c>
      <c r="N1854">
        <v>59443817</v>
      </c>
      <c r="O1854">
        <v>4767595</v>
      </c>
      <c r="P1854">
        <v>175</v>
      </c>
      <c r="Q1854" t="s">
        <v>4026</v>
      </c>
    </row>
    <row r="1855" spans="1:17" x14ac:dyDescent="0.3">
      <c r="A1855" t="s">
        <v>17</v>
      </c>
      <c r="B1855" t="str">
        <f>"688305"</f>
        <v>688305</v>
      </c>
      <c r="C1855" t="s">
        <v>4027</v>
      </c>
      <c r="D1855" t="s">
        <v>1910</v>
      </c>
      <c r="E1855">
        <v>12732598</v>
      </c>
      <c r="F1855">
        <v>-17706949</v>
      </c>
      <c r="G1855">
        <v>-5813008</v>
      </c>
      <c r="P1855">
        <v>79</v>
      </c>
      <c r="Q1855" t="s">
        <v>4028</v>
      </c>
    </row>
    <row r="1856" spans="1:17" x14ac:dyDescent="0.3">
      <c r="A1856" t="s">
        <v>33</v>
      </c>
      <c r="B1856" t="str">
        <f>"002651"</f>
        <v>002651</v>
      </c>
      <c r="C1856" t="s">
        <v>4029</v>
      </c>
      <c r="D1856" t="s">
        <v>1132</v>
      </c>
      <c r="E1856">
        <v>12731335</v>
      </c>
      <c r="F1856">
        <v>78788193</v>
      </c>
      <c r="G1856">
        <v>25795945</v>
      </c>
      <c r="H1856">
        <v>1662569</v>
      </c>
      <c r="I1856">
        <v>7592763</v>
      </c>
      <c r="J1856">
        <v>18936305</v>
      </c>
      <c r="K1856">
        <v>6330662</v>
      </c>
      <c r="L1856">
        <v>-5906159</v>
      </c>
      <c r="M1856">
        <v>61499198</v>
      </c>
      <c r="N1856">
        <v>15142330</v>
      </c>
      <c r="O1856">
        <v>-18900186</v>
      </c>
      <c r="P1856">
        <v>121</v>
      </c>
      <c r="Q1856" t="s">
        <v>4030</v>
      </c>
    </row>
    <row r="1857" spans="1:17" x14ac:dyDescent="0.3">
      <c r="A1857" t="s">
        <v>33</v>
      </c>
      <c r="B1857" t="str">
        <f>"300154"</f>
        <v>300154</v>
      </c>
      <c r="C1857" t="s">
        <v>4031</v>
      </c>
      <c r="D1857" t="s">
        <v>1033</v>
      </c>
      <c r="E1857">
        <v>12713906</v>
      </c>
      <c r="F1857">
        <v>22483483</v>
      </c>
      <c r="G1857">
        <v>-8855811</v>
      </c>
      <c r="H1857">
        <v>-4645184</v>
      </c>
      <c r="I1857">
        <v>-9905042</v>
      </c>
      <c r="J1857">
        <v>52951325</v>
      </c>
      <c r="K1857">
        <v>39426951</v>
      </c>
      <c r="L1857">
        <v>5485906</v>
      </c>
      <c r="M1857">
        <v>29826630</v>
      </c>
      <c r="N1857">
        <v>61655068</v>
      </c>
      <c r="O1857">
        <v>-34842896</v>
      </c>
      <c r="P1857">
        <v>82</v>
      </c>
      <c r="Q1857" t="s">
        <v>4032</v>
      </c>
    </row>
    <row r="1858" spans="1:17" x14ac:dyDescent="0.3">
      <c r="A1858" t="s">
        <v>33</v>
      </c>
      <c r="B1858" t="str">
        <f>"300052"</f>
        <v>300052</v>
      </c>
      <c r="C1858" t="s">
        <v>4033</v>
      </c>
      <c r="D1858" t="s">
        <v>751</v>
      </c>
      <c r="E1858">
        <v>12711460</v>
      </c>
      <c r="F1858">
        <v>3652617</v>
      </c>
      <c r="G1858">
        <v>-12617906</v>
      </c>
      <c r="H1858">
        <v>26416249</v>
      </c>
      <c r="I1858">
        <v>-94825971</v>
      </c>
      <c r="J1858">
        <v>-21289086</v>
      </c>
      <c r="K1858">
        <v>-6028429</v>
      </c>
      <c r="L1858">
        <v>-13277991</v>
      </c>
      <c r="M1858">
        <v>12076960</v>
      </c>
      <c r="N1858">
        <v>-3342333</v>
      </c>
      <c r="O1858">
        <v>-1025910</v>
      </c>
      <c r="P1858">
        <v>219</v>
      </c>
      <c r="Q1858" t="s">
        <v>4034</v>
      </c>
    </row>
    <row r="1859" spans="1:17" x14ac:dyDescent="0.3">
      <c r="A1859" t="s">
        <v>33</v>
      </c>
      <c r="B1859" t="str">
        <f>"002584"</f>
        <v>002584</v>
      </c>
      <c r="C1859" t="s">
        <v>4035</v>
      </c>
      <c r="D1859" t="s">
        <v>1330</v>
      </c>
      <c r="E1859">
        <v>12699956</v>
      </c>
      <c r="F1859">
        <v>42357887</v>
      </c>
      <c r="G1859">
        <v>-295887890</v>
      </c>
      <c r="H1859">
        <v>-313818167</v>
      </c>
      <c r="I1859">
        <v>-130799424</v>
      </c>
      <c r="J1859">
        <v>-93752317</v>
      </c>
      <c r="K1859">
        <v>-119148645</v>
      </c>
      <c r="L1859">
        <v>-20669994</v>
      </c>
      <c r="M1859">
        <v>-8997509</v>
      </c>
      <c r="N1859">
        <v>70429034</v>
      </c>
      <c r="O1859">
        <v>2975537</v>
      </c>
      <c r="P1859">
        <v>119</v>
      </c>
      <c r="Q1859" t="s">
        <v>4036</v>
      </c>
    </row>
    <row r="1860" spans="1:17" x14ac:dyDescent="0.3">
      <c r="A1860" t="s">
        <v>33</v>
      </c>
      <c r="B1860" t="str">
        <f>"300251"</f>
        <v>300251</v>
      </c>
      <c r="C1860" t="s">
        <v>4037</v>
      </c>
      <c r="D1860" t="s">
        <v>314</v>
      </c>
      <c r="E1860">
        <v>12647548</v>
      </c>
      <c r="F1860">
        <v>41278135</v>
      </c>
      <c r="G1860">
        <v>-345603832</v>
      </c>
      <c r="H1860">
        <v>-741673723</v>
      </c>
      <c r="I1860">
        <v>19910869</v>
      </c>
      <c r="J1860">
        <v>355786892</v>
      </c>
      <c r="K1860">
        <v>271498789</v>
      </c>
      <c r="L1860">
        <v>-28174693</v>
      </c>
      <c r="M1860">
        <v>-35746029</v>
      </c>
      <c r="N1860">
        <v>206931888</v>
      </c>
      <c r="O1860">
        <v>-82728300</v>
      </c>
      <c r="P1860">
        <v>807</v>
      </c>
      <c r="Q1860" t="s">
        <v>4038</v>
      </c>
    </row>
    <row r="1861" spans="1:17" x14ac:dyDescent="0.3">
      <c r="A1861" t="s">
        <v>33</v>
      </c>
      <c r="B1861" t="str">
        <f>"002022"</f>
        <v>002022</v>
      </c>
      <c r="C1861" t="s">
        <v>4039</v>
      </c>
      <c r="D1861" t="s">
        <v>221</v>
      </c>
      <c r="E1861">
        <v>12609540</v>
      </c>
      <c r="F1861">
        <v>352209942</v>
      </c>
      <c r="G1861">
        <v>55450002</v>
      </c>
      <c r="H1861">
        <v>-49924351</v>
      </c>
      <c r="I1861">
        <v>-12327186</v>
      </c>
      <c r="J1861">
        <v>50076332</v>
      </c>
      <c r="K1861">
        <v>-19472478</v>
      </c>
      <c r="L1861">
        <v>68669881</v>
      </c>
      <c r="M1861">
        <v>42292133</v>
      </c>
      <c r="N1861">
        <v>14651280</v>
      </c>
      <c r="O1861">
        <v>17843171</v>
      </c>
      <c r="P1861">
        <v>1024</v>
      </c>
      <c r="Q1861" t="s">
        <v>4040</v>
      </c>
    </row>
    <row r="1862" spans="1:17" x14ac:dyDescent="0.3">
      <c r="A1862" t="s">
        <v>33</v>
      </c>
      <c r="B1862" t="str">
        <f>"300369"</f>
        <v>300369</v>
      </c>
      <c r="C1862" t="s">
        <v>4041</v>
      </c>
      <c r="D1862" t="s">
        <v>1713</v>
      </c>
      <c r="E1862">
        <v>12607127</v>
      </c>
      <c r="F1862">
        <v>-22271201</v>
      </c>
      <c r="G1862">
        <v>-5247818</v>
      </c>
      <c r="H1862">
        <v>-119402216</v>
      </c>
      <c r="I1862">
        <v>-95008537</v>
      </c>
      <c r="J1862">
        <v>-80511556</v>
      </c>
      <c r="K1862">
        <v>-56793338</v>
      </c>
      <c r="L1862">
        <v>-64222865</v>
      </c>
      <c r="M1862">
        <v>50759507</v>
      </c>
      <c r="N1862">
        <v>-66134605</v>
      </c>
      <c r="P1862">
        <v>418</v>
      </c>
      <c r="Q1862" t="s">
        <v>4042</v>
      </c>
    </row>
    <row r="1863" spans="1:17" x14ac:dyDescent="0.3">
      <c r="A1863" t="s">
        <v>33</v>
      </c>
      <c r="B1863" t="str">
        <f>"300976"</f>
        <v>300976</v>
      </c>
      <c r="C1863" t="s">
        <v>4043</v>
      </c>
      <c r="D1863" t="s">
        <v>226</v>
      </c>
      <c r="E1863">
        <v>12606550</v>
      </c>
      <c r="F1863">
        <v>75831897</v>
      </c>
      <c r="G1863">
        <v>73750922</v>
      </c>
      <c r="P1863">
        <v>35</v>
      </c>
      <c r="Q1863" t="s">
        <v>4044</v>
      </c>
    </row>
    <row r="1864" spans="1:17" x14ac:dyDescent="0.3">
      <c r="A1864" t="s">
        <v>33</v>
      </c>
      <c r="B1864" t="str">
        <f>"300406"</f>
        <v>300406</v>
      </c>
      <c r="C1864" t="s">
        <v>4045</v>
      </c>
      <c r="D1864" t="s">
        <v>221</v>
      </c>
      <c r="E1864">
        <v>12395648</v>
      </c>
      <c r="F1864">
        <v>-18666833</v>
      </c>
      <c r="G1864">
        <v>-27163071</v>
      </c>
      <c r="H1864">
        <v>7612567</v>
      </c>
      <c r="I1864">
        <v>24312071</v>
      </c>
      <c r="J1864">
        <v>23564936</v>
      </c>
      <c r="K1864">
        <v>12313634</v>
      </c>
      <c r="L1864">
        <v>11149798</v>
      </c>
      <c r="M1864">
        <v>21904268</v>
      </c>
      <c r="P1864">
        <v>14630</v>
      </c>
      <c r="Q1864" t="s">
        <v>4046</v>
      </c>
    </row>
    <row r="1865" spans="1:17" x14ac:dyDescent="0.3">
      <c r="A1865" t="s">
        <v>33</v>
      </c>
      <c r="B1865" t="str">
        <f>"000826"</f>
        <v>000826</v>
      </c>
      <c r="C1865" t="s">
        <v>4047</v>
      </c>
      <c r="D1865" t="s">
        <v>2171</v>
      </c>
      <c r="E1865">
        <v>12377698</v>
      </c>
      <c r="F1865">
        <v>4333245</v>
      </c>
      <c r="G1865">
        <v>55465572</v>
      </c>
      <c r="H1865">
        <v>-256423538</v>
      </c>
      <c r="I1865">
        <v>-418923871</v>
      </c>
      <c r="J1865">
        <v>-258803583</v>
      </c>
      <c r="K1865">
        <v>-309767469</v>
      </c>
      <c r="L1865">
        <v>69677726</v>
      </c>
      <c r="M1865">
        <v>-278620289</v>
      </c>
      <c r="N1865">
        <v>-85404654</v>
      </c>
      <c r="O1865">
        <v>-132099934</v>
      </c>
      <c r="P1865">
        <v>559</v>
      </c>
      <c r="Q1865" t="s">
        <v>4048</v>
      </c>
    </row>
    <row r="1866" spans="1:17" x14ac:dyDescent="0.3">
      <c r="A1866" t="s">
        <v>33</v>
      </c>
      <c r="B1866" t="str">
        <f>"002885"</f>
        <v>002885</v>
      </c>
      <c r="C1866" t="s">
        <v>4049</v>
      </c>
      <c r="D1866" t="s">
        <v>226</v>
      </c>
      <c r="E1866">
        <v>12329856</v>
      </c>
      <c r="F1866">
        <v>-26693639</v>
      </c>
      <c r="G1866">
        <v>60346202</v>
      </c>
      <c r="H1866">
        <v>6521541</v>
      </c>
      <c r="I1866">
        <v>-60179466</v>
      </c>
      <c r="J1866">
        <v>-23072762</v>
      </c>
      <c r="K1866">
        <v>-24926790</v>
      </c>
      <c r="P1866">
        <v>199</v>
      </c>
      <c r="Q1866" t="s">
        <v>4050</v>
      </c>
    </row>
    <row r="1867" spans="1:17" x14ac:dyDescent="0.3">
      <c r="A1867" t="s">
        <v>33</v>
      </c>
      <c r="B1867" t="str">
        <f>"300262"</f>
        <v>300262</v>
      </c>
      <c r="C1867" t="s">
        <v>4051</v>
      </c>
      <c r="D1867" t="s">
        <v>932</v>
      </c>
      <c r="E1867">
        <v>12324320</v>
      </c>
      <c r="F1867">
        <v>16191075</v>
      </c>
      <c r="G1867">
        <v>23635813</v>
      </c>
      <c r="H1867">
        <v>-159488921</v>
      </c>
      <c r="I1867">
        <v>-24993924</v>
      </c>
      <c r="J1867">
        <v>-177986536</v>
      </c>
      <c r="K1867">
        <v>-94529822</v>
      </c>
      <c r="L1867">
        <v>-23583811</v>
      </c>
      <c r="M1867">
        <v>10930112</v>
      </c>
      <c r="N1867">
        <v>-87099901</v>
      </c>
      <c r="O1867">
        <v>-37385685</v>
      </c>
      <c r="P1867">
        <v>127</v>
      </c>
      <c r="Q1867" t="s">
        <v>4052</v>
      </c>
    </row>
    <row r="1868" spans="1:17" x14ac:dyDescent="0.3">
      <c r="A1868" t="s">
        <v>33</v>
      </c>
      <c r="B1868" t="str">
        <f>"301111"</f>
        <v>301111</v>
      </c>
      <c r="C1868" t="s">
        <v>4053</v>
      </c>
      <c r="D1868" t="s">
        <v>590</v>
      </c>
      <c r="E1868">
        <v>12302965</v>
      </c>
      <c r="P1868">
        <v>28</v>
      </c>
      <c r="Q1868" t="s">
        <v>4054</v>
      </c>
    </row>
    <row r="1869" spans="1:17" x14ac:dyDescent="0.3">
      <c r="A1869" t="s">
        <v>33</v>
      </c>
      <c r="B1869" t="str">
        <f>"002979"</f>
        <v>002979</v>
      </c>
      <c r="C1869" t="s">
        <v>4055</v>
      </c>
      <c r="D1869" t="s">
        <v>1142</v>
      </c>
      <c r="E1869">
        <v>12256643</v>
      </c>
      <c r="F1869">
        <v>12840137</v>
      </c>
      <c r="G1869">
        <v>1378707</v>
      </c>
      <c r="H1869">
        <v>10318520</v>
      </c>
      <c r="P1869">
        <v>196</v>
      </c>
      <c r="Q1869" t="s">
        <v>4056</v>
      </c>
    </row>
    <row r="1870" spans="1:17" x14ac:dyDescent="0.3">
      <c r="A1870" t="s">
        <v>33</v>
      </c>
      <c r="B1870" t="str">
        <f>"300787"</f>
        <v>300787</v>
      </c>
      <c r="C1870" t="s">
        <v>4057</v>
      </c>
      <c r="D1870" t="s">
        <v>226</v>
      </c>
      <c r="E1870">
        <v>12240966</v>
      </c>
      <c r="F1870">
        <v>-96887761</v>
      </c>
      <c r="G1870">
        <v>-56936526</v>
      </c>
      <c r="H1870">
        <v>-32476005</v>
      </c>
      <c r="I1870">
        <v>-36952226</v>
      </c>
      <c r="P1870">
        <v>87</v>
      </c>
      <c r="Q1870" t="s">
        <v>4058</v>
      </c>
    </row>
    <row r="1871" spans="1:17" x14ac:dyDescent="0.3">
      <c r="A1871" t="s">
        <v>17</v>
      </c>
      <c r="B1871" t="str">
        <f>"688196"</f>
        <v>688196</v>
      </c>
      <c r="C1871" t="s">
        <v>4059</v>
      </c>
      <c r="D1871" t="s">
        <v>418</v>
      </c>
      <c r="E1871">
        <v>12211955</v>
      </c>
      <c r="F1871">
        <v>-51140860</v>
      </c>
      <c r="G1871">
        <v>-67098364</v>
      </c>
      <c r="H1871">
        <v>13503872</v>
      </c>
      <c r="P1871">
        <v>188</v>
      </c>
      <c r="Q1871" t="s">
        <v>4060</v>
      </c>
    </row>
    <row r="1872" spans="1:17" x14ac:dyDescent="0.3">
      <c r="A1872" t="s">
        <v>33</v>
      </c>
      <c r="B1872" t="str">
        <f>"301023"</f>
        <v>301023</v>
      </c>
      <c r="C1872" t="s">
        <v>4061</v>
      </c>
      <c r="D1872" t="s">
        <v>1091</v>
      </c>
      <c r="E1872">
        <v>12124145</v>
      </c>
      <c r="F1872">
        <v>8245508</v>
      </c>
      <c r="G1872">
        <v>11268265</v>
      </c>
      <c r="P1872">
        <v>22</v>
      </c>
      <c r="Q1872" t="s">
        <v>4062</v>
      </c>
    </row>
    <row r="1873" spans="1:17" x14ac:dyDescent="0.3">
      <c r="A1873" t="s">
        <v>33</v>
      </c>
      <c r="B1873" t="str">
        <f>"300991"</f>
        <v>300991</v>
      </c>
      <c r="C1873" t="s">
        <v>4063</v>
      </c>
      <c r="D1873" t="s">
        <v>499</v>
      </c>
      <c r="E1873">
        <v>12052832</v>
      </c>
      <c r="F1873">
        <v>27905018</v>
      </c>
      <c r="G1873">
        <v>35478688</v>
      </c>
      <c r="P1873">
        <v>58</v>
      </c>
      <c r="Q1873" t="s">
        <v>4064</v>
      </c>
    </row>
    <row r="1874" spans="1:17" x14ac:dyDescent="0.3">
      <c r="A1874" t="s">
        <v>33</v>
      </c>
      <c r="B1874" t="str">
        <f>"301073"</f>
        <v>301073</v>
      </c>
      <c r="C1874" t="s">
        <v>4065</v>
      </c>
      <c r="D1874" t="s">
        <v>2043</v>
      </c>
      <c r="E1874">
        <v>12050696</v>
      </c>
      <c r="P1874">
        <v>22</v>
      </c>
      <c r="Q1874" t="s">
        <v>4066</v>
      </c>
    </row>
    <row r="1875" spans="1:17" x14ac:dyDescent="0.3">
      <c r="A1875" t="s">
        <v>33</v>
      </c>
      <c r="B1875" t="str">
        <f>"300587"</f>
        <v>300587</v>
      </c>
      <c r="C1875" t="s">
        <v>4067</v>
      </c>
      <c r="D1875" t="s">
        <v>2369</v>
      </c>
      <c r="E1875">
        <v>11981790</v>
      </c>
      <c r="F1875">
        <v>1018760</v>
      </c>
      <c r="G1875">
        <v>-63462253</v>
      </c>
      <c r="H1875">
        <v>-673876</v>
      </c>
      <c r="I1875">
        <v>-42748637</v>
      </c>
      <c r="J1875">
        <v>-15071047</v>
      </c>
      <c r="K1875">
        <v>15572673</v>
      </c>
      <c r="P1875">
        <v>153</v>
      </c>
      <c r="Q1875" t="s">
        <v>4068</v>
      </c>
    </row>
    <row r="1876" spans="1:17" x14ac:dyDescent="0.3">
      <c r="A1876" t="s">
        <v>17</v>
      </c>
      <c r="B1876" t="str">
        <f>"688259"</f>
        <v>688259</v>
      </c>
      <c r="C1876" t="s">
        <v>4069</v>
      </c>
      <c r="D1876" t="s">
        <v>1277</v>
      </c>
      <c r="E1876">
        <v>11882274</v>
      </c>
      <c r="P1876">
        <v>17</v>
      </c>
      <c r="Q1876" t="s">
        <v>4070</v>
      </c>
    </row>
    <row r="1877" spans="1:17" x14ac:dyDescent="0.3">
      <c r="A1877" t="s">
        <v>33</v>
      </c>
      <c r="B1877" t="str">
        <f>"300638"</f>
        <v>300638</v>
      </c>
      <c r="C1877" t="s">
        <v>4071</v>
      </c>
      <c r="D1877" t="s">
        <v>1347</v>
      </c>
      <c r="E1877">
        <v>11826333</v>
      </c>
      <c r="F1877">
        <v>79609767</v>
      </c>
      <c r="G1877">
        <v>47004541</v>
      </c>
      <c r="H1877">
        <v>140865675</v>
      </c>
      <c r="I1877">
        <v>6608885</v>
      </c>
      <c r="J1877">
        <v>-50617579</v>
      </c>
      <c r="K1877">
        <v>-32483056</v>
      </c>
      <c r="P1877">
        <v>757</v>
      </c>
      <c r="Q1877" t="s">
        <v>4072</v>
      </c>
    </row>
    <row r="1878" spans="1:17" x14ac:dyDescent="0.3">
      <c r="A1878" t="s">
        <v>17</v>
      </c>
      <c r="B1878" t="str">
        <f>"688321"</f>
        <v>688321</v>
      </c>
      <c r="C1878" t="s">
        <v>4073</v>
      </c>
      <c r="D1878" t="s">
        <v>590</v>
      </c>
      <c r="E1878">
        <v>11791113</v>
      </c>
      <c r="F1878">
        <v>24644409</v>
      </c>
      <c r="G1878">
        <v>27844084</v>
      </c>
      <c r="H1878">
        <v>9709957</v>
      </c>
      <c r="I1878">
        <v>-7010556</v>
      </c>
      <c r="P1878">
        <v>157</v>
      </c>
      <c r="Q1878" t="s">
        <v>4074</v>
      </c>
    </row>
    <row r="1879" spans="1:17" x14ac:dyDescent="0.3">
      <c r="A1879" t="s">
        <v>33</v>
      </c>
      <c r="B1879" t="str">
        <f>"002148"</f>
        <v>002148</v>
      </c>
      <c r="C1879" t="s">
        <v>4075</v>
      </c>
      <c r="D1879" t="s">
        <v>1566</v>
      </c>
      <c r="E1879">
        <v>11715336</v>
      </c>
      <c r="F1879">
        <v>15871541</v>
      </c>
      <c r="G1879">
        <v>-896888</v>
      </c>
      <c r="H1879">
        <v>23286898</v>
      </c>
      <c r="I1879">
        <v>-5668552</v>
      </c>
      <c r="J1879">
        <v>45798817</v>
      </c>
      <c r="K1879">
        <v>27256659</v>
      </c>
      <c r="L1879">
        <v>-9564968</v>
      </c>
      <c r="M1879">
        <v>-12549131</v>
      </c>
      <c r="N1879">
        <v>14176381</v>
      </c>
      <c r="O1879">
        <v>4978232</v>
      </c>
      <c r="P1879">
        <v>103</v>
      </c>
      <c r="Q1879" t="s">
        <v>4076</v>
      </c>
    </row>
    <row r="1880" spans="1:17" x14ac:dyDescent="0.3">
      <c r="A1880" t="s">
        <v>33</v>
      </c>
      <c r="B1880" t="str">
        <f>"300100"</f>
        <v>300100</v>
      </c>
      <c r="C1880" t="s">
        <v>4077</v>
      </c>
      <c r="D1880" t="s">
        <v>200</v>
      </c>
      <c r="E1880">
        <v>11488910</v>
      </c>
      <c r="F1880">
        <v>87270035</v>
      </c>
      <c r="G1880">
        <v>181149967</v>
      </c>
      <c r="H1880">
        <v>137127224</v>
      </c>
      <c r="I1880">
        <v>100100765</v>
      </c>
      <c r="J1880">
        <v>76484106</v>
      </c>
      <c r="K1880">
        <v>46015930</v>
      </c>
      <c r="L1880">
        <v>63786860</v>
      </c>
      <c r="M1880">
        <v>36159991</v>
      </c>
      <c r="N1880">
        <v>22296985</v>
      </c>
      <c r="O1880">
        <v>101307731</v>
      </c>
      <c r="P1880">
        <v>129</v>
      </c>
      <c r="Q1880" t="s">
        <v>4078</v>
      </c>
    </row>
    <row r="1881" spans="1:17" x14ac:dyDescent="0.3">
      <c r="A1881" t="s">
        <v>33</v>
      </c>
      <c r="B1881" t="str">
        <f>"002537"</f>
        <v>002537</v>
      </c>
      <c r="C1881" t="s">
        <v>4079</v>
      </c>
      <c r="D1881" t="s">
        <v>200</v>
      </c>
      <c r="E1881">
        <v>11439170</v>
      </c>
      <c r="F1881">
        <v>-34534694</v>
      </c>
      <c r="G1881">
        <v>-116629303</v>
      </c>
      <c r="H1881">
        <v>-51375311</v>
      </c>
      <c r="I1881">
        <v>-26038333</v>
      </c>
      <c r="J1881">
        <v>-247255576</v>
      </c>
      <c r="K1881">
        <v>25622986</v>
      </c>
      <c r="L1881">
        <v>250168897</v>
      </c>
      <c r="M1881">
        <v>-14326975</v>
      </c>
      <c r="N1881">
        <v>-38339215</v>
      </c>
      <c r="O1881">
        <v>31900653</v>
      </c>
      <c r="P1881">
        <v>182</v>
      </c>
      <c r="Q1881" t="s">
        <v>4080</v>
      </c>
    </row>
    <row r="1882" spans="1:17" x14ac:dyDescent="0.3">
      <c r="A1882" t="s">
        <v>17</v>
      </c>
      <c r="B1882" t="str">
        <f>"688160"</f>
        <v>688160</v>
      </c>
      <c r="C1882" t="s">
        <v>4081</v>
      </c>
      <c r="D1882" t="s">
        <v>2148</v>
      </c>
      <c r="E1882">
        <v>11336299</v>
      </c>
      <c r="F1882">
        <v>-32993625</v>
      </c>
      <c r="G1882">
        <v>-13902733</v>
      </c>
      <c r="P1882">
        <v>44</v>
      </c>
      <c r="Q1882" t="s">
        <v>4082</v>
      </c>
    </row>
    <row r="1883" spans="1:17" x14ac:dyDescent="0.3">
      <c r="A1883" t="s">
        <v>33</v>
      </c>
      <c r="B1883" t="str">
        <f>"300619"</f>
        <v>300619</v>
      </c>
      <c r="C1883" t="s">
        <v>4083</v>
      </c>
      <c r="D1883" t="s">
        <v>1549</v>
      </c>
      <c r="E1883">
        <v>11321336</v>
      </c>
      <c r="F1883">
        <v>37863458</v>
      </c>
      <c r="G1883">
        <v>-50713710</v>
      </c>
      <c r="H1883">
        <v>33781441</v>
      </c>
      <c r="I1883">
        <v>-6734749</v>
      </c>
      <c r="J1883">
        <v>-20005717</v>
      </c>
      <c r="K1883">
        <v>-12306190</v>
      </c>
      <c r="P1883">
        <v>94</v>
      </c>
      <c r="Q1883" t="s">
        <v>4084</v>
      </c>
    </row>
    <row r="1884" spans="1:17" x14ac:dyDescent="0.3">
      <c r="A1884" t="s">
        <v>33</v>
      </c>
      <c r="B1884" t="str">
        <f>"300993"</f>
        <v>300993</v>
      </c>
      <c r="C1884" t="s">
        <v>4085</v>
      </c>
      <c r="D1884" t="s">
        <v>927</v>
      </c>
      <c r="E1884">
        <v>11279228</v>
      </c>
      <c r="F1884">
        <v>16560480</v>
      </c>
      <c r="G1884">
        <v>13047429</v>
      </c>
      <c r="P1884">
        <v>31</v>
      </c>
      <c r="Q1884" t="s">
        <v>4086</v>
      </c>
    </row>
    <row r="1885" spans="1:17" x14ac:dyDescent="0.3">
      <c r="A1885" t="s">
        <v>17</v>
      </c>
      <c r="B1885" t="str">
        <f>"688127"</f>
        <v>688127</v>
      </c>
      <c r="C1885" t="s">
        <v>4087</v>
      </c>
      <c r="D1885" t="s">
        <v>2017</v>
      </c>
      <c r="E1885">
        <v>11264740</v>
      </c>
      <c r="F1885">
        <v>58490180</v>
      </c>
      <c r="G1885">
        <v>57043700</v>
      </c>
      <c r="H1885">
        <v>49638800</v>
      </c>
      <c r="P1885">
        <v>86</v>
      </c>
      <c r="Q1885" t="s">
        <v>4088</v>
      </c>
    </row>
    <row r="1886" spans="1:17" x14ac:dyDescent="0.3">
      <c r="A1886" t="s">
        <v>17</v>
      </c>
      <c r="B1886" t="str">
        <f>"603196"</f>
        <v>603196</v>
      </c>
      <c r="C1886" t="s">
        <v>4089</v>
      </c>
      <c r="D1886" t="s">
        <v>581</v>
      </c>
      <c r="E1886">
        <v>11122418</v>
      </c>
      <c r="F1886">
        <v>38522157</v>
      </c>
      <c r="G1886">
        <v>15427546</v>
      </c>
      <c r="H1886">
        <v>8995112</v>
      </c>
      <c r="I1886">
        <v>47395184</v>
      </c>
      <c r="J1886">
        <v>59168700</v>
      </c>
      <c r="K1886">
        <v>49543200</v>
      </c>
      <c r="P1886">
        <v>70</v>
      </c>
      <c r="Q1886" t="s">
        <v>4090</v>
      </c>
    </row>
    <row r="1887" spans="1:17" x14ac:dyDescent="0.3">
      <c r="A1887" t="s">
        <v>33</v>
      </c>
      <c r="B1887" t="str">
        <f>"300701"</f>
        <v>300701</v>
      </c>
      <c r="C1887" t="s">
        <v>4091</v>
      </c>
      <c r="D1887" t="s">
        <v>2017</v>
      </c>
      <c r="E1887">
        <v>11035176</v>
      </c>
      <c r="F1887">
        <v>9227455</v>
      </c>
      <c r="G1887">
        <v>32141756</v>
      </c>
      <c r="H1887">
        <v>12718031</v>
      </c>
      <c r="I1887">
        <v>13110264</v>
      </c>
      <c r="J1887">
        <v>8814977</v>
      </c>
      <c r="P1887">
        <v>746</v>
      </c>
      <c r="Q1887" t="s">
        <v>4092</v>
      </c>
    </row>
    <row r="1888" spans="1:17" x14ac:dyDescent="0.3">
      <c r="A1888" t="s">
        <v>17</v>
      </c>
      <c r="B1888" t="str">
        <f>"600678"</f>
        <v>600678</v>
      </c>
      <c r="C1888" t="s">
        <v>4093</v>
      </c>
      <c r="D1888" t="s">
        <v>260</v>
      </c>
      <c r="E1888">
        <v>10968873</v>
      </c>
      <c r="F1888">
        <v>14225254</v>
      </c>
      <c r="G1888">
        <v>-12000931</v>
      </c>
      <c r="H1888">
        <v>19685766</v>
      </c>
      <c r="I1888">
        <v>-20516407</v>
      </c>
      <c r="J1888">
        <v>-3478925</v>
      </c>
      <c r="K1888">
        <v>-11951575</v>
      </c>
      <c r="L1888">
        <v>-10603168</v>
      </c>
      <c r="M1888">
        <v>-263015</v>
      </c>
      <c r="N1888">
        <v>-21107434</v>
      </c>
      <c r="O1888">
        <v>-10875697</v>
      </c>
      <c r="P1888">
        <v>194</v>
      </c>
      <c r="Q1888" t="s">
        <v>4094</v>
      </c>
    </row>
    <row r="1889" spans="1:17" x14ac:dyDescent="0.3">
      <c r="A1889" t="s">
        <v>33</v>
      </c>
      <c r="B1889" t="str">
        <f>"300475"</f>
        <v>300475</v>
      </c>
      <c r="C1889" t="s">
        <v>4095</v>
      </c>
      <c r="D1889" t="s">
        <v>1869</v>
      </c>
      <c r="E1889">
        <v>10832357</v>
      </c>
      <c r="F1889">
        <v>105297179</v>
      </c>
      <c r="G1889">
        <v>30012554</v>
      </c>
      <c r="H1889">
        <v>16144012</v>
      </c>
      <c r="I1889">
        <v>-23946517</v>
      </c>
      <c r="J1889">
        <v>35832779</v>
      </c>
      <c r="K1889">
        <v>29523226</v>
      </c>
      <c r="L1889">
        <v>59397351</v>
      </c>
      <c r="M1889">
        <v>6783384</v>
      </c>
      <c r="P1889">
        <v>92</v>
      </c>
      <c r="Q1889" t="s">
        <v>4096</v>
      </c>
    </row>
    <row r="1890" spans="1:17" x14ac:dyDescent="0.3">
      <c r="A1890" t="s">
        <v>17</v>
      </c>
      <c r="B1890" t="str">
        <f>"688357"</f>
        <v>688357</v>
      </c>
      <c r="C1890" t="s">
        <v>4097</v>
      </c>
      <c r="D1890" t="s">
        <v>790</v>
      </c>
      <c r="E1890">
        <v>10785893</v>
      </c>
      <c r="F1890">
        <v>50777671</v>
      </c>
      <c r="G1890">
        <v>-2703474</v>
      </c>
      <c r="H1890">
        <v>-5022542</v>
      </c>
      <c r="P1890">
        <v>157</v>
      </c>
      <c r="Q1890" t="s">
        <v>4098</v>
      </c>
    </row>
    <row r="1891" spans="1:17" x14ac:dyDescent="0.3">
      <c r="A1891" t="s">
        <v>33</v>
      </c>
      <c r="B1891" t="str">
        <f>"301005"</f>
        <v>301005</v>
      </c>
      <c r="C1891" t="s">
        <v>4099</v>
      </c>
      <c r="D1891" t="s">
        <v>1419</v>
      </c>
      <c r="E1891">
        <v>10663337</v>
      </c>
      <c r="F1891">
        <v>23363732</v>
      </c>
      <c r="G1891">
        <v>19282592</v>
      </c>
      <c r="P1891">
        <v>23</v>
      </c>
      <c r="Q1891" t="s">
        <v>4100</v>
      </c>
    </row>
    <row r="1892" spans="1:17" x14ac:dyDescent="0.3">
      <c r="A1892" t="s">
        <v>17</v>
      </c>
      <c r="B1892" t="str">
        <f>"603306"</f>
        <v>603306</v>
      </c>
      <c r="C1892" t="s">
        <v>4101</v>
      </c>
      <c r="D1892" t="s">
        <v>200</v>
      </c>
      <c r="E1892">
        <v>10649615</v>
      </c>
      <c r="F1892">
        <v>24934355</v>
      </c>
      <c r="G1892">
        <v>18550563</v>
      </c>
      <c r="H1892">
        <v>84480925</v>
      </c>
      <c r="I1892">
        <v>99752954</v>
      </c>
      <c r="J1892">
        <v>65392047</v>
      </c>
      <c r="K1892">
        <v>57091478</v>
      </c>
      <c r="L1892">
        <v>4968484</v>
      </c>
      <c r="M1892">
        <v>22562466</v>
      </c>
      <c r="P1892">
        <v>631</v>
      </c>
      <c r="Q1892" t="s">
        <v>4102</v>
      </c>
    </row>
    <row r="1893" spans="1:17" x14ac:dyDescent="0.3">
      <c r="A1893" t="s">
        <v>33</v>
      </c>
      <c r="B1893" t="str">
        <f>"002341"</f>
        <v>002341</v>
      </c>
      <c r="C1893" t="s">
        <v>4103</v>
      </c>
      <c r="D1893" t="s">
        <v>1734</v>
      </c>
      <c r="E1893">
        <v>10593119</v>
      </c>
      <c r="F1893">
        <v>64068933</v>
      </c>
      <c r="G1893">
        <v>30083654</v>
      </c>
      <c r="H1893">
        <v>27999838</v>
      </c>
      <c r="I1893">
        <v>16507294</v>
      </c>
      <c r="J1893">
        <v>-130619867</v>
      </c>
      <c r="K1893">
        <v>-49922785</v>
      </c>
      <c r="L1893">
        <v>-19032968</v>
      </c>
      <c r="M1893">
        <v>13657901</v>
      </c>
      <c r="N1893">
        <v>-15711971</v>
      </c>
      <c r="O1893">
        <v>3176603</v>
      </c>
      <c r="P1893">
        <v>276</v>
      </c>
      <c r="Q1893" t="s">
        <v>4104</v>
      </c>
    </row>
    <row r="1894" spans="1:17" x14ac:dyDescent="0.3">
      <c r="A1894" t="s">
        <v>33</v>
      </c>
      <c r="B1894" t="str">
        <f>"002076"</f>
        <v>002076</v>
      </c>
      <c r="C1894" t="s">
        <v>4105</v>
      </c>
      <c r="D1894" t="s">
        <v>1955</v>
      </c>
      <c r="E1894">
        <v>10553698</v>
      </c>
      <c r="F1894">
        <v>-3787987</v>
      </c>
      <c r="G1894">
        <v>12323972</v>
      </c>
      <c r="H1894">
        <v>10691025</v>
      </c>
      <c r="I1894">
        <v>-23725995</v>
      </c>
      <c r="J1894">
        <v>-27397635</v>
      </c>
      <c r="K1894">
        <v>-60007808</v>
      </c>
      <c r="L1894">
        <v>-521536</v>
      </c>
      <c r="M1894">
        <v>1624501</v>
      </c>
      <c r="N1894">
        <v>-53223678</v>
      </c>
      <c r="O1894">
        <v>17157208</v>
      </c>
      <c r="P1894">
        <v>100</v>
      </c>
      <c r="Q1894" t="s">
        <v>4106</v>
      </c>
    </row>
    <row r="1895" spans="1:17" x14ac:dyDescent="0.3">
      <c r="A1895" t="s">
        <v>17</v>
      </c>
      <c r="B1895" t="str">
        <f>"600815"</f>
        <v>600815</v>
      </c>
      <c r="C1895" t="s">
        <v>4107</v>
      </c>
      <c r="D1895" t="s">
        <v>320</v>
      </c>
      <c r="E1895">
        <v>10531990</v>
      </c>
      <c r="F1895">
        <v>-68897735</v>
      </c>
      <c r="G1895">
        <v>-136552969</v>
      </c>
      <c r="H1895">
        <v>-107668869</v>
      </c>
      <c r="I1895">
        <v>232144495</v>
      </c>
      <c r="J1895">
        <v>34192506</v>
      </c>
      <c r="K1895">
        <v>-81843471</v>
      </c>
      <c r="L1895">
        <v>-242344277</v>
      </c>
      <c r="M1895">
        <v>-710262268</v>
      </c>
      <c r="N1895">
        <v>47819160</v>
      </c>
      <c r="O1895">
        <v>-625523521</v>
      </c>
      <c r="P1895">
        <v>67</v>
      </c>
      <c r="Q1895" t="s">
        <v>4108</v>
      </c>
    </row>
    <row r="1896" spans="1:17" x14ac:dyDescent="0.3">
      <c r="A1896" t="s">
        <v>17</v>
      </c>
      <c r="B1896" t="str">
        <f>"688033"</f>
        <v>688033</v>
      </c>
      <c r="C1896" t="s">
        <v>4109</v>
      </c>
      <c r="D1896" t="s">
        <v>1703</v>
      </c>
      <c r="E1896">
        <v>10475884</v>
      </c>
      <c r="F1896">
        <v>79812395</v>
      </c>
      <c r="G1896">
        <v>35574551</v>
      </c>
      <c r="H1896">
        <v>24373011</v>
      </c>
      <c r="I1896">
        <v>-49725222</v>
      </c>
      <c r="P1896">
        <v>86</v>
      </c>
      <c r="Q1896" t="s">
        <v>4110</v>
      </c>
    </row>
    <row r="1897" spans="1:17" x14ac:dyDescent="0.3">
      <c r="A1897" t="s">
        <v>33</v>
      </c>
      <c r="B1897" t="str">
        <f>"300808"</f>
        <v>300808</v>
      </c>
      <c r="C1897" t="s">
        <v>4111</v>
      </c>
      <c r="D1897" t="s">
        <v>1299</v>
      </c>
      <c r="E1897">
        <v>10398747</v>
      </c>
      <c r="F1897">
        <v>-17756067</v>
      </c>
      <c r="G1897">
        <v>-56726818</v>
      </c>
      <c r="H1897">
        <v>11269506</v>
      </c>
      <c r="P1897">
        <v>55</v>
      </c>
      <c r="Q1897" t="s">
        <v>4112</v>
      </c>
    </row>
    <row r="1898" spans="1:17" x14ac:dyDescent="0.3">
      <c r="A1898" t="s">
        <v>33</v>
      </c>
      <c r="B1898" t="str">
        <f>"300817"</f>
        <v>300817</v>
      </c>
      <c r="C1898" t="s">
        <v>4113</v>
      </c>
      <c r="D1898" t="s">
        <v>164</v>
      </c>
      <c r="E1898">
        <v>10351833</v>
      </c>
      <c r="F1898">
        <v>-51634361</v>
      </c>
      <c r="G1898">
        <v>-15697231</v>
      </c>
      <c r="H1898">
        <v>-1251977</v>
      </c>
      <c r="P1898">
        <v>63</v>
      </c>
      <c r="Q1898" t="s">
        <v>4114</v>
      </c>
    </row>
    <row r="1899" spans="1:17" x14ac:dyDescent="0.3">
      <c r="A1899" t="s">
        <v>33</v>
      </c>
      <c r="B1899" t="str">
        <f>"002863"</f>
        <v>002863</v>
      </c>
      <c r="C1899" t="s">
        <v>4115</v>
      </c>
      <c r="D1899" t="s">
        <v>1618</v>
      </c>
      <c r="E1899">
        <v>10314331</v>
      </c>
      <c r="F1899">
        <v>10056857</v>
      </c>
      <c r="G1899">
        <v>52608243</v>
      </c>
      <c r="H1899">
        <v>42019158</v>
      </c>
      <c r="I1899">
        <v>-119241900</v>
      </c>
      <c r="J1899">
        <v>13922528</v>
      </c>
      <c r="K1899">
        <v>40719207</v>
      </c>
      <c r="P1899">
        <v>104</v>
      </c>
      <c r="Q1899" t="s">
        <v>4116</v>
      </c>
    </row>
    <row r="1900" spans="1:17" x14ac:dyDescent="0.3">
      <c r="A1900" t="s">
        <v>33</v>
      </c>
      <c r="B1900" t="str">
        <f>"300883"</f>
        <v>300883</v>
      </c>
      <c r="C1900" t="s">
        <v>4117</v>
      </c>
      <c r="D1900" t="s">
        <v>1015</v>
      </c>
      <c r="E1900">
        <v>10309272</v>
      </c>
      <c r="F1900">
        <v>-2712353</v>
      </c>
      <c r="G1900">
        <v>12932404</v>
      </c>
      <c r="P1900">
        <v>37</v>
      </c>
      <c r="Q1900" t="s">
        <v>4118</v>
      </c>
    </row>
    <row r="1901" spans="1:17" x14ac:dyDescent="0.3">
      <c r="A1901" t="s">
        <v>17</v>
      </c>
      <c r="B1901" t="str">
        <f>"600093"</f>
        <v>600093</v>
      </c>
      <c r="C1901" t="s">
        <v>4119</v>
      </c>
      <c r="D1901" t="s">
        <v>4120</v>
      </c>
      <c r="E1901">
        <v>10247977</v>
      </c>
      <c r="F1901">
        <v>88659871</v>
      </c>
      <c r="G1901">
        <v>-453965425</v>
      </c>
      <c r="H1901">
        <v>-69023569</v>
      </c>
      <c r="I1901">
        <v>252387979</v>
      </c>
      <c r="J1901">
        <v>-166158668</v>
      </c>
      <c r="K1901">
        <v>195270209</v>
      </c>
      <c r="L1901">
        <v>18478109</v>
      </c>
      <c r="M1901">
        <v>18795035</v>
      </c>
      <c r="N1901">
        <v>-14328890</v>
      </c>
      <c r="O1901">
        <v>-6198173</v>
      </c>
      <c r="P1901">
        <v>222</v>
      </c>
      <c r="Q1901" t="s">
        <v>4121</v>
      </c>
    </row>
    <row r="1902" spans="1:17" x14ac:dyDescent="0.3">
      <c r="A1902" t="s">
        <v>17</v>
      </c>
      <c r="B1902" t="str">
        <f>"688517"</f>
        <v>688517</v>
      </c>
      <c r="C1902" t="s">
        <v>4122</v>
      </c>
      <c r="D1902" t="s">
        <v>675</v>
      </c>
      <c r="E1902">
        <v>10204809</v>
      </c>
      <c r="F1902">
        <v>-38560055</v>
      </c>
      <c r="G1902">
        <v>-15836918</v>
      </c>
      <c r="P1902">
        <v>19</v>
      </c>
      <c r="Q1902" t="s">
        <v>4123</v>
      </c>
    </row>
    <row r="1903" spans="1:17" x14ac:dyDescent="0.3">
      <c r="A1903" t="s">
        <v>17</v>
      </c>
      <c r="B1903" t="str">
        <f>"600078"</f>
        <v>600078</v>
      </c>
      <c r="C1903" t="s">
        <v>4124</v>
      </c>
      <c r="D1903" t="s">
        <v>386</v>
      </c>
      <c r="E1903">
        <v>10185156</v>
      </c>
      <c r="F1903">
        <v>42880308</v>
      </c>
      <c r="G1903">
        <v>188786001</v>
      </c>
      <c r="H1903">
        <v>129770062</v>
      </c>
      <c r="I1903">
        <v>92164604</v>
      </c>
      <c r="J1903">
        <v>167269314</v>
      </c>
      <c r="K1903">
        <v>21445437</v>
      </c>
      <c r="L1903">
        <v>78213626</v>
      </c>
      <c r="M1903">
        <v>117941806</v>
      </c>
      <c r="N1903">
        <v>376094005</v>
      </c>
      <c r="O1903">
        <v>336501195</v>
      </c>
      <c r="P1903">
        <v>85</v>
      </c>
      <c r="Q1903" t="s">
        <v>4125</v>
      </c>
    </row>
    <row r="1904" spans="1:17" x14ac:dyDescent="0.3">
      <c r="A1904" t="s">
        <v>17</v>
      </c>
      <c r="B1904" t="str">
        <f>"600371"</f>
        <v>600371</v>
      </c>
      <c r="C1904" t="s">
        <v>4126</v>
      </c>
      <c r="D1904" t="s">
        <v>1990</v>
      </c>
      <c r="E1904">
        <v>10162566</v>
      </c>
      <c r="F1904">
        <v>15033507</v>
      </c>
      <c r="G1904">
        <v>2050322</v>
      </c>
      <c r="H1904">
        <v>17138224</v>
      </c>
      <c r="I1904">
        <v>36125510</v>
      </c>
      <c r="J1904">
        <v>33591775</v>
      </c>
      <c r="K1904">
        <v>140492109</v>
      </c>
      <c r="L1904">
        <v>78961015</v>
      </c>
      <c r="M1904">
        <v>9943403</v>
      </c>
      <c r="N1904">
        <v>-23389274</v>
      </c>
      <c r="O1904">
        <v>75402421</v>
      </c>
      <c r="P1904">
        <v>174</v>
      </c>
      <c r="Q1904" t="s">
        <v>4127</v>
      </c>
    </row>
    <row r="1905" spans="1:17" x14ac:dyDescent="0.3">
      <c r="A1905" t="s">
        <v>33</v>
      </c>
      <c r="B1905" t="str">
        <f>"300214"</f>
        <v>300214</v>
      </c>
      <c r="C1905" t="s">
        <v>4128</v>
      </c>
      <c r="D1905" t="s">
        <v>1483</v>
      </c>
      <c r="E1905">
        <v>10059329</v>
      </c>
      <c r="F1905">
        <v>28476786</v>
      </c>
      <c r="G1905">
        <v>112015907</v>
      </c>
      <c r="H1905">
        <v>-45001373</v>
      </c>
      <c r="I1905">
        <v>118386096</v>
      </c>
      <c r="J1905">
        <v>32065913</v>
      </c>
      <c r="K1905">
        <v>20404426</v>
      </c>
      <c r="L1905">
        <v>-53077542</v>
      </c>
      <c r="M1905">
        <v>2628104</v>
      </c>
      <c r="N1905">
        <v>-24861322</v>
      </c>
      <c r="O1905">
        <v>-46095458</v>
      </c>
      <c r="P1905">
        <v>107</v>
      </c>
      <c r="Q1905" t="s">
        <v>4129</v>
      </c>
    </row>
    <row r="1906" spans="1:17" x14ac:dyDescent="0.3">
      <c r="A1906" t="s">
        <v>33</v>
      </c>
      <c r="B1906" t="str">
        <f>"300142"</f>
        <v>300142</v>
      </c>
      <c r="C1906" t="s">
        <v>4130</v>
      </c>
      <c r="D1906" t="s">
        <v>1321</v>
      </c>
      <c r="E1906">
        <v>10045400</v>
      </c>
      <c r="F1906">
        <v>-140581237</v>
      </c>
      <c r="G1906">
        <v>-52878358</v>
      </c>
      <c r="H1906">
        <v>-3784223</v>
      </c>
      <c r="I1906">
        <v>-56332353</v>
      </c>
      <c r="J1906">
        <v>-52547674</v>
      </c>
      <c r="K1906">
        <v>-109640009</v>
      </c>
      <c r="L1906">
        <v>-46196244</v>
      </c>
      <c r="M1906">
        <v>-95715666</v>
      </c>
      <c r="N1906">
        <v>-68028155</v>
      </c>
      <c r="O1906">
        <v>-4917018</v>
      </c>
      <c r="P1906">
        <v>1230</v>
      </c>
      <c r="Q1906" t="s">
        <v>4131</v>
      </c>
    </row>
    <row r="1907" spans="1:17" x14ac:dyDescent="0.3">
      <c r="A1907" t="s">
        <v>33</v>
      </c>
      <c r="B1907" t="str">
        <f>"300654"</f>
        <v>300654</v>
      </c>
      <c r="C1907" t="s">
        <v>4132</v>
      </c>
      <c r="D1907" t="s">
        <v>1054</v>
      </c>
      <c r="E1907">
        <v>10029629</v>
      </c>
      <c r="F1907">
        <v>-34391376</v>
      </c>
      <c r="G1907">
        <v>9338887</v>
      </c>
      <c r="H1907">
        <v>-1952407</v>
      </c>
      <c r="I1907">
        <v>-34922208</v>
      </c>
      <c r="J1907">
        <v>-10217364</v>
      </c>
      <c r="P1907">
        <v>73</v>
      </c>
      <c r="Q1907" t="s">
        <v>4133</v>
      </c>
    </row>
    <row r="1908" spans="1:17" x14ac:dyDescent="0.3">
      <c r="A1908" t="s">
        <v>17</v>
      </c>
      <c r="B1908" t="str">
        <f>"603706"</f>
        <v>603706</v>
      </c>
      <c r="C1908" t="s">
        <v>4134</v>
      </c>
      <c r="D1908" t="s">
        <v>649</v>
      </c>
      <c r="E1908">
        <v>10024436</v>
      </c>
      <c r="F1908">
        <v>9247554</v>
      </c>
      <c r="G1908">
        <v>3292891</v>
      </c>
      <c r="H1908">
        <v>-2161532</v>
      </c>
      <c r="I1908">
        <v>-44232800</v>
      </c>
      <c r="J1908">
        <v>-55658000</v>
      </c>
      <c r="P1908">
        <v>91</v>
      </c>
      <c r="Q1908" t="s">
        <v>4135</v>
      </c>
    </row>
    <row r="1909" spans="1:17" x14ac:dyDescent="0.3">
      <c r="A1909" t="s">
        <v>33</v>
      </c>
      <c r="B1909" t="str">
        <f>"300921"</f>
        <v>300921</v>
      </c>
      <c r="C1909" t="s">
        <v>4136</v>
      </c>
      <c r="D1909" t="s">
        <v>1566</v>
      </c>
      <c r="E1909">
        <v>9979468</v>
      </c>
      <c r="F1909">
        <v>12658077</v>
      </c>
      <c r="G1909">
        <v>9758253</v>
      </c>
      <c r="P1909">
        <v>39</v>
      </c>
      <c r="Q1909" t="s">
        <v>4137</v>
      </c>
    </row>
    <row r="1910" spans="1:17" x14ac:dyDescent="0.3">
      <c r="A1910" t="s">
        <v>33</v>
      </c>
      <c r="B1910" t="str">
        <f>"000023"</f>
        <v>000023</v>
      </c>
      <c r="C1910" t="s">
        <v>4138</v>
      </c>
      <c r="D1910" t="s">
        <v>3447</v>
      </c>
      <c r="E1910">
        <v>9979286</v>
      </c>
      <c r="F1910">
        <v>-23179570</v>
      </c>
      <c r="G1910">
        <v>-182928882</v>
      </c>
      <c r="H1910">
        <v>-12467969</v>
      </c>
      <c r="I1910">
        <v>12383555</v>
      </c>
      <c r="J1910">
        <v>33877362</v>
      </c>
      <c r="K1910">
        <v>-20125226</v>
      </c>
      <c r="L1910">
        <v>-33108031</v>
      </c>
      <c r="M1910">
        <v>-29171422</v>
      </c>
      <c r="N1910">
        <v>39235553</v>
      </c>
      <c r="O1910">
        <v>-17943731</v>
      </c>
      <c r="P1910">
        <v>78</v>
      </c>
      <c r="Q1910" t="s">
        <v>4139</v>
      </c>
    </row>
    <row r="1911" spans="1:17" x14ac:dyDescent="0.3">
      <c r="A1911" t="s">
        <v>33</v>
      </c>
      <c r="B1911" t="str">
        <f>"300364"</f>
        <v>300364</v>
      </c>
      <c r="C1911" t="s">
        <v>4140</v>
      </c>
      <c r="D1911" t="s">
        <v>1501</v>
      </c>
      <c r="E1911">
        <v>9955047</v>
      </c>
      <c r="F1911">
        <v>-13642686</v>
      </c>
      <c r="G1911">
        <v>-12118896</v>
      </c>
      <c r="H1911">
        <v>-28983566</v>
      </c>
      <c r="I1911">
        <v>-137801878</v>
      </c>
      <c r="J1911">
        <v>-57699887</v>
      </c>
      <c r="K1911">
        <v>17946098</v>
      </c>
      <c r="L1911">
        <v>-19380333</v>
      </c>
      <c r="M1911">
        <v>-19077923</v>
      </c>
      <c r="P1911">
        <v>153</v>
      </c>
      <c r="Q1911" t="s">
        <v>4141</v>
      </c>
    </row>
    <row r="1912" spans="1:17" x14ac:dyDescent="0.3">
      <c r="A1912" t="s">
        <v>33</v>
      </c>
      <c r="B1912" t="str">
        <f>"300195"</f>
        <v>300195</v>
      </c>
      <c r="C1912" t="s">
        <v>4142</v>
      </c>
      <c r="D1912" t="s">
        <v>2269</v>
      </c>
      <c r="E1912">
        <v>9933054</v>
      </c>
      <c r="F1912">
        <v>-7914256</v>
      </c>
      <c r="G1912">
        <v>26577133</v>
      </c>
      <c r="H1912">
        <v>3216377</v>
      </c>
      <c r="I1912">
        <v>-685894082</v>
      </c>
      <c r="J1912">
        <v>-2520891</v>
      </c>
      <c r="K1912">
        <v>70489835</v>
      </c>
      <c r="L1912">
        <v>20467582</v>
      </c>
      <c r="M1912">
        <v>-47895961</v>
      </c>
      <c r="N1912">
        <v>31039782</v>
      </c>
      <c r="O1912">
        <v>-35968586</v>
      </c>
      <c r="P1912">
        <v>90</v>
      </c>
      <c r="Q1912" t="s">
        <v>4143</v>
      </c>
    </row>
    <row r="1913" spans="1:17" x14ac:dyDescent="0.3">
      <c r="A1913" t="s">
        <v>33</v>
      </c>
      <c r="B1913" t="str">
        <f>"300395"</f>
        <v>300395</v>
      </c>
      <c r="C1913" t="s">
        <v>4144</v>
      </c>
      <c r="D1913" t="s">
        <v>2262</v>
      </c>
      <c r="E1913">
        <v>9820776</v>
      </c>
      <c r="F1913">
        <v>38807138</v>
      </c>
      <c r="G1913">
        <v>8294078</v>
      </c>
      <c r="H1913">
        <v>41648233</v>
      </c>
      <c r="I1913">
        <v>20515788</v>
      </c>
      <c r="J1913">
        <v>17626216</v>
      </c>
      <c r="K1913">
        <v>-30766012</v>
      </c>
      <c r="L1913">
        <v>18027526</v>
      </c>
      <c r="M1913">
        <v>4624833</v>
      </c>
      <c r="P1913">
        <v>553</v>
      </c>
      <c r="Q1913" t="s">
        <v>4145</v>
      </c>
    </row>
    <row r="1914" spans="1:17" x14ac:dyDescent="0.3">
      <c r="A1914" t="s">
        <v>17</v>
      </c>
      <c r="B1914" t="str">
        <f>"688395"</f>
        <v>688395</v>
      </c>
      <c r="C1914" t="s">
        <v>4146</v>
      </c>
      <c r="D1914" t="s">
        <v>2148</v>
      </c>
      <c r="E1914">
        <v>9819552</v>
      </c>
      <c r="F1914">
        <v>-10888463</v>
      </c>
      <c r="G1914">
        <v>-3874127</v>
      </c>
      <c r="P1914">
        <v>36</v>
      </c>
      <c r="Q1914" t="s">
        <v>4147</v>
      </c>
    </row>
    <row r="1915" spans="1:17" x14ac:dyDescent="0.3">
      <c r="A1915" t="s">
        <v>33</v>
      </c>
      <c r="B1915" t="str">
        <f>"300345"</f>
        <v>300345</v>
      </c>
      <c r="C1915" t="s">
        <v>4148</v>
      </c>
      <c r="D1915" t="s">
        <v>1219</v>
      </c>
      <c r="E1915">
        <v>9809058</v>
      </c>
      <c r="F1915">
        <v>-2429820</v>
      </c>
      <c r="G1915">
        <v>23448741</v>
      </c>
      <c r="H1915">
        <v>6912400</v>
      </c>
      <c r="I1915">
        <v>-3046777</v>
      </c>
      <c r="J1915">
        <v>1325494</v>
      </c>
      <c r="K1915">
        <v>-96951287</v>
      </c>
      <c r="L1915">
        <v>-1819120</v>
      </c>
      <c r="M1915">
        <v>10829396</v>
      </c>
      <c r="N1915">
        <v>-1706245</v>
      </c>
      <c r="O1915">
        <v>-39272862</v>
      </c>
      <c r="P1915">
        <v>53</v>
      </c>
      <c r="Q1915" t="s">
        <v>4149</v>
      </c>
    </row>
    <row r="1916" spans="1:17" x14ac:dyDescent="0.3">
      <c r="A1916" t="s">
        <v>17</v>
      </c>
      <c r="B1916" t="str">
        <f>"603689"</f>
        <v>603689</v>
      </c>
      <c r="C1916" t="s">
        <v>4150</v>
      </c>
      <c r="D1916" t="s">
        <v>649</v>
      </c>
      <c r="E1916">
        <v>9807809</v>
      </c>
      <c r="F1916">
        <v>88008892</v>
      </c>
      <c r="G1916">
        <v>227786524</v>
      </c>
      <c r="H1916">
        <v>193259294</v>
      </c>
      <c r="I1916">
        <v>93531924</v>
      </c>
      <c r="J1916">
        <v>48189861</v>
      </c>
      <c r="K1916">
        <v>124635866</v>
      </c>
      <c r="P1916">
        <v>117</v>
      </c>
      <c r="Q1916" t="s">
        <v>4151</v>
      </c>
    </row>
    <row r="1917" spans="1:17" x14ac:dyDescent="0.3">
      <c r="A1917" t="s">
        <v>33</v>
      </c>
      <c r="B1917" t="str">
        <f>"301059"</f>
        <v>301059</v>
      </c>
      <c r="C1917" t="s">
        <v>4152</v>
      </c>
      <c r="D1917" t="s">
        <v>418</v>
      </c>
      <c r="E1917">
        <v>9777258</v>
      </c>
      <c r="P1917">
        <v>21</v>
      </c>
      <c r="Q1917" t="s">
        <v>4153</v>
      </c>
    </row>
    <row r="1918" spans="1:17" x14ac:dyDescent="0.3">
      <c r="A1918" t="s">
        <v>33</v>
      </c>
      <c r="B1918" t="str">
        <f>"300279"</f>
        <v>300279</v>
      </c>
      <c r="C1918" t="s">
        <v>4154</v>
      </c>
      <c r="D1918" t="s">
        <v>226</v>
      </c>
      <c r="E1918">
        <v>9742819</v>
      </c>
      <c r="F1918">
        <v>2355016</v>
      </c>
      <c r="G1918">
        <v>-33602302</v>
      </c>
      <c r="H1918">
        <v>-25696128</v>
      </c>
      <c r="I1918">
        <v>43377778</v>
      </c>
      <c r="J1918">
        <v>15170050</v>
      </c>
      <c r="K1918">
        <v>-76571633</v>
      </c>
      <c r="L1918">
        <v>-11568591</v>
      </c>
      <c r="M1918">
        <v>-18888066</v>
      </c>
      <c r="N1918">
        <v>-6606546</v>
      </c>
      <c r="O1918">
        <v>-14335404</v>
      </c>
      <c r="P1918">
        <v>166</v>
      </c>
      <c r="Q1918" t="s">
        <v>4155</v>
      </c>
    </row>
    <row r="1919" spans="1:17" x14ac:dyDescent="0.3">
      <c r="A1919" t="s">
        <v>33</v>
      </c>
      <c r="B1919" t="str">
        <f>"002168"</f>
        <v>002168</v>
      </c>
      <c r="C1919" t="s">
        <v>4156</v>
      </c>
      <c r="D1919" t="s">
        <v>751</v>
      </c>
      <c r="E1919">
        <v>9719264</v>
      </c>
      <c r="F1919">
        <v>277625793</v>
      </c>
      <c r="G1919">
        <v>137766940</v>
      </c>
      <c r="H1919">
        <v>-132995439</v>
      </c>
      <c r="I1919">
        <v>10885272</v>
      </c>
      <c r="J1919">
        <v>4202507</v>
      </c>
      <c r="K1919">
        <v>12748790</v>
      </c>
      <c r="L1919">
        <v>11326009</v>
      </c>
      <c r="M1919">
        <v>-28178241</v>
      </c>
      <c r="N1919">
        <v>-12985631</v>
      </c>
      <c r="O1919">
        <v>-45564156</v>
      </c>
      <c r="P1919">
        <v>158</v>
      </c>
      <c r="Q1919" t="s">
        <v>4157</v>
      </c>
    </row>
    <row r="1920" spans="1:17" x14ac:dyDescent="0.3">
      <c r="A1920" t="s">
        <v>33</v>
      </c>
      <c r="B1920" t="str">
        <f>"300198"</f>
        <v>300198</v>
      </c>
      <c r="C1920" t="s">
        <v>4158</v>
      </c>
      <c r="D1920" t="s">
        <v>1169</v>
      </c>
      <c r="E1920">
        <v>9702406</v>
      </c>
      <c r="F1920">
        <v>-73990275</v>
      </c>
      <c r="G1920">
        <v>-105612609</v>
      </c>
      <c r="H1920">
        <v>24303206</v>
      </c>
      <c r="I1920">
        <v>-29396982</v>
      </c>
      <c r="J1920">
        <v>-76974102</v>
      </c>
      <c r="K1920">
        <v>21242206</v>
      </c>
      <c r="L1920">
        <v>-15879198</v>
      </c>
      <c r="M1920">
        <v>-20449202</v>
      </c>
      <c r="N1920">
        <v>-33510193</v>
      </c>
      <c r="O1920">
        <v>-4461439</v>
      </c>
      <c r="P1920">
        <v>82</v>
      </c>
      <c r="Q1920" t="s">
        <v>4159</v>
      </c>
    </row>
    <row r="1921" spans="1:17" x14ac:dyDescent="0.3">
      <c r="A1921" t="s">
        <v>17</v>
      </c>
      <c r="B1921" t="str">
        <f>"603109"</f>
        <v>603109</v>
      </c>
      <c r="C1921" t="s">
        <v>4160</v>
      </c>
      <c r="D1921" t="s">
        <v>1419</v>
      </c>
      <c r="E1921">
        <v>9636847</v>
      </c>
      <c r="F1921">
        <v>-147467855</v>
      </c>
      <c r="G1921">
        <v>-9030174</v>
      </c>
      <c r="H1921">
        <v>-60052351</v>
      </c>
      <c r="P1921">
        <v>80</v>
      </c>
      <c r="Q1921" t="s">
        <v>4161</v>
      </c>
    </row>
    <row r="1922" spans="1:17" x14ac:dyDescent="0.3">
      <c r="A1922" t="s">
        <v>17</v>
      </c>
      <c r="B1922" t="str">
        <f>"605259"</f>
        <v>605259</v>
      </c>
      <c r="C1922" t="s">
        <v>4162</v>
      </c>
      <c r="D1922" t="s">
        <v>1895</v>
      </c>
      <c r="E1922">
        <v>9607745</v>
      </c>
      <c r="F1922">
        <v>19537132</v>
      </c>
      <c r="G1922">
        <v>-24386316</v>
      </c>
      <c r="P1922">
        <v>17</v>
      </c>
      <c r="Q1922" t="s">
        <v>4163</v>
      </c>
    </row>
    <row r="1923" spans="1:17" x14ac:dyDescent="0.3">
      <c r="A1923" t="s">
        <v>33</v>
      </c>
      <c r="B1923" t="str">
        <f>"002160"</f>
        <v>002160</v>
      </c>
      <c r="C1923" t="s">
        <v>4164</v>
      </c>
      <c r="D1923" t="s">
        <v>140</v>
      </c>
      <c r="E1923">
        <v>9606614</v>
      </c>
      <c r="F1923">
        <v>13825209</v>
      </c>
      <c r="G1923">
        <v>1822825</v>
      </c>
      <c r="H1923">
        <v>4782853</v>
      </c>
      <c r="I1923">
        <v>-35076471</v>
      </c>
      <c r="J1923">
        <v>-170259458</v>
      </c>
      <c r="K1923">
        <v>-87489166</v>
      </c>
      <c r="L1923">
        <v>56322690</v>
      </c>
      <c r="M1923">
        <v>36274934</v>
      </c>
      <c r="N1923">
        <v>-155209730</v>
      </c>
      <c r="O1923">
        <v>-51842440</v>
      </c>
      <c r="P1923">
        <v>166</v>
      </c>
      <c r="Q1923" t="s">
        <v>4165</v>
      </c>
    </row>
    <row r="1924" spans="1:17" x14ac:dyDescent="0.3">
      <c r="A1924" t="s">
        <v>33</v>
      </c>
      <c r="B1924" t="str">
        <f>"300886"</f>
        <v>300886</v>
      </c>
      <c r="C1924" t="s">
        <v>4166</v>
      </c>
      <c r="D1924" t="s">
        <v>2110</v>
      </c>
      <c r="E1924">
        <v>9553956</v>
      </c>
      <c r="F1924">
        <v>13291876</v>
      </c>
      <c r="G1924">
        <v>80983</v>
      </c>
      <c r="P1924">
        <v>49</v>
      </c>
      <c r="Q1924" t="s">
        <v>4167</v>
      </c>
    </row>
    <row r="1925" spans="1:17" x14ac:dyDescent="0.3">
      <c r="A1925" t="s">
        <v>17</v>
      </c>
      <c r="B1925" t="str">
        <f>"688013"</f>
        <v>688013</v>
      </c>
      <c r="C1925" t="s">
        <v>4168</v>
      </c>
      <c r="D1925" t="s">
        <v>903</v>
      </c>
      <c r="E1925">
        <v>9550234</v>
      </c>
      <c r="F1925">
        <v>14809824</v>
      </c>
      <c r="P1925">
        <v>64</v>
      </c>
      <c r="Q1925" t="s">
        <v>4169</v>
      </c>
    </row>
    <row r="1926" spans="1:17" x14ac:dyDescent="0.3">
      <c r="A1926" t="s">
        <v>33</v>
      </c>
      <c r="B1926" t="str">
        <f>"300802"</f>
        <v>300802</v>
      </c>
      <c r="C1926" t="s">
        <v>4170</v>
      </c>
      <c r="D1926" t="s">
        <v>4171</v>
      </c>
      <c r="E1926">
        <v>9489500</v>
      </c>
      <c r="F1926">
        <v>-11575398</v>
      </c>
      <c r="G1926">
        <v>-12004324</v>
      </c>
      <c r="H1926">
        <v>22621459</v>
      </c>
      <c r="P1926">
        <v>182</v>
      </c>
      <c r="Q1926" t="s">
        <v>4172</v>
      </c>
    </row>
    <row r="1927" spans="1:17" x14ac:dyDescent="0.3">
      <c r="A1927" t="s">
        <v>17</v>
      </c>
      <c r="B1927" t="str">
        <f>"603616"</f>
        <v>603616</v>
      </c>
      <c r="C1927" t="s">
        <v>4173</v>
      </c>
      <c r="D1927" t="s">
        <v>3447</v>
      </c>
      <c r="E1927">
        <v>9472944</v>
      </c>
      <c r="F1927">
        <v>-52781142</v>
      </c>
      <c r="G1927">
        <v>29899454</v>
      </c>
      <c r="H1927">
        <v>-58667884</v>
      </c>
      <c r="I1927">
        <v>-90780578</v>
      </c>
      <c r="J1927">
        <v>-57149253</v>
      </c>
      <c r="K1927">
        <v>7541927</v>
      </c>
      <c r="L1927">
        <v>-44232784</v>
      </c>
      <c r="M1927">
        <v>-97209457</v>
      </c>
      <c r="P1927">
        <v>71</v>
      </c>
      <c r="Q1927" t="s">
        <v>4174</v>
      </c>
    </row>
    <row r="1928" spans="1:17" x14ac:dyDescent="0.3">
      <c r="A1928" t="s">
        <v>33</v>
      </c>
      <c r="B1928" t="str">
        <f>"301101"</f>
        <v>301101</v>
      </c>
      <c r="C1928" t="s">
        <v>4175</v>
      </c>
      <c r="D1928" t="s">
        <v>4176</v>
      </c>
      <c r="E1928">
        <v>9387448</v>
      </c>
      <c r="F1928">
        <v>471125</v>
      </c>
      <c r="P1928">
        <v>19</v>
      </c>
      <c r="Q1928" t="s">
        <v>4177</v>
      </c>
    </row>
    <row r="1929" spans="1:17" x14ac:dyDescent="0.3">
      <c r="A1929" t="s">
        <v>17</v>
      </c>
      <c r="B1929" t="str">
        <f>"603089"</f>
        <v>603089</v>
      </c>
      <c r="C1929" t="s">
        <v>4178</v>
      </c>
      <c r="D1929" t="s">
        <v>858</v>
      </c>
      <c r="E1929">
        <v>9350061</v>
      </c>
      <c r="F1929">
        <v>4110706</v>
      </c>
      <c r="G1929">
        <v>35101551</v>
      </c>
      <c r="H1929">
        <v>43057748</v>
      </c>
      <c r="I1929">
        <v>-59755642</v>
      </c>
      <c r="J1929">
        <v>-5636169</v>
      </c>
      <c r="K1929">
        <v>-4590060</v>
      </c>
      <c r="P1929">
        <v>111</v>
      </c>
      <c r="Q1929" t="s">
        <v>4179</v>
      </c>
    </row>
    <row r="1930" spans="1:17" x14ac:dyDescent="0.3">
      <c r="A1930" t="s">
        <v>17</v>
      </c>
      <c r="B1930" t="str">
        <f>"688355"</f>
        <v>688355</v>
      </c>
      <c r="C1930" t="s">
        <v>4180</v>
      </c>
      <c r="D1930" t="s">
        <v>164</v>
      </c>
      <c r="E1930">
        <v>9289805</v>
      </c>
      <c r="F1930">
        <v>-4355697</v>
      </c>
      <c r="G1930">
        <v>16157021</v>
      </c>
      <c r="P1930">
        <v>21</v>
      </c>
      <c r="Q1930" t="s">
        <v>4181</v>
      </c>
    </row>
    <row r="1931" spans="1:17" x14ac:dyDescent="0.3">
      <c r="A1931" t="s">
        <v>33</v>
      </c>
      <c r="B1931" t="str">
        <f>"002287"</f>
        <v>002287</v>
      </c>
      <c r="C1931" t="s">
        <v>4182</v>
      </c>
      <c r="D1931" t="s">
        <v>533</v>
      </c>
      <c r="E1931">
        <v>9279689</v>
      </c>
      <c r="F1931">
        <v>129100930</v>
      </c>
      <c r="G1931">
        <v>318812975</v>
      </c>
      <c r="H1931">
        <v>-76654708</v>
      </c>
      <c r="I1931">
        <v>107313069</v>
      </c>
      <c r="J1931">
        <v>40350253</v>
      </c>
      <c r="K1931">
        <v>48717377</v>
      </c>
      <c r="L1931">
        <v>83670053</v>
      </c>
      <c r="M1931">
        <v>117576882</v>
      </c>
      <c r="N1931">
        <v>59780250</v>
      </c>
      <c r="O1931">
        <v>17189715</v>
      </c>
      <c r="P1931">
        <v>13304</v>
      </c>
      <c r="Q1931" t="s">
        <v>4183</v>
      </c>
    </row>
    <row r="1932" spans="1:17" x14ac:dyDescent="0.3">
      <c r="A1932" t="s">
        <v>33</v>
      </c>
      <c r="B1932" t="str">
        <f>"300583"</f>
        <v>300583</v>
      </c>
      <c r="C1932" t="s">
        <v>4184</v>
      </c>
      <c r="D1932" t="s">
        <v>941</v>
      </c>
      <c r="E1932">
        <v>9191765</v>
      </c>
      <c r="F1932">
        <v>-57991156</v>
      </c>
      <c r="G1932">
        <v>7804017</v>
      </c>
      <c r="H1932">
        <v>-72372553</v>
      </c>
      <c r="I1932">
        <v>-85949038</v>
      </c>
      <c r="J1932">
        <v>-29180463</v>
      </c>
      <c r="K1932">
        <v>-28813307</v>
      </c>
      <c r="P1932">
        <v>76</v>
      </c>
      <c r="Q1932" t="s">
        <v>4185</v>
      </c>
    </row>
    <row r="1933" spans="1:17" x14ac:dyDescent="0.3">
      <c r="A1933" t="s">
        <v>17</v>
      </c>
      <c r="B1933" t="str">
        <f>"603116"</f>
        <v>603116</v>
      </c>
      <c r="C1933" t="s">
        <v>4186</v>
      </c>
      <c r="D1933" t="s">
        <v>1680</v>
      </c>
      <c r="E1933">
        <v>9139787</v>
      </c>
      <c r="F1933">
        <v>-129640758</v>
      </c>
      <c r="G1933">
        <v>-83169132</v>
      </c>
      <c r="H1933">
        <v>-1881397</v>
      </c>
      <c r="I1933">
        <v>-7216975</v>
      </c>
      <c r="J1933">
        <v>-156899826</v>
      </c>
      <c r="K1933">
        <v>-93736416</v>
      </c>
      <c r="L1933">
        <v>-29163596</v>
      </c>
      <c r="M1933">
        <v>116649435</v>
      </c>
      <c r="P1933">
        <v>102</v>
      </c>
      <c r="Q1933" t="s">
        <v>4187</v>
      </c>
    </row>
    <row r="1934" spans="1:17" x14ac:dyDescent="0.3">
      <c r="A1934" t="s">
        <v>33</v>
      </c>
      <c r="B1934" t="str">
        <f>"002514"</f>
        <v>002514</v>
      </c>
      <c r="C1934" t="s">
        <v>4188</v>
      </c>
      <c r="D1934" t="s">
        <v>164</v>
      </c>
      <c r="E1934">
        <v>9133224</v>
      </c>
      <c r="F1934">
        <v>30539873</v>
      </c>
      <c r="G1934">
        <v>6408084</v>
      </c>
      <c r="H1934">
        <v>30088093</v>
      </c>
      <c r="I1934">
        <v>-28651088</v>
      </c>
      <c r="J1934">
        <v>-18945306</v>
      </c>
      <c r="K1934">
        <v>-39191409</v>
      </c>
      <c r="L1934">
        <v>-2093700</v>
      </c>
      <c r="M1934">
        <v>-7894192</v>
      </c>
      <c r="N1934">
        <v>9629930</v>
      </c>
      <c r="O1934">
        <v>14888328</v>
      </c>
      <c r="P1934">
        <v>61</v>
      </c>
      <c r="Q1934" t="s">
        <v>4189</v>
      </c>
    </row>
    <row r="1935" spans="1:17" x14ac:dyDescent="0.3">
      <c r="A1935" t="s">
        <v>17</v>
      </c>
      <c r="B1935" t="str">
        <f>"688017"</f>
        <v>688017</v>
      </c>
      <c r="C1935" t="s">
        <v>4190</v>
      </c>
      <c r="D1935" t="s">
        <v>1142</v>
      </c>
      <c r="E1935">
        <v>9121720</v>
      </c>
      <c r="F1935">
        <v>22926575</v>
      </c>
      <c r="G1935">
        <v>11454976</v>
      </c>
      <c r="P1935">
        <v>152</v>
      </c>
      <c r="Q1935" t="s">
        <v>4191</v>
      </c>
    </row>
    <row r="1936" spans="1:17" x14ac:dyDescent="0.3">
      <c r="A1936" t="s">
        <v>17</v>
      </c>
      <c r="B1936" t="str">
        <f>"603580"</f>
        <v>603580</v>
      </c>
      <c r="C1936" t="s">
        <v>4192</v>
      </c>
      <c r="D1936" t="s">
        <v>1483</v>
      </c>
      <c r="E1936">
        <v>9113264</v>
      </c>
      <c r="F1936">
        <v>9427752</v>
      </c>
      <c r="G1936">
        <v>12057333</v>
      </c>
      <c r="H1936">
        <v>3264059</v>
      </c>
      <c r="I1936">
        <v>3744260</v>
      </c>
      <c r="J1936">
        <v>5053100</v>
      </c>
      <c r="K1936">
        <v>672100</v>
      </c>
      <c r="P1936">
        <v>57</v>
      </c>
      <c r="Q1936" t="s">
        <v>4193</v>
      </c>
    </row>
    <row r="1937" spans="1:17" x14ac:dyDescent="0.3">
      <c r="A1937" t="s">
        <v>17</v>
      </c>
      <c r="B1937" t="str">
        <f>"603351"</f>
        <v>603351</v>
      </c>
      <c r="C1937" t="s">
        <v>4194</v>
      </c>
      <c r="D1937" t="s">
        <v>941</v>
      </c>
      <c r="E1937">
        <v>9037459</v>
      </c>
      <c r="F1937">
        <v>-26216474</v>
      </c>
      <c r="G1937">
        <v>20698658</v>
      </c>
      <c r="H1937">
        <v>34173470</v>
      </c>
      <c r="I1937">
        <v>-4705693</v>
      </c>
      <c r="P1937">
        <v>87</v>
      </c>
      <c r="Q1937" t="s">
        <v>4195</v>
      </c>
    </row>
    <row r="1938" spans="1:17" x14ac:dyDescent="0.3">
      <c r="A1938" t="s">
        <v>33</v>
      </c>
      <c r="B1938" t="str">
        <f>"002872"</f>
        <v>002872</v>
      </c>
      <c r="C1938" t="s">
        <v>4196</v>
      </c>
      <c r="D1938" t="s">
        <v>415</v>
      </c>
      <c r="E1938">
        <v>8970095</v>
      </c>
      <c r="F1938">
        <v>-29219216</v>
      </c>
      <c r="G1938">
        <v>15211693</v>
      </c>
      <c r="H1938">
        <v>51010100</v>
      </c>
      <c r="I1938">
        <v>-25566538</v>
      </c>
      <c r="J1938">
        <v>8949700</v>
      </c>
      <c r="K1938">
        <v>25963700</v>
      </c>
      <c r="P1938">
        <v>69</v>
      </c>
      <c r="Q1938" t="s">
        <v>4197</v>
      </c>
    </row>
    <row r="1939" spans="1:17" x14ac:dyDescent="0.3">
      <c r="A1939" t="s">
        <v>17</v>
      </c>
      <c r="B1939" t="str">
        <f>"688613"</f>
        <v>688613</v>
      </c>
      <c r="C1939" t="s">
        <v>4198</v>
      </c>
      <c r="D1939" t="s">
        <v>903</v>
      </c>
      <c r="E1939">
        <v>8833565</v>
      </c>
      <c r="F1939">
        <v>26875229</v>
      </c>
      <c r="G1939">
        <v>-6275230</v>
      </c>
      <c r="P1939">
        <v>51</v>
      </c>
      <c r="Q1939" t="s">
        <v>4199</v>
      </c>
    </row>
    <row r="1940" spans="1:17" x14ac:dyDescent="0.3">
      <c r="A1940" t="s">
        <v>33</v>
      </c>
      <c r="B1940" t="str">
        <f>"001266"</f>
        <v>001266</v>
      </c>
      <c r="C1940" t="s">
        <v>4200</v>
      </c>
      <c r="E1940">
        <v>8764802</v>
      </c>
      <c r="F1940">
        <v>-99871423</v>
      </c>
      <c r="P1940">
        <v>8</v>
      </c>
      <c r="Q1940" t="s">
        <v>4201</v>
      </c>
    </row>
    <row r="1941" spans="1:17" x14ac:dyDescent="0.3">
      <c r="A1941" t="s">
        <v>33</v>
      </c>
      <c r="B1941" t="str">
        <f>"300960"</f>
        <v>300960</v>
      </c>
      <c r="C1941" t="s">
        <v>4202</v>
      </c>
      <c r="D1941" t="s">
        <v>1703</v>
      </c>
      <c r="E1941">
        <v>8635391</v>
      </c>
      <c r="F1941">
        <v>-17732024</v>
      </c>
      <c r="G1941">
        <v>7726003</v>
      </c>
      <c r="P1941">
        <v>26</v>
      </c>
      <c r="Q1941" t="s">
        <v>4203</v>
      </c>
    </row>
    <row r="1942" spans="1:17" x14ac:dyDescent="0.3">
      <c r="A1942" t="s">
        <v>17</v>
      </c>
      <c r="B1942" t="str">
        <f>"688025"</f>
        <v>688025</v>
      </c>
      <c r="C1942" t="s">
        <v>4204</v>
      </c>
      <c r="D1942" t="s">
        <v>3169</v>
      </c>
      <c r="E1942">
        <v>8487713</v>
      </c>
      <c r="F1942">
        <v>-97777179</v>
      </c>
      <c r="G1942">
        <v>-71592552</v>
      </c>
      <c r="H1942">
        <v>-14310767</v>
      </c>
      <c r="P1942">
        <v>158</v>
      </c>
      <c r="Q1942" t="s">
        <v>4205</v>
      </c>
    </row>
    <row r="1943" spans="1:17" x14ac:dyDescent="0.3">
      <c r="A1943" t="s">
        <v>33</v>
      </c>
      <c r="B1943" t="str">
        <f>"000716"</f>
        <v>000716</v>
      </c>
      <c r="C1943" t="s">
        <v>4206</v>
      </c>
      <c r="D1943" t="s">
        <v>1356</v>
      </c>
      <c r="E1943">
        <v>8444967</v>
      </c>
      <c r="F1943">
        <v>104493057</v>
      </c>
      <c r="G1943">
        <v>81827396</v>
      </c>
      <c r="H1943">
        <v>89089737</v>
      </c>
      <c r="I1943">
        <v>32272427</v>
      </c>
      <c r="J1943">
        <v>28243368</v>
      </c>
      <c r="K1943">
        <v>-153000230</v>
      </c>
      <c r="L1943">
        <v>-102825562</v>
      </c>
      <c r="M1943">
        <v>-101684692</v>
      </c>
      <c r="N1943">
        <v>-31673002</v>
      </c>
      <c r="O1943">
        <v>-27380295</v>
      </c>
      <c r="P1943">
        <v>163</v>
      </c>
      <c r="Q1943" t="s">
        <v>4207</v>
      </c>
    </row>
    <row r="1944" spans="1:17" x14ac:dyDescent="0.3">
      <c r="A1944" t="s">
        <v>33</v>
      </c>
      <c r="B1944" t="str">
        <f>"301007"</f>
        <v>301007</v>
      </c>
      <c r="C1944" t="s">
        <v>4208</v>
      </c>
      <c r="D1944" t="s">
        <v>858</v>
      </c>
      <c r="E1944">
        <v>8355572</v>
      </c>
      <c r="F1944">
        <v>-623039</v>
      </c>
      <c r="G1944">
        <v>-6788494</v>
      </c>
      <c r="P1944">
        <v>44</v>
      </c>
      <c r="Q1944" t="s">
        <v>4209</v>
      </c>
    </row>
    <row r="1945" spans="1:17" x14ac:dyDescent="0.3">
      <c r="A1945" t="s">
        <v>17</v>
      </c>
      <c r="B1945" t="str">
        <f>"603112"</f>
        <v>603112</v>
      </c>
      <c r="C1945" t="s">
        <v>4210</v>
      </c>
      <c r="D1945" t="s">
        <v>1869</v>
      </c>
      <c r="E1945">
        <v>8335584</v>
      </c>
      <c r="F1945">
        <v>6228200</v>
      </c>
      <c r="G1945">
        <v>-11404643</v>
      </c>
      <c r="P1945">
        <v>48</v>
      </c>
      <c r="Q1945" t="s">
        <v>4211</v>
      </c>
    </row>
    <row r="1946" spans="1:17" x14ac:dyDescent="0.3">
      <c r="A1946" t="s">
        <v>33</v>
      </c>
      <c r="B1946" t="str">
        <f>"002335"</f>
        <v>002335</v>
      </c>
      <c r="C1946" t="s">
        <v>4212</v>
      </c>
      <c r="D1946" t="s">
        <v>2956</v>
      </c>
      <c r="E1946">
        <v>8328715</v>
      </c>
      <c r="F1946">
        <v>-75633004</v>
      </c>
      <c r="G1946">
        <v>-77378716</v>
      </c>
      <c r="H1946">
        <v>-29512426</v>
      </c>
      <c r="I1946">
        <v>-134480816</v>
      </c>
      <c r="J1946">
        <v>-138399058</v>
      </c>
      <c r="K1946">
        <v>-158757167</v>
      </c>
      <c r="L1946">
        <v>-115848832</v>
      </c>
      <c r="M1946">
        <v>-113907153</v>
      </c>
      <c r="N1946">
        <v>-75458860</v>
      </c>
      <c r="O1946">
        <v>-70479343</v>
      </c>
      <c r="P1946">
        <v>431</v>
      </c>
      <c r="Q1946" t="s">
        <v>4213</v>
      </c>
    </row>
    <row r="1947" spans="1:17" x14ac:dyDescent="0.3">
      <c r="A1947" t="s">
        <v>17</v>
      </c>
      <c r="B1947" t="str">
        <f>"603757"</f>
        <v>603757</v>
      </c>
      <c r="C1947" t="s">
        <v>4214</v>
      </c>
      <c r="D1947" t="s">
        <v>1033</v>
      </c>
      <c r="E1947">
        <v>8271477</v>
      </c>
      <c r="F1947">
        <v>14266552</v>
      </c>
      <c r="G1947">
        <v>40856406</v>
      </c>
      <c r="H1947">
        <v>72023693</v>
      </c>
      <c r="I1947">
        <v>-46602531</v>
      </c>
      <c r="J1947">
        <v>1492111</v>
      </c>
      <c r="K1947">
        <v>26002945</v>
      </c>
      <c r="P1947">
        <v>523</v>
      </c>
      <c r="Q1947" t="s">
        <v>4215</v>
      </c>
    </row>
    <row r="1948" spans="1:17" x14ac:dyDescent="0.3">
      <c r="A1948" t="s">
        <v>33</v>
      </c>
      <c r="B1948" t="str">
        <f>"002201"</f>
        <v>002201</v>
      </c>
      <c r="C1948" t="s">
        <v>4216</v>
      </c>
      <c r="D1948" t="s">
        <v>410</v>
      </c>
      <c r="E1948">
        <v>8198779</v>
      </c>
      <c r="F1948">
        <v>4800230</v>
      </c>
      <c r="G1948">
        <v>53117900</v>
      </c>
      <c r="H1948">
        <v>17180743</v>
      </c>
      <c r="I1948">
        <v>27087321</v>
      </c>
      <c r="J1948">
        <v>46873182</v>
      </c>
      <c r="K1948">
        <v>-47913</v>
      </c>
      <c r="L1948">
        <v>37289514</v>
      </c>
      <c r="M1948">
        <v>8494878</v>
      </c>
      <c r="N1948">
        <v>9709584</v>
      </c>
      <c r="O1948">
        <v>-8118954</v>
      </c>
      <c r="P1948">
        <v>132</v>
      </c>
      <c r="Q1948" t="s">
        <v>4217</v>
      </c>
    </row>
    <row r="1949" spans="1:17" x14ac:dyDescent="0.3">
      <c r="A1949" t="s">
        <v>33</v>
      </c>
      <c r="B1949" t="str">
        <f>"300277"</f>
        <v>300277</v>
      </c>
      <c r="C1949" t="s">
        <v>4218</v>
      </c>
      <c r="D1949" t="s">
        <v>508</v>
      </c>
      <c r="E1949">
        <v>8185656</v>
      </c>
      <c r="F1949">
        <v>20047748</v>
      </c>
      <c r="G1949">
        <v>50033</v>
      </c>
      <c r="H1949">
        <v>24420753</v>
      </c>
      <c r="I1949">
        <v>-17218375</v>
      </c>
      <c r="J1949">
        <v>-4763115</v>
      </c>
      <c r="K1949">
        <v>-10046123</v>
      </c>
      <c r="L1949">
        <v>-53892513</v>
      </c>
      <c r="M1949">
        <v>1742285</v>
      </c>
      <c r="N1949">
        <v>-51228757</v>
      </c>
      <c r="O1949">
        <v>-57355952</v>
      </c>
      <c r="P1949">
        <v>73</v>
      </c>
      <c r="Q1949" t="s">
        <v>4219</v>
      </c>
    </row>
    <row r="1950" spans="1:17" x14ac:dyDescent="0.3">
      <c r="A1950" t="s">
        <v>33</v>
      </c>
      <c r="B1950" t="str">
        <f>"300425"</f>
        <v>300425</v>
      </c>
      <c r="C1950" t="s">
        <v>4220</v>
      </c>
      <c r="D1950" t="s">
        <v>932</v>
      </c>
      <c r="E1950">
        <v>8156631</v>
      </c>
      <c r="F1950">
        <v>-28909985</v>
      </c>
      <c r="G1950">
        <v>-79550387</v>
      </c>
      <c r="H1950">
        <v>-78927101</v>
      </c>
      <c r="I1950">
        <v>-89672877</v>
      </c>
      <c r="J1950">
        <v>-55891894</v>
      </c>
      <c r="K1950">
        <v>-29721941</v>
      </c>
      <c r="L1950">
        <v>-25160075</v>
      </c>
      <c r="M1950">
        <v>-5817493</v>
      </c>
      <c r="P1950">
        <v>121</v>
      </c>
      <c r="Q1950" t="s">
        <v>4221</v>
      </c>
    </row>
    <row r="1951" spans="1:17" x14ac:dyDescent="0.3">
      <c r="A1951" t="s">
        <v>33</v>
      </c>
      <c r="B1951" t="str">
        <f>"300029"</f>
        <v>300029</v>
      </c>
      <c r="C1951" t="s">
        <v>4222</v>
      </c>
      <c r="D1951" t="s">
        <v>715</v>
      </c>
      <c r="E1951">
        <v>8148392</v>
      </c>
      <c r="F1951">
        <v>34048268</v>
      </c>
      <c r="G1951">
        <v>-1448088</v>
      </c>
      <c r="H1951">
        <v>-5071645</v>
      </c>
      <c r="I1951">
        <v>-18968300</v>
      </c>
      <c r="J1951">
        <v>-31789258</v>
      </c>
      <c r="K1951">
        <v>-10347902</v>
      </c>
      <c r="L1951">
        <v>-49039804</v>
      </c>
      <c r="M1951">
        <v>10010258</v>
      </c>
      <c r="N1951">
        <v>-49189444</v>
      </c>
      <c r="O1951">
        <v>-39239361</v>
      </c>
      <c r="P1951">
        <v>66</v>
      </c>
      <c r="Q1951" t="s">
        <v>4223</v>
      </c>
    </row>
    <row r="1952" spans="1:17" x14ac:dyDescent="0.3">
      <c r="A1952" t="s">
        <v>17</v>
      </c>
      <c r="B1952" t="str">
        <f>"603726"</f>
        <v>603726</v>
      </c>
      <c r="C1952" t="s">
        <v>4224</v>
      </c>
      <c r="D1952" t="s">
        <v>1869</v>
      </c>
      <c r="E1952">
        <v>8127206</v>
      </c>
      <c r="F1952">
        <v>-40686322</v>
      </c>
      <c r="G1952">
        <v>10336312</v>
      </c>
      <c r="H1952">
        <v>-22357903</v>
      </c>
      <c r="I1952">
        <v>-51571244</v>
      </c>
      <c r="J1952">
        <v>-70030517</v>
      </c>
      <c r="K1952">
        <v>11395632</v>
      </c>
      <c r="L1952">
        <v>21166170</v>
      </c>
      <c r="P1952">
        <v>123</v>
      </c>
      <c r="Q1952" t="s">
        <v>4225</v>
      </c>
    </row>
    <row r="1953" spans="1:17" x14ac:dyDescent="0.3">
      <c r="A1953" t="s">
        <v>33</v>
      </c>
      <c r="B1953" t="str">
        <f>"003004"</f>
        <v>003004</v>
      </c>
      <c r="C1953" t="s">
        <v>4226</v>
      </c>
      <c r="D1953" t="s">
        <v>2597</v>
      </c>
      <c r="E1953">
        <v>8106822</v>
      </c>
      <c r="F1953">
        <v>-40559505</v>
      </c>
      <c r="G1953">
        <v>-31791343</v>
      </c>
      <c r="P1953">
        <v>37</v>
      </c>
      <c r="Q1953" t="s">
        <v>4227</v>
      </c>
    </row>
    <row r="1954" spans="1:17" x14ac:dyDescent="0.3">
      <c r="A1954" t="s">
        <v>33</v>
      </c>
      <c r="B1954" t="str">
        <f>"000962"</f>
        <v>000962</v>
      </c>
      <c r="C1954" t="s">
        <v>4228</v>
      </c>
      <c r="D1954" t="s">
        <v>720</v>
      </c>
      <c r="E1954">
        <v>8015077</v>
      </c>
      <c r="F1954">
        <v>42711587</v>
      </c>
      <c r="G1954">
        <v>20239298</v>
      </c>
      <c r="H1954">
        <v>79397349</v>
      </c>
      <c r="I1954">
        <v>11581062</v>
      </c>
      <c r="J1954">
        <v>75062279</v>
      </c>
      <c r="K1954">
        <v>33551276</v>
      </c>
      <c r="L1954">
        <v>82101007</v>
      </c>
      <c r="M1954">
        <v>43317463</v>
      </c>
      <c r="N1954">
        <v>-39514484</v>
      </c>
      <c r="O1954">
        <v>-116332398</v>
      </c>
      <c r="P1954">
        <v>131</v>
      </c>
      <c r="Q1954" t="s">
        <v>4229</v>
      </c>
    </row>
    <row r="1955" spans="1:17" x14ac:dyDescent="0.3">
      <c r="A1955" t="s">
        <v>17</v>
      </c>
      <c r="B1955" t="str">
        <f>"688655"</f>
        <v>688655</v>
      </c>
      <c r="C1955" t="s">
        <v>4230</v>
      </c>
      <c r="D1955" t="s">
        <v>239</v>
      </c>
      <c r="E1955">
        <v>7951537</v>
      </c>
      <c r="F1955">
        <v>-2678508</v>
      </c>
      <c r="G1955">
        <v>18372594</v>
      </c>
      <c r="P1955">
        <v>21</v>
      </c>
      <c r="Q1955" t="s">
        <v>4231</v>
      </c>
    </row>
    <row r="1956" spans="1:17" x14ac:dyDescent="0.3">
      <c r="A1956" t="s">
        <v>33</v>
      </c>
      <c r="B1956" t="str">
        <f>"300464"</f>
        <v>300464</v>
      </c>
      <c r="C1956" t="s">
        <v>4232</v>
      </c>
      <c r="D1956" t="s">
        <v>2878</v>
      </c>
      <c r="E1956">
        <v>7946665</v>
      </c>
      <c r="F1956">
        <v>200251218</v>
      </c>
      <c r="G1956">
        <v>-79715255</v>
      </c>
      <c r="H1956">
        <v>-36934713</v>
      </c>
      <c r="I1956">
        <v>-18795678</v>
      </c>
      <c r="J1956">
        <v>-31254688</v>
      </c>
      <c r="K1956">
        <v>-1183382</v>
      </c>
      <c r="L1956">
        <v>-16081337</v>
      </c>
      <c r="M1956">
        <v>-2340784</v>
      </c>
      <c r="P1956">
        <v>121</v>
      </c>
      <c r="Q1956" t="s">
        <v>4233</v>
      </c>
    </row>
    <row r="1957" spans="1:17" x14ac:dyDescent="0.3">
      <c r="A1957" t="s">
        <v>17</v>
      </c>
      <c r="B1957" t="str">
        <f>"688138"</f>
        <v>688138</v>
      </c>
      <c r="C1957" t="s">
        <v>4234</v>
      </c>
      <c r="D1957" t="s">
        <v>1177</v>
      </c>
      <c r="E1957">
        <v>7937778</v>
      </c>
      <c r="F1957">
        <v>20913505</v>
      </c>
      <c r="G1957">
        <v>33618493</v>
      </c>
      <c r="H1957">
        <v>26298226</v>
      </c>
      <c r="P1957">
        <v>92</v>
      </c>
      <c r="Q1957" t="s">
        <v>4235</v>
      </c>
    </row>
    <row r="1958" spans="1:17" x14ac:dyDescent="0.3">
      <c r="A1958" t="s">
        <v>17</v>
      </c>
      <c r="B1958" t="str">
        <f>"601616"</f>
        <v>601616</v>
      </c>
      <c r="C1958" t="s">
        <v>4236</v>
      </c>
      <c r="D1958" t="s">
        <v>675</v>
      </c>
      <c r="E1958">
        <v>7878166</v>
      </c>
      <c r="F1958">
        <v>2601323</v>
      </c>
      <c r="G1958">
        <v>-45045882</v>
      </c>
      <c r="H1958">
        <v>21252583</v>
      </c>
      <c r="I1958">
        <v>17478485</v>
      </c>
      <c r="J1958">
        <v>-11597539</v>
      </c>
      <c r="K1958">
        <v>6740205</v>
      </c>
      <c r="L1958">
        <v>1855339</v>
      </c>
      <c r="M1958">
        <v>-42533420</v>
      </c>
      <c r="N1958">
        <v>2020953</v>
      </c>
      <c r="O1958">
        <v>-21354290</v>
      </c>
      <c r="P1958">
        <v>72</v>
      </c>
      <c r="Q1958" t="s">
        <v>4237</v>
      </c>
    </row>
    <row r="1959" spans="1:17" x14ac:dyDescent="0.3">
      <c r="A1959" t="s">
        <v>33</v>
      </c>
      <c r="B1959" t="str">
        <f>"300828"</f>
        <v>300828</v>
      </c>
      <c r="C1959" t="s">
        <v>4238</v>
      </c>
      <c r="D1959" t="s">
        <v>164</v>
      </c>
      <c r="E1959">
        <v>7815941</v>
      </c>
      <c r="F1959">
        <v>14147155</v>
      </c>
      <c r="G1959">
        <v>21447510</v>
      </c>
      <c r="H1959">
        <v>13238662</v>
      </c>
      <c r="P1959">
        <v>91</v>
      </c>
      <c r="Q1959" t="s">
        <v>4239</v>
      </c>
    </row>
    <row r="1960" spans="1:17" x14ac:dyDescent="0.3">
      <c r="A1960" t="s">
        <v>33</v>
      </c>
      <c r="B1960" t="str">
        <f>"301006"</f>
        <v>301006</v>
      </c>
      <c r="C1960" t="s">
        <v>4240</v>
      </c>
      <c r="D1960" t="s">
        <v>2417</v>
      </c>
      <c r="E1960">
        <v>7729459</v>
      </c>
      <c r="F1960">
        <v>10238403</v>
      </c>
      <c r="G1960">
        <v>-10108828</v>
      </c>
      <c r="P1960">
        <v>50</v>
      </c>
      <c r="Q1960" t="s">
        <v>4241</v>
      </c>
    </row>
    <row r="1961" spans="1:17" x14ac:dyDescent="0.3">
      <c r="A1961" t="s">
        <v>33</v>
      </c>
      <c r="B1961" t="str">
        <f>"301109"</f>
        <v>301109</v>
      </c>
      <c r="C1961" t="s">
        <v>4242</v>
      </c>
      <c r="E1961">
        <v>7728566</v>
      </c>
      <c r="F1961">
        <v>110009864</v>
      </c>
      <c r="P1961">
        <v>3</v>
      </c>
      <c r="Q1961" t="s">
        <v>4243</v>
      </c>
    </row>
    <row r="1962" spans="1:17" x14ac:dyDescent="0.3">
      <c r="A1962" t="s">
        <v>33</v>
      </c>
      <c r="B1962" t="str">
        <f>"002461"</f>
        <v>002461</v>
      </c>
      <c r="C1962" t="s">
        <v>4244</v>
      </c>
      <c r="D1962" t="s">
        <v>481</v>
      </c>
      <c r="E1962">
        <v>7717123</v>
      </c>
      <c r="F1962">
        <v>-21790864</v>
      </c>
      <c r="G1962">
        <v>-101832421</v>
      </c>
      <c r="H1962">
        <v>-51201163</v>
      </c>
      <c r="I1962">
        <v>-95332181</v>
      </c>
      <c r="J1962">
        <v>-139982455</v>
      </c>
      <c r="K1962">
        <v>-222003730</v>
      </c>
      <c r="L1962">
        <v>246663</v>
      </c>
      <c r="M1962">
        <v>-59631182</v>
      </c>
      <c r="N1962">
        <v>44444626</v>
      </c>
      <c r="O1962">
        <v>-21384695</v>
      </c>
      <c r="P1962">
        <v>461</v>
      </c>
      <c r="Q1962" t="s">
        <v>4245</v>
      </c>
    </row>
    <row r="1963" spans="1:17" x14ac:dyDescent="0.3">
      <c r="A1963" t="s">
        <v>33</v>
      </c>
      <c r="B1963" t="str">
        <f>"300708"</f>
        <v>300708</v>
      </c>
      <c r="C1963" t="s">
        <v>4246</v>
      </c>
      <c r="D1963" t="s">
        <v>1299</v>
      </c>
      <c r="E1963">
        <v>7570309</v>
      </c>
      <c r="F1963">
        <v>253484456</v>
      </c>
      <c r="G1963">
        <v>38217164</v>
      </c>
      <c r="H1963">
        <v>137991321</v>
      </c>
      <c r="I1963">
        <v>11697403</v>
      </c>
      <c r="J1963">
        <v>38526847</v>
      </c>
      <c r="P1963">
        <v>164</v>
      </c>
      <c r="Q1963" t="s">
        <v>4247</v>
      </c>
    </row>
    <row r="1964" spans="1:17" x14ac:dyDescent="0.3">
      <c r="A1964" t="s">
        <v>33</v>
      </c>
      <c r="B1964" t="str">
        <f>"300051"</f>
        <v>300051</v>
      </c>
      <c r="C1964" t="s">
        <v>4248</v>
      </c>
      <c r="D1964" t="s">
        <v>751</v>
      </c>
      <c r="E1964">
        <v>7566033</v>
      </c>
      <c r="F1964">
        <v>6413659</v>
      </c>
      <c r="G1964">
        <v>-1565213</v>
      </c>
      <c r="H1964">
        <v>10164575</v>
      </c>
      <c r="I1964">
        <v>16925590</v>
      </c>
      <c r="J1964">
        <v>1121045</v>
      </c>
      <c r="K1964">
        <v>17594668</v>
      </c>
      <c r="L1964">
        <v>-13036910</v>
      </c>
      <c r="M1964">
        <v>5834336</v>
      </c>
      <c r="N1964">
        <v>-12317980</v>
      </c>
      <c r="O1964">
        <v>-15964127</v>
      </c>
      <c r="P1964">
        <v>104</v>
      </c>
      <c r="Q1964" t="s">
        <v>4249</v>
      </c>
    </row>
    <row r="1965" spans="1:17" x14ac:dyDescent="0.3">
      <c r="A1965" t="s">
        <v>33</v>
      </c>
      <c r="B1965" t="str">
        <f>"000719"</f>
        <v>000719</v>
      </c>
      <c r="C1965" t="s">
        <v>4250</v>
      </c>
      <c r="D1965" t="s">
        <v>1501</v>
      </c>
      <c r="E1965">
        <v>7511647</v>
      </c>
      <c r="F1965">
        <v>-177241429</v>
      </c>
      <c r="G1965">
        <v>-481997077</v>
      </c>
      <c r="H1965">
        <v>-311169843</v>
      </c>
      <c r="I1965">
        <v>-172844870</v>
      </c>
      <c r="J1965">
        <v>-130776669</v>
      </c>
      <c r="K1965">
        <v>-221435270</v>
      </c>
      <c r="L1965">
        <v>-262379393</v>
      </c>
      <c r="M1965">
        <v>22797185</v>
      </c>
      <c r="N1965">
        <v>-75172167</v>
      </c>
      <c r="O1965">
        <v>9594116</v>
      </c>
      <c r="P1965">
        <v>695</v>
      </c>
      <c r="Q1965" t="s">
        <v>4251</v>
      </c>
    </row>
    <row r="1966" spans="1:17" x14ac:dyDescent="0.3">
      <c r="A1966" t="s">
        <v>17</v>
      </c>
      <c r="B1966" t="str">
        <f>"605377"</f>
        <v>605377</v>
      </c>
      <c r="C1966" t="s">
        <v>4252</v>
      </c>
      <c r="D1966" t="s">
        <v>1119</v>
      </c>
      <c r="E1966">
        <v>7443650</v>
      </c>
      <c r="F1966">
        <v>35550499</v>
      </c>
      <c r="G1966">
        <v>-8686856</v>
      </c>
      <c r="P1966">
        <v>59</v>
      </c>
      <c r="Q1966" t="s">
        <v>4253</v>
      </c>
    </row>
    <row r="1967" spans="1:17" x14ac:dyDescent="0.3">
      <c r="A1967" t="s">
        <v>33</v>
      </c>
      <c r="B1967" t="str">
        <f>"300032"</f>
        <v>300032</v>
      </c>
      <c r="C1967" t="s">
        <v>4254</v>
      </c>
      <c r="D1967" t="s">
        <v>226</v>
      </c>
      <c r="E1967">
        <v>7416479</v>
      </c>
      <c r="F1967">
        <v>13820691</v>
      </c>
      <c r="G1967">
        <v>-439712</v>
      </c>
      <c r="H1967">
        <v>37290467</v>
      </c>
      <c r="I1967">
        <v>-8974828</v>
      </c>
      <c r="J1967">
        <v>-82749519</v>
      </c>
      <c r="K1967">
        <v>58742136</v>
      </c>
      <c r="L1967">
        <v>86104586</v>
      </c>
      <c r="M1967">
        <v>9074830</v>
      </c>
      <c r="N1967">
        <v>40382133</v>
      </c>
      <c r="O1967">
        <v>-3585924</v>
      </c>
      <c r="P1967">
        <v>152</v>
      </c>
      <c r="Q1967" t="s">
        <v>4255</v>
      </c>
    </row>
    <row r="1968" spans="1:17" x14ac:dyDescent="0.3">
      <c r="A1968" t="s">
        <v>33</v>
      </c>
      <c r="B1968" t="str">
        <f>"002141"</f>
        <v>002141</v>
      </c>
      <c r="C1968" t="s">
        <v>4256</v>
      </c>
      <c r="D1968" t="s">
        <v>499</v>
      </c>
      <c r="E1968">
        <v>7385550</v>
      </c>
      <c r="F1968">
        <v>15993342</v>
      </c>
      <c r="G1968">
        <v>-9035077</v>
      </c>
      <c r="H1968">
        <v>-11199699</v>
      </c>
      <c r="I1968">
        <v>31177528</v>
      </c>
      <c r="J1968">
        <v>-23103214</v>
      </c>
      <c r="K1968">
        <v>4135506</v>
      </c>
      <c r="L1968">
        <v>35123520</v>
      </c>
      <c r="M1968">
        <v>-15554771</v>
      </c>
      <c r="N1968">
        <v>-35414559</v>
      </c>
      <c r="O1968">
        <v>4626525</v>
      </c>
      <c r="P1968">
        <v>74</v>
      </c>
      <c r="Q1968" t="s">
        <v>4257</v>
      </c>
    </row>
    <row r="1969" spans="1:17" x14ac:dyDescent="0.3">
      <c r="A1969" t="s">
        <v>33</v>
      </c>
      <c r="B1969" t="str">
        <f>"300570"</f>
        <v>300570</v>
      </c>
      <c r="C1969" t="s">
        <v>4258</v>
      </c>
      <c r="D1969" t="s">
        <v>461</v>
      </c>
      <c r="E1969">
        <v>7317571</v>
      </c>
      <c r="F1969">
        <v>38112652</v>
      </c>
      <c r="G1969">
        <v>-18226041</v>
      </c>
      <c r="H1969">
        <v>104387027</v>
      </c>
      <c r="I1969">
        <v>19669105</v>
      </c>
      <c r="J1969">
        <v>12841251</v>
      </c>
      <c r="K1969">
        <v>17131494</v>
      </c>
      <c r="P1969">
        <v>229</v>
      </c>
      <c r="Q1969" t="s">
        <v>4259</v>
      </c>
    </row>
    <row r="1970" spans="1:17" x14ac:dyDescent="0.3">
      <c r="A1970" t="s">
        <v>33</v>
      </c>
      <c r="B1970" t="str">
        <f>"003008"</f>
        <v>003008</v>
      </c>
      <c r="C1970" t="s">
        <v>4260</v>
      </c>
      <c r="D1970" t="s">
        <v>2274</v>
      </c>
      <c r="E1970">
        <v>7294229</v>
      </c>
      <c r="F1970">
        <v>10948002</v>
      </c>
      <c r="G1970">
        <v>6548854</v>
      </c>
      <c r="H1970">
        <v>21637941</v>
      </c>
      <c r="P1970">
        <v>68</v>
      </c>
      <c r="Q1970" t="s">
        <v>4261</v>
      </c>
    </row>
    <row r="1971" spans="1:17" x14ac:dyDescent="0.3">
      <c r="A1971" t="s">
        <v>33</v>
      </c>
      <c r="B1971" t="str">
        <f>"300824"</f>
        <v>300824</v>
      </c>
      <c r="C1971" t="s">
        <v>4262</v>
      </c>
      <c r="D1971" t="s">
        <v>849</v>
      </c>
      <c r="E1971">
        <v>7228231</v>
      </c>
      <c r="F1971">
        <v>14947441</v>
      </c>
      <c r="G1971">
        <v>14850294</v>
      </c>
      <c r="H1971">
        <v>8994515</v>
      </c>
      <c r="P1971">
        <v>167</v>
      </c>
      <c r="Q1971" t="s">
        <v>4263</v>
      </c>
    </row>
    <row r="1972" spans="1:17" x14ac:dyDescent="0.3">
      <c r="A1972" t="s">
        <v>33</v>
      </c>
      <c r="B1972" t="str">
        <f>"000752"</f>
        <v>000752</v>
      </c>
      <c r="C1972" t="s">
        <v>4264</v>
      </c>
      <c r="D1972" t="s">
        <v>481</v>
      </c>
      <c r="E1972">
        <v>7217422</v>
      </c>
      <c r="F1972">
        <v>-12560091</v>
      </c>
      <c r="G1972">
        <v>-13956708</v>
      </c>
      <c r="H1972">
        <v>44670127</v>
      </c>
      <c r="I1972">
        <v>106599581</v>
      </c>
      <c r="J1972">
        <v>37529872</v>
      </c>
      <c r="K1972">
        <v>24947480</v>
      </c>
      <c r="L1972">
        <v>23581382</v>
      </c>
      <c r="M1972">
        <v>13961578</v>
      </c>
      <c r="N1972">
        <v>10415987</v>
      </c>
      <c r="O1972">
        <v>17602293</v>
      </c>
      <c r="P1972">
        <v>103</v>
      </c>
      <c r="Q1972" t="s">
        <v>4265</v>
      </c>
    </row>
    <row r="1973" spans="1:17" x14ac:dyDescent="0.3">
      <c r="A1973" t="s">
        <v>33</v>
      </c>
      <c r="B1973" t="str">
        <f>"300038"</f>
        <v>300038</v>
      </c>
      <c r="C1973" t="s">
        <v>4266</v>
      </c>
      <c r="D1973" t="s">
        <v>1125</v>
      </c>
      <c r="E1973">
        <v>7124881</v>
      </c>
      <c r="F1973">
        <v>-63051648</v>
      </c>
      <c r="G1973">
        <v>-132438682</v>
      </c>
      <c r="H1973">
        <v>41714141</v>
      </c>
      <c r="I1973">
        <v>148059479</v>
      </c>
      <c r="J1973">
        <v>-10276747</v>
      </c>
      <c r="K1973">
        <v>-81094215</v>
      </c>
      <c r="L1973">
        <v>101214981</v>
      </c>
      <c r="M1973">
        <v>-83498194</v>
      </c>
      <c r="N1973">
        <v>-36268715</v>
      </c>
      <c r="O1973">
        <v>-40003679</v>
      </c>
      <c r="P1973">
        <v>263</v>
      </c>
      <c r="Q1973" t="s">
        <v>4267</v>
      </c>
    </row>
    <row r="1974" spans="1:17" x14ac:dyDescent="0.3">
      <c r="A1974" t="s">
        <v>33</v>
      </c>
      <c r="B1974" t="str">
        <f>"000850"</f>
        <v>000850</v>
      </c>
      <c r="C1974" t="s">
        <v>4268</v>
      </c>
      <c r="D1974" t="s">
        <v>693</v>
      </c>
      <c r="E1974">
        <v>7118331</v>
      </c>
      <c r="F1974">
        <v>16398393</v>
      </c>
      <c r="G1974">
        <v>10973683</v>
      </c>
      <c r="H1974">
        <v>-43143024</v>
      </c>
      <c r="I1974">
        <v>-62675656</v>
      </c>
      <c r="J1974">
        <v>-41500462</v>
      </c>
      <c r="K1974">
        <v>78631195</v>
      </c>
      <c r="L1974">
        <v>-71197292</v>
      </c>
      <c r="M1974">
        <v>-2226655</v>
      </c>
      <c r="N1974">
        <v>159879634</v>
      </c>
      <c r="O1974">
        <v>216576265</v>
      </c>
      <c r="P1974">
        <v>121</v>
      </c>
      <c r="Q1974" t="s">
        <v>4269</v>
      </c>
    </row>
    <row r="1975" spans="1:17" x14ac:dyDescent="0.3">
      <c r="A1975" t="s">
        <v>17</v>
      </c>
      <c r="B1975" t="str">
        <f>"600113"</f>
        <v>600113</v>
      </c>
      <c r="C1975" t="s">
        <v>4270</v>
      </c>
      <c r="D1975" t="s">
        <v>394</v>
      </c>
      <c r="E1975">
        <v>7085689</v>
      </c>
      <c r="F1975">
        <v>126891739</v>
      </c>
      <c r="G1975">
        <v>21431321</v>
      </c>
      <c r="H1975">
        <v>45358713</v>
      </c>
      <c r="I1975">
        <v>-5436076</v>
      </c>
      <c r="J1975">
        <v>23222865</v>
      </c>
      <c r="K1975">
        <v>42136969</v>
      </c>
      <c r="L1975">
        <v>-2277269</v>
      </c>
      <c r="M1975">
        <v>8572599</v>
      </c>
      <c r="N1975">
        <v>6819868</v>
      </c>
      <c r="O1975">
        <v>-51867707</v>
      </c>
      <c r="P1975">
        <v>136</v>
      </c>
      <c r="Q1975" t="s">
        <v>4271</v>
      </c>
    </row>
    <row r="1976" spans="1:17" x14ac:dyDescent="0.3">
      <c r="A1976" t="s">
        <v>33</v>
      </c>
      <c r="B1976" t="str">
        <f>"002568"</f>
        <v>002568</v>
      </c>
      <c r="C1976" t="s">
        <v>4272</v>
      </c>
      <c r="D1976" t="s">
        <v>1172</v>
      </c>
      <c r="E1976">
        <v>7060236</v>
      </c>
      <c r="F1976">
        <v>294224124</v>
      </c>
      <c r="G1976">
        <v>98187492</v>
      </c>
      <c r="H1976">
        <v>9149778</v>
      </c>
      <c r="I1976">
        <v>-10149082</v>
      </c>
      <c r="J1976">
        <v>62325101</v>
      </c>
      <c r="K1976">
        <v>-158425971</v>
      </c>
      <c r="L1976">
        <v>16942537</v>
      </c>
      <c r="M1976">
        <v>17862100</v>
      </c>
      <c r="N1976">
        <v>4117189</v>
      </c>
      <c r="O1976">
        <v>11878769</v>
      </c>
      <c r="P1976">
        <v>1074</v>
      </c>
      <c r="Q1976" t="s">
        <v>4273</v>
      </c>
    </row>
    <row r="1977" spans="1:17" x14ac:dyDescent="0.3">
      <c r="A1977" t="s">
        <v>33</v>
      </c>
      <c r="B1977" t="str">
        <f>"000681"</f>
        <v>000681</v>
      </c>
      <c r="C1977" t="s">
        <v>4274</v>
      </c>
      <c r="D1977" t="s">
        <v>4275</v>
      </c>
      <c r="E1977">
        <v>7045837</v>
      </c>
      <c r="F1977">
        <v>940242</v>
      </c>
      <c r="G1977">
        <v>-24161017</v>
      </c>
      <c r="H1977">
        <v>32958807</v>
      </c>
      <c r="I1977">
        <v>-8874852</v>
      </c>
      <c r="J1977">
        <v>-10199081</v>
      </c>
      <c r="K1977">
        <v>1767585</v>
      </c>
      <c r="L1977">
        <v>25968454</v>
      </c>
      <c r="M1977">
        <v>-6597059</v>
      </c>
      <c r="N1977">
        <v>-6468094</v>
      </c>
      <c r="O1977">
        <v>8796789</v>
      </c>
      <c r="P1977">
        <v>449</v>
      </c>
      <c r="Q1977" t="s">
        <v>4276</v>
      </c>
    </row>
    <row r="1978" spans="1:17" x14ac:dyDescent="0.3">
      <c r="A1978" t="s">
        <v>17</v>
      </c>
      <c r="B1978" t="str">
        <f>"600212"</f>
        <v>600212</v>
      </c>
      <c r="C1978" t="s">
        <v>4277</v>
      </c>
      <c r="D1978" t="s">
        <v>523</v>
      </c>
      <c r="E1978">
        <v>7031827</v>
      </c>
      <c r="F1978">
        <v>-8988662</v>
      </c>
      <c r="G1978">
        <v>-6515825</v>
      </c>
      <c r="H1978">
        <v>-3731915</v>
      </c>
      <c r="I1978">
        <v>-40245783</v>
      </c>
      <c r="J1978">
        <v>861350</v>
      </c>
      <c r="K1978">
        <v>-553666</v>
      </c>
      <c r="L1978">
        <v>10855096</v>
      </c>
      <c r="M1978">
        <v>-38807013</v>
      </c>
      <c r="N1978">
        <v>53912551</v>
      </c>
      <c r="O1978">
        <v>36927953</v>
      </c>
      <c r="P1978">
        <v>56</v>
      </c>
      <c r="Q1978" t="s">
        <v>4278</v>
      </c>
    </row>
    <row r="1979" spans="1:17" x14ac:dyDescent="0.3">
      <c r="A1979" t="s">
        <v>33</v>
      </c>
      <c r="B1979" t="str">
        <f>"300157"</f>
        <v>300157</v>
      </c>
      <c r="C1979" t="s">
        <v>4279</v>
      </c>
      <c r="D1979" t="s">
        <v>1311</v>
      </c>
      <c r="E1979">
        <v>7010506</v>
      </c>
      <c r="F1979">
        <v>-16748375</v>
      </c>
      <c r="G1979">
        <v>43804118</v>
      </c>
      <c r="H1979">
        <v>-205219953</v>
      </c>
      <c r="I1979">
        <v>-115612414</v>
      </c>
      <c r="J1979">
        <v>-145784152</v>
      </c>
      <c r="K1979">
        <v>-98928906</v>
      </c>
      <c r="L1979">
        <v>-32570714</v>
      </c>
      <c r="M1979">
        <v>26223706</v>
      </c>
      <c r="N1979">
        <v>-38578335</v>
      </c>
      <c r="O1979">
        <v>-2778408</v>
      </c>
      <c r="P1979">
        <v>76</v>
      </c>
      <c r="Q1979" t="s">
        <v>4280</v>
      </c>
    </row>
    <row r="1980" spans="1:17" x14ac:dyDescent="0.3">
      <c r="A1980" t="s">
        <v>17</v>
      </c>
      <c r="B1980" t="str">
        <f>"688616"</f>
        <v>688616</v>
      </c>
      <c r="C1980" t="s">
        <v>4281</v>
      </c>
      <c r="D1980" t="s">
        <v>2128</v>
      </c>
      <c r="E1980">
        <v>7001809</v>
      </c>
      <c r="F1980">
        <v>6180202</v>
      </c>
      <c r="G1980">
        <v>-11045391</v>
      </c>
      <c r="P1980">
        <v>23</v>
      </c>
      <c r="Q1980" t="s">
        <v>4282</v>
      </c>
    </row>
    <row r="1981" spans="1:17" x14ac:dyDescent="0.3">
      <c r="A1981" t="s">
        <v>33</v>
      </c>
      <c r="B1981" t="str">
        <f>"300774"</f>
        <v>300774</v>
      </c>
      <c r="C1981" t="s">
        <v>4283</v>
      </c>
      <c r="D1981" t="s">
        <v>932</v>
      </c>
      <c r="E1981">
        <v>6965477</v>
      </c>
      <c r="F1981">
        <v>-126974640</v>
      </c>
      <c r="G1981">
        <v>-12498867</v>
      </c>
      <c r="P1981">
        <v>24</v>
      </c>
      <c r="Q1981" t="s">
        <v>4284</v>
      </c>
    </row>
    <row r="1982" spans="1:17" x14ac:dyDescent="0.3">
      <c r="A1982" t="s">
        <v>17</v>
      </c>
      <c r="B1982" t="str">
        <f>"603268"</f>
        <v>603268</v>
      </c>
      <c r="C1982" t="s">
        <v>4285</v>
      </c>
      <c r="D1982" t="s">
        <v>927</v>
      </c>
      <c r="E1982">
        <v>6826363</v>
      </c>
      <c r="F1982">
        <v>-19666555</v>
      </c>
      <c r="G1982">
        <v>14076262</v>
      </c>
      <c r="H1982">
        <v>12966672</v>
      </c>
      <c r="I1982">
        <v>5385351</v>
      </c>
      <c r="J1982">
        <v>1487704</v>
      </c>
      <c r="K1982">
        <v>18611372</v>
      </c>
      <c r="L1982">
        <v>-16535365</v>
      </c>
      <c r="M1982">
        <v>6450580</v>
      </c>
      <c r="P1982">
        <v>70</v>
      </c>
      <c r="Q1982" t="s">
        <v>4286</v>
      </c>
    </row>
    <row r="1983" spans="1:17" x14ac:dyDescent="0.3">
      <c r="A1983" t="s">
        <v>33</v>
      </c>
      <c r="B1983" t="str">
        <f>"000766"</f>
        <v>000766</v>
      </c>
      <c r="C1983" t="s">
        <v>4287</v>
      </c>
      <c r="D1983" t="s">
        <v>590</v>
      </c>
      <c r="E1983">
        <v>6770028</v>
      </c>
      <c r="F1983">
        <v>1481061</v>
      </c>
      <c r="G1983">
        <v>26046278</v>
      </c>
      <c r="H1983">
        <v>-63776463</v>
      </c>
      <c r="I1983">
        <v>49217259</v>
      </c>
      <c r="J1983">
        <v>-50749057</v>
      </c>
      <c r="K1983">
        <v>-19538617</v>
      </c>
      <c r="L1983">
        <v>-21904420</v>
      </c>
      <c r="M1983">
        <v>50131950</v>
      </c>
      <c r="N1983">
        <v>19410115</v>
      </c>
      <c r="O1983">
        <v>-14877296</v>
      </c>
      <c r="P1983">
        <v>146</v>
      </c>
      <c r="Q1983" t="s">
        <v>4288</v>
      </c>
    </row>
    <row r="1984" spans="1:17" x14ac:dyDescent="0.3">
      <c r="A1984" t="s">
        <v>17</v>
      </c>
      <c r="B1984" t="str">
        <f>"603036"</f>
        <v>603036</v>
      </c>
      <c r="C1984" t="s">
        <v>4289</v>
      </c>
      <c r="D1984" t="s">
        <v>1132</v>
      </c>
      <c r="E1984">
        <v>6695471</v>
      </c>
      <c r="F1984">
        <v>8384081</v>
      </c>
      <c r="G1984">
        <v>-6418407</v>
      </c>
      <c r="H1984">
        <v>-22659142</v>
      </c>
      <c r="I1984">
        <v>-14432218</v>
      </c>
      <c r="J1984">
        <v>959394</v>
      </c>
      <c r="K1984">
        <v>-8226665</v>
      </c>
      <c r="P1984">
        <v>61</v>
      </c>
      <c r="Q1984" t="s">
        <v>4290</v>
      </c>
    </row>
    <row r="1985" spans="1:17" x14ac:dyDescent="0.3">
      <c r="A1985" t="s">
        <v>17</v>
      </c>
      <c r="B1985" t="str">
        <f>"603585"</f>
        <v>603585</v>
      </c>
      <c r="C1985" t="s">
        <v>4291</v>
      </c>
      <c r="D1985" t="s">
        <v>636</v>
      </c>
      <c r="E1985">
        <v>6653879</v>
      </c>
      <c r="F1985">
        <v>-84746622</v>
      </c>
      <c r="G1985">
        <v>5131036</v>
      </c>
      <c r="H1985">
        <v>136020206</v>
      </c>
      <c r="I1985">
        <v>112667675</v>
      </c>
      <c r="J1985">
        <v>7734636</v>
      </c>
      <c r="K1985">
        <v>75951373</v>
      </c>
      <c r="P1985">
        <v>546</v>
      </c>
      <c r="Q1985" t="s">
        <v>4292</v>
      </c>
    </row>
    <row r="1986" spans="1:17" x14ac:dyDescent="0.3">
      <c r="A1986" t="s">
        <v>33</v>
      </c>
      <c r="B1986" t="str">
        <f>"300246"</f>
        <v>300246</v>
      </c>
      <c r="C1986" t="s">
        <v>4293</v>
      </c>
      <c r="D1986" t="s">
        <v>111</v>
      </c>
      <c r="E1986">
        <v>6558556</v>
      </c>
      <c r="F1986">
        <v>-26201054</v>
      </c>
      <c r="G1986">
        <v>44261210</v>
      </c>
      <c r="H1986">
        <v>-12425438</v>
      </c>
      <c r="I1986">
        <v>-8872722</v>
      </c>
      <c r="J1986">
        <v>-8743703</v>
      </c>
      <c r="K1986">
        <v>-1301731</v>
      </c>
      <c r="L1986">
        <v>-10834003</v>
      </c>
      <c r="M1986">
        <v>6505975</v>
      </c>
      <c r="N1986">
        <v>1184339</v>
      </c>
      <c r="O1986">
        <v>2770668</v>
      </c>
      <c r="P1986">
        <v>511</v>
      </c>
      <c r="Q1986" t="s">
        <v>4294</v>
      </c>
    </row>
    <row r="1987" spans="1:17" x14ac:dyDescent="0.3">
      <c r="A1987" t="s">
        <v>33</v>
      </c>
      <c r="B1987" t="str">
        <f>"002177"</f>
        <v>002177</v>
      </c>
      <c r="C1987" t="s">
        <v>4295</v>
      </c>
      <c r="D1987" t="s">
        <v>1571</v>
      </c>
      <c r="E1987">
        <v>6529090</v>
      </c>
      <c r="F1987">
        <v>-4208368</v>
      </c>
      <c r="G1987">
        <v>-7699673</v>
      </c>
      <c r="H1987">
        <v>-38746634</v>
      </c>
      <c r="I1987">
        <v>-66643081</v>
      </c>
      <c r="J1987">
        <v>-109046758</v>
      </c>
      <c r="K1987">
        <v>-122856224</v>
      </c>
      <c r="L1987">
        <v>-90357434</v>
      </c>
      <c r="M1987">
        <v>-47225369</v>
      </c>
      <c r="N1987">
        <v>-51413041</v>
      </c>
      <c r="O1987">
        <v>-34310418</v>
      </c>
      <c r="P1987">
        <v>3025</v>
      </c>
      <c r="Q1987" t="s">
        <v>4296</v>
      </c>
    </row>
    <row r="1988" spans="1:17" x14ac:dyDescent="0.3">
      <c r="A1988" t="s">
        <v>33</v>
      </c>
      <c r="B1988" t="str">
        <f>"002703"</f>
        <v>002703</v>
      </c>
      <c r="C1988" t="s">
        <v>4297</v>
      </c>
      <c r="D1988" t="s">
        <v>858</v>
      </c>
      <c r="E1988">
        <v>6511909</v>
      </c>
      <c r="F1988">
        <v>23714285</v>
      </c>
      <c r="G1988">
        <v>22198459</v>
      </c>
      <c r="H1988">
        <v>-33018474</v>
      </c>
      <c r="I1988">
        <v>-4863585</v>
      </c>
      <c r="J1988">
        <v>37554643</v>
      </c>
      <c r="K1988">
        <v>-12142829</v>
      </c>
      <c r="L1988">
        <v>24099182</v>
      </c>
      <c r="M1988">
        <v>21752944</v>
      </c>
      <c r="N1988">
        <v>-15873001</v>
      </c>
      <c r="O1988">
        <v>2861857</v>
      </c>
      <c r="P1988">
        <v>76</v>
      </c>
      <c r="Q1988" t="s">
        <v>4298</v>
      </c>
    </row>
    <row r="1989" spans="1:17" x14ac:dyDescent="0.3">
      <c r="A1989" t="s">
        <v>33</v>
      </c>
      <c r="B1989" t="str">
        <f>"301024"</f>
        <v>301024</v>
      </c>
      <c r="C1989" t="s">
        <v>4299</v>
      </c>
      <c r="D1989" t="s">
        <v>4300</v>
      </c>
      <c r="E1989">
        <v>6508221</v>
      </c>
      <c r="F1989">
        <v>-22879449</v>
      </c>
      <c r="G1989">
        <v>-10385462</v>
      </c>
      <c r="P1989">
        <v>22</v>
      </c>
      <c r="Q1989" t="s">
        <v>4301</v>
      </c>
    </row>
    <row r="1990" spans="1:17" x14ac:dyDescent="0.3">
      <c r="A1990" t="s">
        <v>17</v>
      </c>
      <c r="B1990" t="str">
        <f>"603159"</f>
        <v>603159</v>
      </c>
      <c r="C1990" t="s">
        <v>4302</v>
      </c>
      <c r="D1990" t="s">
        <v>1895</v>
      </c>
      <c r="E1990">
        <v>6450117</v>
      </c>
      <c r="F1990">
        <v>-11881819</v>
      </c>
      <c r="G1990">
        <v>31224766</v>
      </c>
      <c r="H1990">
        <v>40648482</v>
      </c>
      <c r="I1990">
        <v>27675513</v>
      </c>
      <c r="J1990">
        <v>-1341053</v>
      </c>
      <c r="K1990">
        <v>4253600</v>
      </c>
      <c r="L1990">
        <v>9198900</v>
      </c>
      <c r="P1990">
        <v>62</v>
      </c>
      <c r="Q1990" t="s">
        <v>4303</v>
      </c>
    </row>
    <row r="1991" spans="1:17" x14ac:dyDescent="0.3">
      <c r="A1991" t="s">
        <v>17</v>
      </c>
      <c r="B1991" t="str">
        <f>"600423"</f>
        <v>600423</v>
      </c>
      <c r="C1991" t="s">
        <v>4304</v>
      </c>
      <c r="D1991" t="s">
        <v>900</v>
      </c>
      <c r="E1991">
        <v>6442576</v>
      </c>
      <c r="F1991">
        <v>9578191</v>
      </c>
      <c r="G1991">
        <v>-119849735</v>
      </c>
      <c r="H1991">
        <v>-67500453</v>
      </c>
      <c r="I1991">
        <v>5565206</v>
      </c>
      <c r="J1991">
        <v>112562473</v>
      </c>
      <c r="K1991">
        <v>98293428</v>
      </c>
      <c r="L1991">
        <v>72923426</v>
      </c>
      <c r="M1991">
        <v>80722034</v>
      </c>
      <c r="N1991">
        <v>74031802</v>
      </c>
      <c r="O1991">
        <v>12198422</v>
      </c>
      <c r="P1991">
        <v>74</v>
      </c>
      <c r="Q1991" t="s">
        <v>4305</v>
      </c>
    </row>
    <row r="1992" spans="1:17" x14ac:dyDescent="0.3">
      <c r="A1992" t="s">
        <v>33</v>
      </c>
      <c r="B1992" t="str">
        <f>"300658"</f>
        <v>300658</v>
      </c>
      <c r="C1992" t="s">
        <v>4306</v>
      </c>
      <c r="D1992" t="s">
        <v>974</v>
      </c>
      <c r="E1992">
        <v>6432502</v>
      </c>
      <c r="F1992">
        <v>41458352</v>
      </c>
      <c r="G1992">
        <v>152967732</v>
      </c>
      <c r="H1992">
        <v>28614946</v>
      </c>
      <c r="I1992">
        <v>16960481</v>
      </c>
      <c r="J1992">
        <v>32467070</v>
      </c>
      <c r="K1992">
        <v>31769730</v>
      </c>
      <c r="P1992">
        <v>232</v>
      </c>
      <c r="Q1992" t="s">
        <v>4307</v>
      </c>
    </row>
    <row r="1993" spans="1:17" x14ac:dyDescent="0.3">
      <c r="A1993" t="s">
        <v>33</v>
      </c>
      <c r="B1993" t="str">
        <f>"300247"</f>
        <v>300247</v>
      </c>
      <c r="C1993" t="s">
        <v>4308</v>
      </c>
      <c r="D1993" t="s">
        <v>4309</v>
      </c>
      <c r="E1993">
        <v>6375181</v>
      </c>
      <c r="F1993">
        <v>9442728</v>
      </c>
      <c r="G1993">
        <v>8570860</v>
      </c>
      <c r="H1993">
        <v>19060850</v>
      </c>
      <c r="I1993">
        <v>-60452397</v>
      </c>
      <c r="J1993">
        <v>-21663694</v>
      </c>
      <c r="K1993">
        <v>-19793278</v>
      </c>
      <c r="L1993">
        <v>7860468</v>
      </c>
      <c r="M1993">
        <v>4070169</v>
      </c>
      <c r="N1993">
        <v>-13450296</v>
      </c>
      <c r="O1993">
        <v>-11527428</v>
      </c>
      <c r="P1993">
        <v>107</v>
      </c>
      <c r="Q1993" t="s">
        <v>4310</v>
      </c>
    </row>
    <row r="1994" spans="1:17" x14ac:dyDescent="0.3">
      <c r="A1994" t="s">
        <v>17</v>
      </c>
      <c r="B1994" t="str">
        <f>"688300"</f>
        <v>688300</v>
      </c>
      <c r="C1994" t="s">
        <v>4311</v>
      </c>
      <c r="D1994" t="s">
        <v>790</v>
      </c>
      <c r="E1994">
        <v>6283915</v>
      </c>
      <c r="F1994">
        <v>42687225</v>
      </c>
      <c r="G1994">
        <v>28590914</v>
      </c>
      <c r="H1994">
        <v>8695777</v>
      </c>
      <c r="I1994">
        <v>19187578</v>
      </c>
      <c r="P1994">
        <v>196</v>
      </c>
      <c r="Q1994" t="s">
        <v>4312</v>
      </c>
    </row>
    <row r="1995" spans="1:17" x14ac:dyDescent="0.3">
      <c r="A1995" t="s">
        <v>33</v>
      </c>
      <c r="B1995" t="str">
        <f>"001218"</f>
        <v>001218</v>
      </c>
      <c r="C1995" t="s">
        <v>4313</v>
      </c>
      <c r="D1995" t="s">
        <v>418</v>
      </c>
      <c r="E1995">
        <v>6277087</v>
      </c>
      <c r="F1995">
        <v>-29197771</v>
      </c>
      <c r="P1995">
        <v>15</v>
      </c>
      <c r="Q1995" t="s">
        <v>4314</v>
      </c>
    </row>
    <row r="1996" spans="1:17" x14ac:dyDescent="0.3">
      <c r="A1996" t="s">
        <v>17</v>
      </c>
      <c r="B1996" t="str">
        <f>"688329"</f>
        <v>688329</v>
      </c>
      <c r="C1996" t="s">
        <v>4315</v>
      </c>
      <c r="D1996" t="s">
        <v>4171</v>
      </c>
      <c r="E1996">
        <v>6238789</v>
      </c>
      <c r="F1996">
        <v>-5974946</v>
      </c>
      <c r="G1996">
        <v>-15516824</v>
      </c>
      <c r="P1996">
        <v>43</v>
      </c>
      <c r="Q1996" t="s">
        <v>4316</v>
      </c>
    </row>
    <row r="1997" spans="1:17" x14ac:dyDescent="0.3">
      <c r="A1997" t="s">
        <v>17</v>
      </c>
      <c r="B1997" t="str">
        <f>"600770"</f>
        <v>600770</v>
      </c>
      <c r="C1997" t="s">
        <v>4317</v>
      </c>
      <c r="D1997" t="s">
        <v>523</v>
      </c>
      <c r="E1997">
        <v>6187715</v>
      </c>
      <c r="F1997">
        <v>-9244267</v>
      </c>
      <c r="G1997">
        <v>-2018481</v>
      </c>
      <c r="H1997">
        <v>14256581</v>
      </c>
      <c r="I1997">
        <v>930380</v>
      </c>
      <c r="J1997">
        <v>-52819319</v>
      </c>
      <c r="K1997">
        <v>-57209413</v>
      </c>
      <c r="L1997">
        <v>-41377628</v>
      </c>
      <c r="M1997">
        <v>-162122687</v>
      </c>
      <c r="N1997">
        <v>-10057350</v>
      </c>
      <c r="O1997">
        <v>-237772649</v>
      </c>
      <c r="P1997">
        <v>3055</v>
      </c>
      <c r="Q1997" t="s">
        <v>4318</v>
      </c>
    </row>
    <row r="1998" spans="1:17" x14ac:dyDescent="0.3">
      <c r="A1998" t="s">
        <v>33</v>
      </c>
      <c r="B1998" t="str">
        <f>"301106"</f>
        <v>301106</v>
      </c>
      <c r="C1998" t="s">
        <v>4319</v>
      </c>
      <c r="E1998">
        <v>6144587</v>
      </c>
      <c r="P1998">
        <v>8</v>
      </c>
      <c r="Q1998" t="s">
        <v>4320</v>
      </c>
    </row>
    <row r="1999" spans="1:17" x14ac:dyDescent="0.3">
      <c r="A1999" t="s">
        <v>17</v>
      </c>
      <c r="B1999" t="str">
        <f>"688670"</f>
        <v>688670</v>
      </c>
      <c r="C1999" t="s">
        <v>4321</v>
      </c>
      <c r="D1999" t="s">
        <v>1321</v>
      </c>
      <c r="E1999">
        <v>6134019</v>
      </c>
      <c r="F1999">
        <v>-39572719</v>
      </c>
      <c r="G1999">
        <v>-3333285</v>
      </c>
      <c r="P1999">
        <v>19</v>
      </c>
      <c r="Q1999" t="s">
        <v>4322</v>
      </c>
    </row>
    <row r="2000" spans="1:17" x14ac:dyDescent="0.3">
      <c r="A2000" t="s">
        <v>33</v>
      </c>
      <c r="B2000" t="str">
        <f>"300876"</f>
        <v>300876</v>
      </c>
      <c r="C2000" t="s">
        <v>4323</v>
      </c>
      <c r="D2000" t="s">
        <v>822</v>
      </c>
      <c r="E2000">
        <v>6096840</v>
      </c>
      <c r="F2000">
        <v>-4275578</v>
      </c>
      <c r="G2000">
        <v>-15657462</v>
      </c>
      <c r="P2000">
        <v>67</v>
      </c>
      <c r="Q2000" t="s">
        <v>4324</v>
      </c>
    </row>
    <row r="2001" spans="1:17" x14ac:dyDescent="0.3">
      <c r="A2001" t="s">
        <v>17</v>
      </c>
      <c r="B2001" t="str">
        <f>"688193"</f>
        <v>688193</v>
      </c>
      <c r="C2001" t="s">
        <v>4325</v>
      </c>
      <c r="E2001">
        <v>5961280</v>
      </c>
      <c r="P2001">
        <v>2</v>
      </c>
      <c r="Q2001" t="s">
        <v>4326</v>
      </c>
    </row>
    <row r="2002" spans="1:17" x14ac:dyDescent="0.3">
      <c r="A2002" t="s">
        <v>33</v>
      </c>
      <c r="B2002" t="str">
        <f>"002332"</f>
        <v>002332</v>
      </c>
      <c r="C2002" t="s">
        <v>4327</v>
      </c>
      <c r="D2002" t="s">
        <v>590</v>
      </c>
      <c r="E2002">
        <v>5935810</v>
      </c>
      <c r="F2002">
        <v>64571089</v>
      </c>
      <c r="G2002">
        <v>95178224</v>
      </c>
      <c r="H2002">
        <v>102508038</v>
      </c>
      <c r="I2002">
        <v>-126233633</v>
      </c>
      <c r="J2002">
        <v>-63365266</v>
      </c>
      <c r="K2002">
        <v>-40825550</v>
      </c>
      <c r="L2002">
        <v>-98359726</v>
      </c>
      <c r="M2002">
        <v>-75124404</v>
      </c>
      <c r="N2002">
        <v>-70840401</v>
      </c>
      <c r="O2002">
        <v>-23011024</v>
      </c>
      <c r="P2002">
        <v>385</v>
      </c>
      <c r="Q2002" t="s">
        <v>4328</v>
      </c>
    </row>
    <row r="2003" spans="1:17" x14ac:dyDescent="0.3">
      <c r="A2003" t="s">
        <v>33</v>
      </c>
      <c r="B2003" t="str">
        <f>"300332"</f>
        <v>300332</v>
      </c>
      <c r="C2003" t="s">
        <v>4329</v>
      </c>
      <c r="D2003" t="s">
        <v>649</v>
      </c>
      <c r="E2003">
        <v>5910340</v>
      </c>
      <c r="F2003">
        <v>84089644</v>
      </c>
      <c r="G2003">
        <v>51336385</v>
      </c>
      <c r="H2003">
        <v>136843704</v>
      </c>
      <c r="I2003">
        <v>73500583</v>
      </c>
      <c r="J2003">
        <v>6299457</v>
      </c>
      <c r="K2003">
        <v>-5158433</v>
      </c>
      <c r="L2003">
        <v>-22461058</v>
      </c>
      <c r="M2003">
        <v>-17446922</v>
      </c>
      <c r="N2003">
        <v>8257106</v>
      </c>
      <c r="O2003">
        <v>-4202336</v>
      </c>
      <c r="P2003">
        <v>117</v>
      </c>
      <c r="Q2003" t="s">
        <v>4330</v>
      </c>
    </row>
    <row r="2004" spans="1:17" x14ac:dyDescent="0.3">
      <c r="A2004" t="s">
        <v>33</v>
      </c>
      <c r="B2004" t="str">
        <f>"300836"</f>
        <v>300836</v>
      </c>
      <c r="C2004" t="s">
        <v>4331</v>
      </c>
      <c r="D2004" t="s">
        <v>1895</v>
      </c>
      <c r="E2004">
        <v>5882051</v>
      </c>
      <c r="F2004">
        <v>-41756001</v>
      </c>
      <c r="G2004">
        <v>4056367</v>
      </c>
      <c r="H2004">
        <v>5205306</v>
      </c>
      <c r="P2004">
        <v>61</v>
      </c>
      <c r="Q2004" t="s">
        <v>4332</v>
      </c>
    </row>
    <row r="2005" spans="1:17" x14ac:dyDescent="0.3">
      <c r="A2005" t="s">
        <v>33</v>
      </c>
      <c r="B2005" t="str">
        <f>"300786"</f>
        <v>300786</v>
      </c>
      <c r="C2005" t="s">
        <v>4333</v>
      </c>
      <c r="D2005" t="s">
        <v>1763</v>
      </c>
      <c r="E2005">
        <v>5860760</v>
      </c>
      <c r="F2005">
        <v>-8143241</v>
      </c>
      <c r="G2005">
        <v>-4186866</v>
      </c>
      <c r="H2005">
        <v>-5950114</v>
      </c>
      <c r="I2005">
        <v>-23119901</v>
      </c>
      <c r="P2005">
        <v>95</v>
      </c>
      <c r="Q2005" t="s">
        <v>4334</v>
      </c>
    </row>
    <row r="2006" spans="1:17" x14ac:dyDescent="0.3">
      <c r="A2006" t="s">
        <v>17</v>
      </c>
      <c r="B2006" t="str">
        <f>"600506"</f>
        <v>600506</v>
      </c>
      <c r="C2006" t="s">
        <v>4335</v>
      </c>
      <c r="D2006" t="s">
        <v>1886</v>
      </c>
      <c r="E2006">
        <v>5840013</v>
      </c>
      <c r="F2006">
        <v>-1388779</v>
      </c>
      <c r="G2006">
        <v>-1134181</v>
      </c>
      <c r="H2006">
        <v>-1197580</v>
      </c>
      <c r="I2006">
        <v>6356330</v>
      </c>
      <c r="J2006">
        <v>4818771</v>
      </c>
      <c r="K2006">
        <v>510105</v>
      </c>
      <c r="L2006">
        <v>12715016</v>
      </c>
      <c r="M2006">
        <v>20653365</v>
      </c>
      <c r="N2006">
        <v>18154526</v>
      </c>
      <c r="O2006">
        <v>7955199</v>
      </c>
      <c r="P2006">
        <v>67</v>
      </c>
      <c r="Q2006" t="s">
        <v>4336</v>
      </c>
    </row>
    <row r="2007" spans="1:17" x14ac:dyDescent="0.3">
      <c r="A2007" t="s">
        <v>17</v>
      </c>
      <c r="B2007" t="str">
        <f>"688088"</f>
        <v>688088</v>
      </c>
      <c r="C2007" t="s">
        <v>4337</v>
      </c>
      <c r="D2007" t="s">
        <v>508</v>
      </c>
      <c r="E2007">
        <v>5834116</v>
      </c>
      <c r="F2007">
        <v>127775783</v>
      </c>
      <c r="G2007">
        <v>20616977</v>
      </c>
      <c r="H2007">
        <v>-15218254</v>
      </c>
      <c r="I2007">
        <v>4729811</v>
      </c>
      <c r="P2007">
        <v>271</v>
      </c>
      <c r="Q2007" t="s">
        <v>4338</v>
      </c>
    </row>
    <row r="2008" spans="1:17" x14ac:dyDescent="0.3">
      <c r="A2008" t="s">
        <v>33</v>
      </c>
      <c r="B2008" t="str">
        <f>"002825"</f>
        <v>002825</v>
      </c>
      <c r="C2008" t="s">
        <v>4339</v>
      </c>
      <c r="D2008" t="s">
        <v>1483</v>
      </c>
      <c r="E2008">
        <v>5796040</v>
      </c>
      <c r="F2008">
        <v>13293785</v>
      </c>
      <c r="G2008">
        <v>9858800</v>
      </c>
      <c r="H2008">
        <v>6769577</v>
      </c>
      <c r="I2008">
        <v>5544296</v>
      </c>
      <c r="J2008">
        <v>41552249</v>
      </c>
      <c r="K2008">
        <v>-18688842</v>
      </c>
      <c r="P2008">
        <v>100</v>
      </c>
      <c r="Q2008" t="s">
        <v>4340</v>
      </c>
    </row>
    <row r="2009" spans="1:17" x14ac:dyDescent="0.3">
      <c r="A2009" t="s">
        <v>33</v>
      </c>
      <c r="B2009" t="str">
        <f>"300684"</f>
        <v>300684</v>
      </c>
      <c r="C2009" t="s">
        <v>4341</v>
      </c>
      <c r="D2009" t="s">
        <v>226</v>
      </c>
      <c r="E2009">
        <v>5764573</v>
      </c>
      <c r="F2009">
        <v>37475450</v>
      </c>
      <c r="G2009">
        <v>60178311</v>
      </c>
      <c r="H2009">
        <v>45681705</v>
      </c>
      <c r="I2009">
        <v>72566471</v>
      </c>
      <c r="J2009">
        <v>11590752</v>
      </c>
      <c r="P2009">
        <v>348</v>
      </c>
      <c r="Q2009" t="s">
        <v>4342</v>
      </c>
    </row>
    <row r="2010" spans="1:17" x14ac:dyDescent="0.3">
      <c r="A2010" t="s">
        <v>33</v>
      </c>
      <c r="B2010" t="str">
        <f>"002656"</f>
        <v>002656</v>
      </c>
      <c r="C2010" t="s">
        <v>4343</v>
      </c>
      <c r="D2010" t="s">
        <v>581</v>
      </c>
      <c r="E2010">
        <v>5731797</v>
      </c>
      <c r="F2010">
        <v>117294642</v>
      </c>
      <c r="G2010">
        <v>-49630350</v>
      </c>
      <c r="H2010">
        <v>109523754</v>
      </c>
      <c r="I2010">
        <v>-17889007</v>
      </c>
      <c r="J2010">
        <v>24437134</v>
      </c>
      <c r="K2010">
        <v>-18630560</v>
      </c>
      <c r="L2010">
        <v>34847812</v>
      </c>
      <c r="M2010">
        <v>28301306</v>
      </c>
      <c r="N2010">
        <v>-9988984</v>
      </c>
      <c r="O2010">
        <v>-37258648</v>
      </c>
      <c r="P2010">
        <v>62</v>
      </c>
      <c r="Q2010" t="s">
        <v>4344</v>
      </c>
    </row>
    <row r="2011" spans="1:17" x14ac:dyDescent="0.3">
      <c r="A2011" t="s">
        <v>17</v>
      </c>
      <c r="B2011" t="str">
        <f>"600373"</f>
        <v>600373</v>
      </c>
      <c r="C2011" t="s">
        <v>4345</v>
      </c>
      <c r="D2011" t="s">
        <v>1501</v>
      </c>
      <c r="E2011">
        <v>5680748</v>
      </c>
      <c r="F2011">
        <v>-503702789</v>
      </c>
      <c r="G2011">
        <v>-163258707</v>
      </c>
      <c r="H2011">
        <v>-451782525</v>
      </c>
      <c r="I2011">
        <v>-351526126</v>
      </c>
      <c r="J2011">
        <v>-299879775</v>
      </c>
      <c r="K2011">
        <v>29815458</v>
      </c>
      <c r="L2011">
        <v>-265421627</v>
      </c>
      <c r="M2011">
        <v>-159624297</v>
      </c>
      <c r="N2011">
        <v>-184773368</v>
      </c>
      <c r="O2011">
        <v>18367512</v>
      </c>
      <c r="P2011">
        <v>776</v>
      </c>
      <c r="Q2011" t="s">
        <v>4346</v>
      </c>
    </row>
    <row r="2012" spans="1:17" x14ac:dyDescent="0.3">
      <c r="A2012" t="s">
        <v>33</v>
      </c>
      <c r="B2012" t="str">
        <f>"002098"</f>
        <v>002098</v>
      </c>
      <c r="C2012" t="s">
        <v>4347</v>
      </c>
      <c r="D2012" t="s">
        <v>4348</v>
      </c>
      <c r="E2012">
        <v>5669872</v>
      </c>
      <c r="F2012">
        <v>-30121559</v>
      </c>
      <c r="G2012">
        <v>66250099</v>
      </c>
      <c r="H2012">
        <v>30982451</v>
      </c>
      <c r="I2012">
        <v>3931838</v>
      </c>
      <c r="J2012">
        <v>6435857</v>
      </c>
      <c r="K2012">
        <v>17771726</v>
      </c>
      <c r="L2012">
        <v>40143580</v>
      </c>
      <c r="M2012">
        <v>30917782</v>
      </c>
      <c r="N2012">
        <v>62475310</v>
      </c>
      <c r="O2012">
        <v>2453780</v>
      </c>
      <c r="P2012">
        <v>111</v>
      </c>
      <c r="Q2012" t="s">
        <v>4349</v>
      </c>
    </row>
    <row r="2013" spans="1:17" x14ac:dyDescent="0.3">
      <c r="A2013" t="s">
        <v>33</v>
      </c>
      <c r="B2013" t="str">
        <f>"300429"</f>
        <v>300429</v>
      </c>
      <c r="C2013" t="s">
        <v>4350</v>
      </c>
      <c r="D2013" t="s">
        <v>1330</v>
      </c>
      <c r="E2013">
        <v>5560470</v>
      </c>
      <c r="F2013">
        <v>19056692</v>
      </c>
      <c r="G2013">
        <v>48403780</v>
      </c>
      <c r="H2013">
        <v>34170457</v>
      </c>
      <c r="I2013">
        <v>27090570</v>
      </c>
      <c r="J2013">
        <v>22414312</v>
      </c>
      <c r="K2013">
        <v>21618938</v>
      </c>
      <c r="L2013">
        <v>10856932</v>
      </c>
      <c r="M2013">
        <v>7338592</v>
      </c>
      <c r="P2013">
        <v>261</v>
      </c>
      <c r="Q2013" t="s">
        <v>4351</v>
      </c>
    </row>
    <row r="2014" spans="1:17" x14ac:dyDescent="0.3">
      <c r="A2014" t="s">
        <v>33</v>
      </c>
      <c r="B2014" t="str">
        <f>"002529"</f>
        <v>002529</v>
      </c>
      <c r="C2014" t="s">
        <v>4352</v>
      </c>
      <c r="D2014" t="s">
        <v>1895</v>
      </c>
      <c r="E2014">
        <v>5503880</v>
      </c>
      <c r="F2014">
        <v>-16764318</v>
      </c>
      <c r="G2014">
        <v>82103761</v>
      </c>
      <c r="H2014">
        <v>-31235020</v>
      </c>
      <c r="I2014">
        <v>-33953922</v>
      </c>
      <c r="J2014">
        <v>-28233909</v>
      </c>
      <c r="K2014">
        <v>-2158943</v>
      </c>
      <c r="L2014">
        <v>-28058996</v>
      </c>
      <c r="M2014">
        <v>-22721669</v>
      </c>
      <c r="N2014">
        <v>-1342833</v>
      </c>
      <c r="O2014">
        <v>-64201666</v>
      </c>
      <c r="P2014">
        <v>68</v>
      </c>
      <c r="Q2014" t="s">
        <v>4353</v>
      </c>
    </row>
    <row r="2015" spans="1:17" x14ac:dyDescent="0.3">
      <c r="A2015" t="s">
        <v>33</v>
      </c>
      <c r="B2015" t="str">
        <f>"301086"</f>
        <v>301086</v>
      </c>
      <c r="C2015" t="s">
        <v>4354</v>
      </c>
      <c r="D2015" t="s">
        <v>226</v>
      </c>
      <c r="E2015">
        <v>5489635</v>
      </c>
      <c r="F2015">
        <v>8223217</v>
      </c>
      <c r="P2015">
        <v>28</v>
      </c>
      <c r="Q2015" t="s">
        <v>4355</v>
      </c>
    </row>
    <row r="2016" spans="1:17" x14ac:dyDescent="0.3">
      <c r="A2016" t="s">
        <v>33</v>
      </c>
      <c r="B2016" t="str">
        <f>"300503"</f>
        <v>300503</v>
      </c>
      <c r="C2016" t="s">
        <v>4356</v>
      </c>
      <c r="D2016" t="s">
        <v>1033</v>
      </c>
      <c r="E2016">
        <v>5427823</v>
      </c>
      <c r="F2016">
        <v>13543300</v>
      </c>
      <c r="G2016">
        <v>15753056</v>
      </c>
      <c r="H2016">
        <v>-80681709</v>
      </c>
      <c r="I2016">
        <v>25411705</v>
      </c>
      <c r="J2016">
        <v>15953506</v>
      </c>
      <c r="K2016">
        <v>-9797815</v>
      </c>
      <c r="L2016">
        <v>1288011</v>
      </c>
      <c r="P2016">
        <v>136</v>
      </c>
      <c r="Q2016" t="s">
        <v>4357</v>
      </c>
    </row>
    <row r="2017" spans="1:17" x14ac:dyDescent="0.3">
      <c r="A2017" t="s">
        <v>33</v>
      </c>
      <c r="B2017" t="str">
        <f>"002970"</f>
        <v>002970</v>
      </c>
      <c r="C2017" t="s">
        <v>4358</v>
      </c>
      <c r="D2017" t="s">
        <v>1571</v>
      </c>
      <c r="E2017">
        <v>5348067</v>
      </c>
      <c r="F2017">
        <v>-26324338</v>
      </c>
      <c r="G2017">
        <v>-7749826</v>
      </c>
      <c r="H2017">
        <v>-77436029</v>
      </c>
      <c r="P2017">
        <v>563</v>
      </c>
      <c r="Q2017" t="s">
        <v>4359</v>
      </c>
    </row>
    <row r="2018" spans="1:17" x14ac:dyDescent="0.3">
      <c r="A2018" t="s">
        <v>33</v>
      </c>
      <c r="B2018" t="str">
        <f>"300534"</f>
        <v>300534</v>
      </c>
      <c r="C2018" t="s">
        <v>4360</v>
      </c>
      <c r="D2018" t="s">
        <v>533</v>
      </c>
      <c r="E2018">
        <v>5331626</v>
      </c>
      <c r="F2018">
        <v>3494633</v>
      </c>
      <c r="G2018">
        <v>-31283160</v>
      </c>
      <c r="H2018">
        <v>-3610371</v>
      </c>
      <c r="I2018">
        <v>-19510598</v>
      </c>
      <c r="J2018">
        <v>-8593347</v>
      </c>
      <c r="K2018">
        <v>-7559348</v>
      </c>
      <c r="P2018">
        <v>109</v>
      </c>
      <c r="Q2018" t="s">
        <v>4361</v>
      </c>
    </row>
    <row r="2019" spans="1:17" x14ac:dyDescent="0.3">
      <c r="A2019" t="s">
        <v>33</v>
      </c>
      <c r="B2019" t="str">
        <f>"300920"</f>
        <v>300920</v>
      </c>
      <c r="C2019" t="s">
        <v>4362</v>
      </c>
      <c r="D2019" t="s">
        <v>1483</v>
      </c>
      <c r="E2019">
        <v>5311191</v>
      </c>
      <c r="F2019">
        <v>-4784418</v>
      </c>
      <c r="G2019">
        <v>37135156</v>
      </c>
      <c r="P2019">
        <v>46</v>
      </c>
      <c r="Q2019" t="s">
        <v>4363</v>
      </c>
    </row>
    <row r="2020" spans="1:17" x14ac:dyDescent="0.3">
      <c r="A2020" t="s">
        <v>33</v>
      </c>
      <c r="B2020" t="str">
        <f>"002226"</f>
        <v>002226</v>
      </c>
      <c r="C2020" t="s">
        <v>4364</v>
      </c>
      <c r="D2020" t="s">
        <v>1474</v>
      </c>
      <c r="E2020">
        <v>5243232</v>
      </c>
      <c r="F2020">
        <v>354</v>
      </c>
      <c r="G2020">
        <v>12651309</v>
      </c>
      <c r="H2020">
        <v>17560989</v>
      </c>
      <c r="I2020">
        <v>11627579</v>
      </c>
      <c r="J2020">
        <v>-30345802</v>
      </c>
      <c r="K2020">
        <v>-18715912</v>
      </c>
      <c r="L2020">
        <v>9338459</v>
      </c>
      <c r="M2020">
        <v>222861</v>
      </c>
      <c r="N2020">
        <v>-16845606</v>
      </c>
      <c r="O2020">
        <v>-26250791</v>
      </c>
      <c r="P2020">
        <v>172</v>
      </c>
      <c r="Q2020" t="s">
        <v>4365</v>
      </c>
    </row>
    <row r="2021" spans="1:17" x14ac:dyDescent="0.3">
      <c r="A2021" t="s">
        <v>33</v>
      </c>
      <c r="B2021" t="str">
        <f>"002618"</f>
        <v>002618</v>
      </c>
      <c r="C2021" t="s">
        <v>4366</v>
      </c>
      <c r="D2021" t="s">
        <v>239</v>
      </c>
      <c r="E2021">
        <v>5226228</v>
      </c>
      <c r="F2021">
        <v>-9228295</v>
      </c>
      <c r="G2021">
        <v>7226476</v>
      </c>
      <c r="H2021">
        <v>-11362813</v>
      </c>
      <c r="I2021">
        <v>25478543</v>
      </c>
      <c r="J2021">
        <v>-10489038</v>
      </c>
      <c r="K2021">
        <v>2699430</v>
      </c>
      <c r="L2021">
        <v>19214237</v>
      </c>
      <c r="M2021">
        <v>10994380</v>
      </c>
      <c r="N2021">
        <v>32893152</v>
      </c>
      <c r="O2021">
        <v>9454847</v>
      </c>
      <c r="P2021">
        <v>135</v>
      </c>
      <c r="Q2021" t="s">
        <v>4367</v>
      </c>
    </row>
    <row r="2022" spans="1:17" x14ac:dyDescent="0.3">
      <c r="A2022" t="s">
        <v>33</v>
      </c>
      <c r="B2022" t="str">
        <f>"003019"</f>
        <v>003019</v>
      </c>
      <c r="C2022" t="s">
        <v>4368</v>
      </c>
      <c r="D2022" t="s">
        <v>102</v>
      </c>
      <c r="E2022">
        <v>5141966</v>
      </c>
      <c r="F2022">
        <v>-56795528</v>
      </c>
      <c r="G2022">
        <v>-10878525</v>
      </c>
      <c r="P2022">
        <v>62</v>
      </c>
      <c r="Q2022" t="s">
        <v>4369</v>
      </c>
    </row>
    <row r="2023" spans="1:17" x14ac:dyDescent="0.3">
      <c r="A2023" t="s">
        <v>17</v>
      </c>
      <c r="B2023" t="str">
        <f>"603386"</f>
        <v>603386</v>
      </c>
      <c r="C2023" t="s">
        <v>4370</v>
      </c>
      <c r="D2023" t="s">
        <v>239</v>
      </c>
      <c r="E2023">
        <v>5131989</v>
      </c>
      <c r="F2023">
        <v>-31121256</v>
      </c>
      <c r="G2023">
        <v>-10062187</v>
      </c>
      <c r="H2023">
        <v>39969986</v>
      </c>
      <c r="I2023">
        <v>-25006908</v>
      </c>
      <c r="J2023">
        <v>-7179288</v>
      </c>
      <c r="P2023">
        <v>180</v>
      </c>
      <c r="Q2023" t="s">
        <v>4371</v>
      </c>
    </row>
    <row r="2024" spans="1:17" x14ac:dyDescent="0.3">
      <c r="A2024" t="s">
        <v>17</v>
      </c>
      <c r="B2024" t="str">
        <f>"600769"</f>
        <v>600769</v>
      </c>
      <c r="C2024" t="s">
        <v>4372</v>
      </c>
      <c r="D2024" t="s">
        <v>932</v>
      </c>
      <c r="E2024">
        <v>5129771</v>
      </c>
      <c r="F2024">
        <v>2897031</v>
      </c>
      <c r="G2024">
        <v>-1951309</v>
      </c>
      <c r="H2024">
        <v>-8785652</v>
      </c>
      <c r="I2024">
        <v>1749650</v>
      </c>
      <c r="J2024">
        <v>-280418</v>
      </c>
      <c r="K2024">
        <v>-1753265</v>
      </c>
      <c r="L2024">
        <v>-3910280</v>
      </c>
      <c r="M2024">
        <v>-1552337</v>
      </c>
      <c r="N2024">
        <v>-23387410</v>
      </c>
      <c r="O2024">
        <v>16701402</v>
      </c>
      <c r="P2024">
        <v>65</v>
      </c>
      <c r="Q2024" t="s">
        <v>4373</v>
      </c>
    </row>
    <row r="2025" spans="1:17" x14ac:dyDescent="0.3">
      <c r="A2025" t="s">
        <v>33</v>
      </c>
      <c r="B2025" t="str">
        <f>"300478"</f>
        <v>300478</v>
      </c>
      <c r="C2025" t="s">
        <v>4374</v>
      </c>
      <c r="D2025" t="s">
        <v>1556</v>
      </c>
      <c r="E2025">
        <v>5076088</v>
      </c>
      <c r="F2025">
        <v>-18229296</v>
      </c>
      <c r="G2025">
        <v>71212911</v>
      </c>
      <c r="H2025">
        <v>11957278</v>
      </c>
      <c r="I2025">
        <v>-32900684</v>
      </c>
      <c r="J2025">
        <v>-17682984</v>
      </c>
      <c r="K2025">
        <v>4679569</v>
      </c>
      <c r="L2025">
        <v>-14731500</v>
      </c>
      <c r="M2025">
        <v>-24396900</v>
      </c>
      <c r="P2025">
        <v>58</v>
      </c>
      <c r="Q2025" t="s">
        <v>4375</v>
      </c>
    </row>
    <row r="2026" spans="1:17" x14ac:dyDescent="0.3">
      <c r="A2026" t="s">
        <v>17</v>
      </c>
      <c r="B2026" t="str">
        <f>"605016"</f>
        <v>605016</v>
      </c>
      <c r="C2026" t="s">
        <v>4376</v>
      </c>
      <c r="D2026" t="s">
        <v>1028</v>
      </c>
      <c r="E2026">
        <v>5013787</v>
      </c>
      <c r="F2026">
        <v>6198239</v>
      </c>
      <c r="G2026">
        <v>9499718</v>
      </c>
      <c r="P2026">
        <v>65</v>
      </c>
      <c r="Q2026" t="s">
        <v>4377</v>
      </c>
    </row>
    <row r="2027" spans="1:17" x14ac:dyDescent="0.3">
      <c r="A2027" t="s">
        <v>33</v>
      </c>
      <c r="B2027" t="str">
        <f>"002868"</f>
        <v>002868</v>
      </c>
      <c r="C2027" t="s">
        <v>4378</v>
      </c>
      <c r="D2027" t="s">
        <v>2035</v>
      </c>
      <c r="E2027">
        <v>5001432</v>
      </c>
      <c r="F2027">
        <v>-25012216</v>
      </c>
      <c r="G2027">
        <v>13458369</v>
      </c>
      <c r="H2027">
        <v>12047246</v>
      </c>
      <c r="I2027">
        <v>18901523</v>
      </c>
      <c r="J2027">
        <v>22633774</v>
      </c>
      <c r="K2027">
        <v>36972293</v>
      </c>
      <c r="P2027">
        <v>88</v>
      </c>
      <c r="Q2027" t="s">
        <v>4379</v>
      </c>
    </row>
    <row r="2028" spans="1:17" x14ac:dyDescent="0.3">
      <c r="A2028" t="s">
        <v>33</v>
      </c>
      <c r="B2028" t="str">
        <f>"002452"</f>
        <v>002452</v>
      </c>
      <c r="C2028" t="s">
        <v>4380</v>
      </c>
      <c r="D2028" t="s">
        <v>298</v>
      </c>
      <c r="E2028">
        <v>4957783</v>
      </c>
      <c r="F2028">
        <v>57090330</v>
      </c>
      <c r="G2028">
        <v>13718879</v>
      </c>
      <c r="H2028">
        <v>-17942628</v>
      </c>
      <c r="I2028">
        <v>-46605801</v>
      </c>
      <c r="J2028">
        <v>8468694</v>
      </c>
      <c r="K2028">
        <v>-20048901</v>
      </c>
      <c r="L2028">
        <v>4400827</v>
      </c>
      <c r="M2028">
        <v>-17316700</v>
      </c>
      <c r="N2028">
        <v>670941</v>
      </c>
      <c r="O2028">
        <v>-35217613</v>
      </c>
      <c r="P2028">
        <v>173</v>
      </c>
      <c r="Q2028" t="s">
        <v>4381</v>
      </c>
    </row>
    <row r="2029" spans="1:17" x14ac:dyDescent="0.3">
      <c r="A2029" t="s">
        <v>33</v>
      </c>
      <c r="B2029" t="str">
        <f>"002888"</f>
        <v>002888</v>
      </c>
      <c r="C2029" t="s">
        <v>4382</v>
      </c>
      <c r="D2029" t="s">
        <v>1514</v>
      </c>
      <c r="E2029">
        <v>4932378</v>
      </c>
      <c r="F2029">
        <v>-5168809</v>
      </c>
      <c r="G2029">
        <v>4829583</v>
      </c>
      <c r="H2029">
        <v>9942855</v>
      </c>
      <c r="I2029">
        <v>-10657927</v>
      </c>
      <c r="J2029">
        <v>-4850482</v>
      </c>
      <c r="K2029">
        <v>3150511</v>
      </c>
      <c r="P2029">
        <v>80</v>
      </c>
      <c r="Q2029" t="s">
        <v>4383</v>
      </c>
    </row>
    <row r="2030" spans="1:17" x14ac:dyDescent="0.3">
      <c r="A2030" t="s">
        <v>33</v>
      </c>
      <c r="B2030" t="str">
        <f>"300452"</f>
        <v>300452</v>
      </c>
      <c r="C2030" t="s">
        <v>4384</v>
      </c>
      <c r="D2030" t="s">
        <v>941</v>
      </c>
      <c r="E2030">
        <v>4881326</v>
      </c>
      <c r="F2030">
        <v>3109006</v>
      </c>
      <c r="G2030">
        <v>-6381400</v>
      </c>
      <c r="H2030">
        <v>-4369052</v>
      </c>
      <c r="I2030">
        <v>-8910423</v>
      </c>
      <c r="J2030">
        <v>991688</v>
      </c>
      <c r="K2030">
        <v>8643824</v>
      </c>
      <c r="L2030">
        <v>2277700</v>
      </c>
      <c r="P2030">
        <v>300</v>
      </c>
      <c r="Q2030" t="s">
        <v>4385</v>
      </c>
    </row>
    <row r="2031" spans="1:17" x14ac:dyDescent="0.3">
      <c r="A2031" t="s">
        <v>33</v>
      </c>
      <c r="B2031" t="str">
        <f>"200613"</f>
        <v>200613</v>
      </c>
      <c r="C2031" t="s">
        <v>4386</v>
      </c>
      <c r="E2031">
        <v>4829482.3540000003</v>
      </c>
      <c r="F2031">
        <v>5986618.1694999998</v>
      </c>
      <c r="G2031">
        <v>-1618664.6817000001</v>
      </c>
      <c r="H2031">
        <v>1679413.3191</v>
      </c>
      <c r="I2031">
        <v>3264746.6264999998</v>
      </c>
      <c r="J2031">
        <v>2943840.4649999999</v>
      </c>
      <c r="K2031">
        <v>3622838.4945</v>
      </c>
      <c r="L2031">
        <v>1192170</v>
      </c>
      <c r="M2031">
        <v>3272111.3295999998</v>
      </c>
      <c r="N2031">
        <v>5588449.4550000001</v>
      </c>
      <c r="O2031">
        <v>251803.26</v>
      </c>
      <c r="P2031">
        <v>4</v>
      </c>
      <c r="Q2031" t="s">
        <v>4387</v>
      </c>
    </row>
    <row r="2032" spans="1:17" x14ac:dyDescent="0.3">
      <c r="A2032" t="s">
        <v>33</v>
      </c>
      <c r="B2032" t="str">
        <f>"002813"</f>
        <v>002813</v>
      </c>
      <c r="C2032" t="s">
        <v>4388</v>
      </c>
      <c r="D2032" t="s">
        <v>603</v>
      </c>
      <c r="E2032">
        <v>4780405</v>
      </c>
      <c r="F2032">
        <v>5726455</v>
      </c>
      <c r="G2032">
        <v>-39026784</v>
      </c>
      <c r="H2032">
        <v>68521264</v>
      </c>
      <c r="I2032">
        <v>-148543925</v>
      </c>
      <c r="J2032">
        <v>-48988060</v>
      </c>
      <c r="K2032">
        <v>-39569498</v>
      </c>
      <c r="P2032">
        <v>113</v>
      </c>
      <c r="Q2032" t="s">
        <v>4389</v>
      </c>
    </row>
    <row r="2033" spans="1:17" x14ac:dyDescent="0.3">
      <c r="A2033" t="s">
        <v>17</v>
      </c>
      <c r="B2033" t="str">
        <f>"688787"</f>
        <v>688787</v>
      </c>
      <c r="C2033" t="s">
        <v>4390</v>
      </c>
      <c r="D2033" t="s">
        <v>508</v>
      </c>
      <c r="E2033">
        <v>4768088</v>
      </c>
      <c r="F2033">
        <v>18456157</v>
      </c>
      <c r="G2033">
        <v>5975943</v>
      </c>
      <c r="P2033">
        <v>32</v>
      </c>
      <c r="Q2033" t="s">
        <v>4391</v>
      </c>
    </row>
    <row r="2034" spans="1:17" x14ac:dyDescent="0.3">
      <c r="A2034" t="s">
        <v>33</v>
      </c>
      <c r="B2034" t="str">
        <f>"300025"</f>
        <v>300025</v>
      </c>
      <c r="C2034" t="s">
        <v>4392</v>
      </c>
      <c r="D2034" t="s">
        <v>4393</v>
      </c>
      <c r="E2034">
        <v>4754744</v>
      </c>
      <c r="F2034">
        <v>-22483640</v>
      </c>
      <c r="G2034">
        <v>-63693155</v>
      </c>
      <c r="H2034">
        <v>-42994656</v>
      </c>
      <c r="I2034">
        <v>-97893772</v>
      </c>
      <c r="J2034">
        <v>-47878776</v>
      </c>
      <c r="K2034">
        <v>-120392320</v>
      </c>
      <c r="L2034">
        <v>-69649145</v>
      </c>
      <c r="M2034">
        <v>-70593867</v>
      </c>
      <c r="N2034">
        <v>-54301085</v>
      </c>
      <c r="O2034">
        <v>-70512681</v>
      </c>
      <c r="P2034">
        <v>223</v>
      </c>
      <c r="Q2034" t="s">
        <v>4394</v>
      </c>
    </row>
    <row r="2035" spans="1:17" x14ac:dyDescent="0.3">
      <c r="A2035" t="s">
        <v>33</v>
      </c>
      <c r="B2035" t="str">
        <f>"300460"</f>
        <v>300460</v>
      </c>
      <c r="C2035" t="s">
        <v>4395</v>
      </c>
      <c r="D2035" t="s">
        <v>869</v>
      </c>
      <c r="E2035">
        <v>4754645</v>
      </c>
      <c r="F2035">
        <v>41111324</v>
      </c>
      <c r="G2035">
        <v>344606</v>
      </c>
      <c r="H2035">
        <v>2355720</v>
      </c>
      <c r="I2035">
        <v>8724231</v>
      </c>
      <c r="J2035">
        <v>5969317</v>
      </c>
      <c r="K2035">
        <v>2895329</v>
      </c>
      <c r="L2035">
        <v>8099122</v>
      </c>
      <c r="M2035">
        <v>24697800</v>
      </c>
      <c r="P2035">
        <v>154</v>
      </c>
      <c r="Q2035" t="s">
        <v>4396</v>
      </c>
    </row>
    <row r="2036" spans="1:17" x14ac:dyDescent="0.3">
      <c r="A2036" t="s">
        <v>33</v>
      </c>
      <c r="B2036" t="str">
        <f>"301186"</f>
        <v>301186</v>
      </c>
      <c r="C2036" t="s">
        <v>4397</v>
      </c>
      <c r="D2036" t="s">
        <v>1419</v>
      </c>
      <c r="E2036">
        <v>4727169</v>
      </c>
      <c r="P2036">
        <v>10</v>
      </c>
      <c r="Q2036" t="s">
        <v>4398</v>
      </c>
    </row>
    <row r="2037" spans="1:17" x14ac:dyDescent="0.3">
      <c r="A2037" t="s">
        <v>17</v>
      </c>
      <c r="B2037" t="str">
        <f>"688255"</f>
        <v>688255</v>
      </c>
      <c r="C2037" t="s">
        <v>4399</v>
      </c>
      <c r="D2037" t="s">
        <v>1142</v>
      </c>
      <c r="E2037">
        <v>4710163</v>
      </c>
      <c r="F2037">
        <v>2250770</v>
      </c>
      <c r="P2037">
        <v>19</v>
      </c>
      <c r="Q2037" t="s">
        <v>4400</v>
      </c>
    </row>
    <row r="2038" spans="1:17" x14ac:dyDescent="0.3">
      <c r="A2038" t="s">
        <v>33</v>
      </c>
      <c r="B2038" t="str">
        <f>"002417"</f>
        <v>002417</v>
      </c>
      <c r="C2038" t="s">
        <v>4401</v>
      </c>
      <c r="D2038" t="s">
        <v>508</v>
      </c>
      <c r="E2038">
        <v>4670713</v>
      </c>
      <c r="F2038">
        <v>-4536773</v>
      </c>
      <c r="G2038">
        <v>-9727536</v>
      </c>
      <c r="H2038">
        <v>22755450</v>
      </c>
      <c r="I2038">
        <v>-1720518</v>
      </c>
      <c r="J2038">
        <v>-7889418</v>
      </c>
      <c r="K2038">
        <v>-33453582</v>
      </c>
      <c r="L2038">
        <v>-55612587</v>
      </c>
      <c r="M2038">
        <v>-60421053</v>
      </c>
      <c r="N2038">
        <v>-73388839</v>
      </c>
      <c r="O2038">
        <v>-41826060</v>
      </c>
      <c r="P2038">
        <v>140</v>
      </c>
      <c r="Q2038" t="s">
        <v>4402</v>
      </c>
    </row>
    <row r="2039" spans="1:17" x14ac:dyDescent="0.3">
      <c r="A2039" t="s">
        <v>17</v>
      </c>
      <c r="B2039" t="str">
        <f>"605288"</f>
        <v>605288</v>
      </c>
      <c r="C2039" t="s">
        <v>4403</v>
      </c>
      <c r="D2039" t="s">
        <v>2148</v>
      </c>
      <c r="E2039">
        <v>4652764</v>
      </c>
      <c r="F2039">
        <v>57031215</v>
      </c>
      <c r="G2039">
        <v>37094671</v>
      </c>
      <c r="H2039">
        <v>32278103</v>
      </c>
      <c r="P2039">
        <v>86</v>
      </c>
      <c r="Q2039" t="s">
        <v>4404</v>
      </c>
    </row>
    <row r="2040" spans="1:17" x14ac:dyDescent="0.3">
      <c r="A2040" t="s">
        <v>17</v>
      </c>
      <c r="B2040" t="str">
        <f>"600698"</f>
        <v>600698</v>
      </c>
      <c r="C2040" t="s">
        <v>4405</v>
      </c>
      <c r="D2040" t="s">
        <v>858</v>
      </c>
      <c r="E2040">
        <v>4640474</v>
      </c>
      <c r="F2040">
        <v>-35338874</v>
      </c>
      <c r="G2040">
        <v>2273663</v>
      </c>
      <c r="H2040">
        <v>-23601845</v>
      </c>
      <c r="I2040">
        <v>-11044610</v>
      </c>
      <c r="J2040">
        <v>-3444799</v>
      </c>
      <c r="K2040">
        <v>-33911335</v>
      </c>
      <c r="L2040">
        <v>-15057648</v>
      </c>
      <c r="M2040">
        <v>-13982183</v>
      </c>
      <c r="N2040">
        <v>-48052486</v>
      </c>
      <c r="O2040">
        <v>-1865191</v>
      </c>
      <c r="P2040">
        <v>93</v>
      </c>
      <c r="Q2040" t="s">
        <v>4406</v>
      </c>
    </row>
    <row r="2041" spans="1:17" x14ac:dyDescent="0.3">
      <c r="A2041" t="s">
        <v>33</v>
      </c>
      <c r="B2041" t="str">
        <f>"002255"</f>
        <v>002255</v>
      </c>
      <c r="C2041" t="s">
        <v>4407</v>
      </c>
      <c r="D2041" t="s">
        <v>2103</v>
      </c>
      <c r="E2041">
        <v>4563332</v>
      </c>
      <c r="F2041">
        <v>-65826011</v>
      </c>
      <c r="G2041">
        <v>51629279</v>
      </c>
      <c r="H2041">
        <v>-413185774</v>
      </c>
      <c r="I2041">
        <v>-268468649</v>
      </c>
      <c r="J2041">
        <v>27334842</v>
      </c>
      <c r="K2041">
        <v>-19240299</v>
      </c>
      <c r="L2041">
        <v>20211246</v>
      </c>
      <c r="M2041">
        <v>-54875226</v>
      </c>
      <c r="N2041">
        <v>5863048</v>
      </c>
      <c r="O2041">
        <v>26376476</v>
      </c>
      <c r="P2041">
        <v>107</v>
      </c>
      <c r="Q2041" t="s">
        <v>4408</v>
      </c>
    </row>
    <row r="2042" spans="1:17" x14ac:dyDescent="0.3">
      <c r="A2042" t="s">
        <v>33</v>
      </c>
      <c r="B2042" t="str">
        <f>"002513"</f>
        <v>002513</v>
      </c>
      <c r="C2042" t="s">
        <v>4409</v>
      </c>
      <c r="D2042" t="s">
        <v>636</v>
      </c>
      <c r="E2042">
        <v>4558700</v>
      </c>
      <c r="F2042">
        <v>16943744</v>
      </c>
      <c r="G2042">
        <v>-43166634</v>
      </c>
      <c r="H2042">
        <v>15528679</v>
      </c>
      <c r="I2042">
        <v>-129905405</v>
      </c>
      <c r="J2042">
        <v>-47969936</v>
      </c>
      <c r="K2042">
        <v>83738222</v>
      </c>
      <c r="L2042">
        <v>9454474</v>
      </c>
      <c r="M2042">
        <v>26313685</v>
      </c>
      <c r="N2042">
        <v>59952394</v>
      </c>
      <c r="O2042">
        <v>16433840</v>
      </c>
      <c r="P2042">
        <v>46</v>
      </c>
      <c r="Q2042" t="s">
        <v>4410</v>
      </c>
    </row>
    <row r="2043" spans="1:17" x14ac:dyDescent="0.3">
      <c r="A2043" t="s">
        <v>17</v>
      </c>
      <c r="B2043" t="str">
        <f>"603701"</f>
        <v>603701</v>
      </c>
      <c r="C2043" t="s">
        <v>4411</v>
      </c>
      <c r="D2043" t="s">
        <v>858</v>
      </c>
      <c r="E2043">
        <v>4547875</v>
      </c>
      <c r="F2043">
        <v>-5524333</v>
      </c>
      <c r="G2043">
        <v>6180056</v>
      </c>
      <c r="H2043">
        <v>5390820</v>
      </c>
      <c r="I2043">
        <v>6194132</v>
      </c>
      <c r="J2043">
        <v>6520640</v>
      </c>
      <c r="K2043">
        <v>3859169</v>
      </c>
      <c r="L2043">
        <v>1205530</v>
      </c>
      <c r="P2043">
        <v>93</v>
      </c>
      <c r="Q2043" t="s">
        <v>4412</v>
      </c>
    </row>
    <row r="2044" spans="1:17" x14ac:dyDescent="0.3">
      <c r="A2044" t="s">
        <v>33</v>
      </c>
      <c r="B2044" t="str">
        <f>"002828"</f>
        <v>002828</v>
      </c>
      <c r="C2044" t="s">
        <v>4413</v>
      </c>
      <c r="D2044" t="s">
        <v>348</v>
      </c>
      <c r="E2044">
        <v>4508524</v>
      </c>
      <c r="F2044">
        <v>36167355</v>
      </c>
      <c r="G2044">
        <v>33721868</v>
      </c>
      <c r="H2044">
        <v>-48175626</v>
      </c>
      <c r="I2044">
        <v>-53334179</v>
      </c>
      <c r="J2044">
        <v>45032056</v>
      </c>
      <c r="K2044">
        <v>12515517</v>
      </c>
      <c r="P2044">
        <v>73</v>
      </c>
      <c r="Q2044" t="s">
        <v>4414</v>
      </c>
    </row>
    <row r="2045" spans="1:17" x14ac:dyDescent="0.3">
      <c r="A2045" t="s">
        <v>17</v>
      </c>
      <c r="B2045" t="str">
        <f>"688337"</f>
        <v>688337</v>
      </c>
      <c r="C2045" t="s">
        <v>4415</v>
      </c>
      <c r="E2045">
        <v>4474197</v>
      </c>
      <c r="P2045">
        <v>3</v>
      </c>
      <c r="Q2045" t="s">
        <v>4416</v>
      </c>
    </row>
    <row r="2046" spans="1:17" x14ac:dyDescent="0.3">
      <c r="A2046" t="s">
        <v>17</v>
      </c>
      <c r="B2046" t="str">
        <f>"688366"</f>
        <v>688366</v>
      </c>
      <c r="C2046" t="s">
        <v>4417</v>
      </c>
      <c r="D2046" t="s">
        <v>903</v>
      </c>
      <c r="E2046">
        <v>4470962</v>
      </c>
      <c r="F2046">
        <v>15609445</v>
      </c>
      <c r="G2046">
        <v>-54461824</v>
      </c>
      <c r="H2046">
        <v>4031300</v>
      </c>
      <c r="I2046">
        <v>10102300</v>
      </c>
      <c r="P2046">
        <v>265</v>
      </c>
      <c r="Q2046" t="s">
        <v>4418</v>
      </c>
    </row>
    <row r="2047" spans="1:17" x14ac:dyDescent="0.3">
      <c r="A2047" t="s">
        <v>17</v>
      </c>
      <c r="B2047" t="str">
        <f>"603978"</f>
        <v>603978</v>
      </c>
      <c r="C2047" t="s">
        <v>4419</v>
      </c>
      <c r="D2047" t="s">
        <v>2576</v>
      </c>
      <c r="E2047">
        <v>4449522</v>
      </c>
      <c r="F2047">
        <v>-65775368</v>
      </c>
      <c r="G2047">
        <v>3864570</v>
      </c>
      <c r="H2047">
        <v>7146007</v>
      </c>
      <c r="I2047">
        <v>24739193</v>
      </c>
      <c r="J2047">
        <v>-15252002</v>
      </c>
      <c r="K2047">
        <v>4649195</v>
      </c>
      <c r="P2047">
        <v>112</v>
      </c>
      <c r="Q2047" t="s">
        <v>4420</v>
      </c>
    </row>
    <row r="2048" spans="1:17" x14ac:dyDescent="0.3">
      <c r="A2048" t="s">
        <v>33</v>
      </c>
      <c r="B2048" t="str">
        <f>"300289"</f>
        <v>300289</v>
      </c>
      <c r="C2048" t="s">
        <v>4421</v>
      </c>
      <c r="D2048" t="s">
        <v>221</v>
      </c>
      <c r="E2048">
        <v>4331880</v>
      </c>
      <c r="F2048">
        <v>15336178</v>
      </c>
      <c r="G2048">
        <v>-8407422</v>
      </c>
      <c r="H2048">
        <v>42973492</v>
      </c>
      <c r="I2048">
        <v>-12820153</v>
      </c>
      <c r="J2048">
        <v>-4050250</v>
      </c>
      <c r="K2048">
        <v>4627742</v>
      </c>
      <c r="L2048">
        <v>47315768</v>
      </c>
      <c r="M2048">
        <v>-4426340</v>
      </c>
      <c r="N2048">
        <v>2417242</v>
      </c>
      <c r="O2048">
        <v>18283362</v>
      </c>
      <c r="P2048">
        <v>132</v>
      </c>
      <c r="Q2048" t="s">
        <v>4422</v>
      </c>
    </row>
    <row r="2049" spans="1:17" x14ac:dyDescent="0.3">
      <c r="A2049" t="s">
        <v>33</v>
      </c>
      <c r="B2049" t="str">
        <f>"300110"</f>
        <v>300110</v>
      </c>
      <c r="C2049" t="s">
        <v>4423</v>
      </c>
      <c r="D2049" t="s">
        <v>590</v>
      </c>
      <c r="E2049">
        <v>4303756</v>
      </c>
      <c r="F2049">
        <v>-552463544</v>
      </c>
      <c r="G2049">
        <v>77119506</v>
      </c>
      <c r="H2049">
        <v>26204945</v>
      </c>
      <c r="I2049">
        <v>46964978</v>
      </c>
      <c r="J2049">
        <v>21143755</v>
      </c>
      <c r="K2049">
        <v>8451576</v>
      </c>
      <c r="L2049">
        <v>4693661</v>
      </c>
      <c r="M2049">
        <v>8669228</v>
      </c>
      <c r="N2049">
        <v>29146400</v>
      </c>
      <c r="O2049">
        <v>12503310</v>
      </c>
      <c r="P2049">
        <v>126</v>
      </c>
      <c r="Q2049" t="s">
        <v>4424</v>
      </c>
    </row>
    <row r="2050" spans="1:17" x14ac:dyDescent="0.3">
      <c r="A2050" t="s">
        <v>17</v>
      </c>
      <c r="B2050" t="str">
        <f>"688565"</f>
        <v>688565</v>
      </c>
      <c r="C2050" t="s">
        <v>4425</v>
      </c>
      <c r="D2050" t="s">
        <v>932</v>
      </c>
      <c r="E2050">
        <v>4245513</v>
      </c>
      <c r="F2050">
        <v>-26087910</v>
      </c>
      <c r="G2050">
        <v>-18141942</v>
      </c>
      <c r="P2050">
        <v>38</v>
      </c>
      <c r="Q2050" t="s">
        <v>4426</v>
      </c>
    </row>
    <row r="2051" spans="1:17" x14ac:dyDescent="0.3">
      <c r="A2051" t="s">
        <v>17</v>
      </c>
      <c r="B2051" t="str">
        <f>"603899"</f>
        <v>603899</v>
      </c>
      <c r="C2051" t="s">
        <v>4427</v>
      </c>
      <c r="D2051" t="s">
        <v>4176</v>
      </c>
      <c r="E2051">
        <v>4182133</v>
      </c>
      <c r="F2051">
        <v>164242626</v>
      </c>
      <c r="G2051">
        <v>-258692212</v>
      </c>
      <c r="H2051">
        <v>99550085</v>
      </c>
      <c r="I2051">
        <v>-37064293</v>
      </c>
      <c r="J2051">
        <v>130629851</v>
      </c>
      <c r="K2051">
        <v>143770305</v>
      </c>
      <c r="L2051">
        <v>181373351</v>
      </c>
      <c r="M2051">
        <v>186207361</v>
      </c>
      <c r="P2051">
        <v>25827</v>
      </c>
      <c r="Q2051" t="s">
        <v>4428</v>
      </c>
    </row>
    <row r="2052" spans="1:17" x14ac:dyDescent="0.3">
      <c r="A2052" t="s">
        <v>33</v>
      </c>
      <c r="B2052" t="str">
        <f>"002002"</f>
        <v>002002</v>
      </c>
      <c r="C2052" t="s">
        <v>4429</v>
      </c>
      <c r="D2052" t="s">
        <v>496</v>
      </c>
      <c r="E2052">
        <v>4130478</v>
      </c>
      <c r="F2052">
        <v>3874490</v>
      </c>
      <c r="G2052">
        <v>-776280575</v>
      </c>
      <c r="H2052">
        <v>662998778</v>
      </c>
      <c r="I2052">
        <v>35744306</v>
      </c>
      <c r="J2052">
        <v>34107001</v>
      </c>
      <c r="K2052">
        <v>277720707</v>
      </c>
      <c r="L2052">
        <v>-17407176</v>
      </c>
      <c r="M2052">
        <v>-69670599</v>
      </c>
      <c r="N2052">
        <v>1395930</v>
      </c>
      <c r="O2052">
        <v>3803518</v>
      </c>
      <c r="P2052">
        <v>451</v>
      </c>
      <c r="Q2052" t="s">
        <v>4430</v>
      </c>
    </row>
    <row r="2053" spans="1:17" x14ac:dyDescent="0.3">
      <c r="A2053" t="s">
        <v>33</v>
      </c>
      <c r="B2053" t="str">
        <f>"002699"</f>
        <v>002699</v>
      </c>
      <c r="C2053" t="s">
        <v>4431</v>
      </c>
      <c r="D2053" t="s">
        <v>314</v>
      </c>
      <c r="E2053">
        <v>4082111</v>
      </c>
      <c r="F2053">
        <v>-28192466</v>
      </c>
      <c r="G2053">
        <v>16586737</v>
      </c>
      <c r="H2053">
        <v>-32100404</v>
      </c>
      <c r="I2053">
        <v>-57451497</v>
      </c>
      <c r="J2053">
        <v>35231206</v>
      </c>
      <c r="K2053">
        <v>-47799280</v>
      </c>
      <c r="L2053">
        <v>4824340</v>
      </c>
      <c r="M2053">
        <v>-28320009</v>
      </c>
      <c r="N2053">
        <v>-8456296</v>
      </c>
      <c r="O2053">
        <v>3512435</v>
      </c>
      <c r="P2053">
        <v>157</v>
      </c>
      <c r="Q2053" t="s">
        <v>4432</v>
      </c>
    </row>
    <row r="2054" spans="1:17" x14ac:dyDescent="0.3">
      <c r="A2054" t="s">
        <v>17</v>
      </c>
      <c r="B2054" t="str">
        <f>"600865"</f>
        <v>600865</v>
      </c>
      <c r="C2054" t="s">
        <v>4433</v>
      </c>
      <c r="D2054" t="s">
        <v>989</v>
      </c>
      <c r="E2054">
        <v>4077753</v>
      </c>
      <c r="F2054">
        <v>7771418</v>
      </c>
      <c r="G2054">
        <v>-37400650</v>
      </c>
      <c r="H2054">
        <v>-217522</v>
      </c>
      <c r="I2054">
        <v>-51868111</v>
      </c>
      <c r="J2054">
        <v>-54839223</v>
      </c>
      <c r="K2054">
        <v>-25418763</v>
      </c>
      <c r="L2054">
        <v>-56144677</v>
      </c>
      <c r="M2054">
        <v>-47986248</v>
      </c>
      <c r="N2054">
        <v>76727231</v>
      </c>
      <c r="O2054">
        <v>-48538672</v>
      </c>
      <c r="P2054">
        <v>123</v>
      </c>
      <c r="Q2054" t="s">
        <v>4434</v>
      </c>
    </row>
    <row r="2055" spans="1:17" x14ac:dyDescent="0.3">
      <c r="A2055" t="s">
        <v>17</v>
      </c>
      <c r="B2055" t="str">
        <f>"688656"</f>
        <v>688656</v>
      </c>
      <c r="C2055" t="s">
        <v>4435</v>
      </c>
      <c r="D2055" t="s">
        <v>221</v>
      </c>
      <c r="E2055">
        <v>4038411</v>
      </c>
      <c r="F2055">
        <v>7445872</v>
      </c>
      <c r="G2055">
        <v>-10450770</v>
      </c>
      <c r="H2055">
        <v>5951200</v>
      </c>
      <c r="P2055">
        <v>59</v>
      </c>
      <c r="Q2055" t="s">
        <v>4436</v>
      </c>
    </row>
    <row r="2056" spans="1:17" x14ac:dyDescent="0.3">
      <c r="A2056" t="s">
        <v>17</v>
      </c>
      <c r="B2056" t="str">
        <f>"688269"</f>
        <v>688269</v>
      </c>
      <c r="C2056" t="s">
        <v>4437</v>
      </c>
      <c r="D2056" t="s">
        <v>2576</v>
      </c>
      <c r="E2056">
        <v>4026322</v>
      </c>
      <c r="F2056">
        <v>-139647228</v>
      </c>
      <c r="G2056">
        <v>-45787250</v>
      </c>
      <c r="P2056">
        <v>58</v>
      </c>
      <c r="Q2056" t="s">
        <v>4438</v>
      </c>
    </row>
    <row r="2057" spans="1:17" x14ac:dyDescent="0.3">
      <c r="A2057" t="s">
        <v>17</v>
      </c>
      <c r="B2057" t="str">
        <f>"688230"</f>
        <v>688230</v>
      </c>
      <c r="C2057" t="s">
        <v>4439</v>
      </c>
      <c r="D2057" t="s">
        <v>1274</v>
      </c>
      <c r="E2057">
        <v>4006021</v>
      </c>
      <c r="P2057">
        <v>24</v>
      </c>
      <c r="Q2057" t="s">
        <v>4440</v>
      </c>
    </row>
    <row r="2058" spans="1:17" x14ac:dyDescent="0.3">
      <c r="A2058" t="s">
        <v>17</v>
      </c>
      <c r="B2058" t="str">
        <f>"601500"</f>
        <v>601500</v>
      </c>
      <c r="C2058" t="s">
        <v>4441</v>
      </c>
      <c r="D2058" t="s">
        <v>1618</v>
      </c>
      <c r="E2058">
        <v>3969256</v>
      </c>
      <c r="F2058">
        <v>67917959</v>
      </c>
      <c r="G2058">
        <v>7869769</v>
      </c>
      <c r="H2058">
        <v>121099198</v>
      </c>
      <c r="I2058">
        <v>-135041427</v>
      </c>
      <c r="J2058">
        <v>9353488</v>
      </c>
      <c r="K2058">
        <v>292717258</v>
      </c>
      <c r="P2058">
        <v>85</v>
      </c>
      <c r="Q2058" t="s">
        <v>4442</v>
      </c>
    </row>
    <row r="2059" spans="1:17" x14ac:dyDescent="0.3">
      <c r="A2059" t="s">
        <v>17</v>
      </c>
      <c r="B2059" t="str">
        <f>"600831"</f>
        <v>600831</v>
      </c>
      <c r="C2059" t="s">
        <v>4443</v>
      </c>
      <c r="D2059" t="s">
        <v>1074</v>
      </c>
      <c r="E2059">
        <v>3930757</v>
      </c>
      <c r="F2059">
        <v>7119873</v>
      </c>
      <c r="G2059">
        <v>-21452961</v>
      </c>
      <c r="H2059">
        <v>-34732713</v>
      </c>
      <c r="I2059">
        <v>-69628425</v>
      </c>
      <c r="J2059">
        <v>184905524</v>
      </c>
      <c r="K2059">
        <v>57417998</v>
      </c>
      <c r="L2059">
        <v>30842121</v>
      </c>
      <c r="M2059">
        <v>109454697</v>
      </c>
      <c r="N2059">
        <v>146969374</v>
      </c>
      <c r="O2059">
        <v>150715338</v>
      </c>
      <c r="P2059">
        <v>199</v>
      </c>
      <c r="Q2059" t="s">
        <v>4444</v>
      </c>
    </row>
    <row r="2060" spans="1:17" x14ac:dyDescent="0.3">
      <c r="A2060" t="s">
        <v>17</v>
      </c>
      <c r="B2060" t="str">
        <f>"603655"</f>
        <v>603655</v>
      </c>
      <c r="C2060" t="s">
        <v>4445</v>
      </c>
      <c r="D2060" t="s">
        <v>1419</v>
      </c>
      <c r="E2060">
        <v>3923557</v>
      </c>
      <c r="F2060">
        <v>4934937</v>
      </c>
      <c r="G2060">
        <v>2057870</v>
      </c>
      <c r="H2060">
        <v>11001875</v>
      </c>
      <c r="I2060">
        <v>10206937</v>
      </c>
      <c r="J2060">
        <v>618179</v>
      </c>
      <c r="P2060">
        <v>88</v>
      </c>
      <c r="Q2060" t="s">
        <v>4446</v>
      </c>
    </row>
    <row r="2061" spans="1:17" x14ac:dyDescent="0.3">
      <c r="A2061" t="s">
        <v>17</v>
      </c>
      <c r="B2061" t="str">
        <f>"603297"</f>
        <v>603297</v>
      </c>
      <c r="C2061" t="s">
        <v>4447</v>
      </c>
      <c r="D2061" t="s">
        <v>2017</v>
      </c>
      <c r="E2061">
        <v>3917723</v>
      </c>
      <c r="F2061">
        <v>23789136</v>
      </c>
      <c r="G2061">
        <v>21569824</v>
      </c>
      <c r="H2061">
        <v>10738319</v>
      </c>
      <c r="I2061">
        <v>5731872</v>
      </c>
      <c r="P2061">
        <v>238</v>
      </c>
      <c r="Q2061" t="s">
        <v>4448</v>
      </c>
    </row>
    <row r="2062" spans="1:17" x14ac:dyDescent="0.3">
      <c r="A2062" t="s">
        <v>33</v>
      </c>
      <c r="B2062" t="str">
        <f>"000613"</f>
        <v>000613</v>
      </c>
      <c r="C2062" t="s">
        <v>4449</v>
      </c>
      <c r="D2062" t="s">
        <v>2043</v>
      </c>
      <c r="E2062">
        <v>3913681</v>
      </c>
      <c r="F2062">
        <v>5054131</v>
      </c>
      <c r="G2062">
        <v>-1481073</v>
      </c>
      <c r="H2062">
        <v>1436501</v>
      </c>
      <c r="I2062">
        <v>2610753</v>
      </c>
      <c r="J2062">
        <v>2609325</v>
      </c>
      <c r="K2062">
        <v>3015765</v>
      </c>
      <c r="L2062">
        <v>953736</v>
      </c>
      <c r="M2062">
        <v>2621044</v>
      </c>
      <c r="N2062">
        <v>4471475</v>
      </c>
      <c r="O2062">
        <v>204220</v>
      </c>
      <c r="P2062">
        <v>100</v>
      </c>
      <c r="Q2062" t="s">
        <v>4450</v>
      </c>
    </row>
    <row r="2063" spans="1:17" x14ac:dyDescent="0.3">
      <c r="A2063" t="s">
        <v>17</v>
      </c>
      <c r="B2063" t="str">
        <f>"605055"</f>
        <v>605055</v>
      </c>
      <c r="C2063" t="s">
        <v>4451</v>
      </c>
      <c r="D2063" t="s">
        <v>1849</v>
      </c>
      <c r="E2063">
        <v>3887967</v>
      </c>
      <c r="F2063">
        <v>9449023</v>
      </c>
      <c r="G2063">
        <v>-10625062</v>
      </c>
      <c r="P2063">
        <v>38</v>
      </c>
      <c r="Q2063" t="s">
        <v>4452</v>
      </c>
    </row>
    <row r="2064" spans="1:17" x14ac:dyDescent="0.3">
      <c r="A2064" t="s">
        <v>33</v>
      </c>
      <c r="B2064" t="str">
        <f>"000504"</f>
        <v>000504</v>
      </c>
      <c r="C2064" t="s">
        <v>4453</v>
      </c>
      <c r="D2064" t="s">
        <v>4454</v>
      </c>
      <c r="E2064">
        <v>3820150</v>
      </c>
      <c r="F2064">
        <v>4984040</v>
      </c>
      <c r="G2064">
        <v>-1732165</v>
      </c>
      <c r="H2064">
        <v>-8628982</v>
      </c>
      <c r="I2064">
        <v>-13934063</v>
      </c>
      <c r="J2064">
        <v>-3973112</v>
      </c>
      <c r="K2064">
        <v>-4351328</v>
      </c>
      <c r="L2064">
        <v>-5110765</v>
      </c>
      <c r="M2064">
        <v>-10569560</v>
      </c>
      <c r="N2064">
        <v>-1818541</v>
      </c>
      <c r="O2064">
        <v>-3253772</v>
      </c>
      <c r="P2064">
        <v>85</v>
      </c>
      <c r="Q2064" t="s">
        <v>4455</v>
      </c>
    </row>
    <row r="2065" spans="1:17" x14ac:dyDescent="0.3">
      <c r="A2065" t="s">
        <v>17</v>
      </c>
      <c r="B2065" t="str">
        <f>"688167"</f>
        <v>688167</v>
      </c>
      <c r="C2065" t="s">
        <v>4456</v>
      </c>
      <c r="D2065" t="s">
        <v>3169</v>
      </c>
      <c r="E2065">
        <v>3781149</v>
      </c>
      <c r="P2065">
        <v>32</v>
      </c>
      <c r="Q2065" t="s">
        <v>4457</v>
      </c>
    </row>
    <row r="2066" spans="1:17" x14ac:dyDescent="0.3">
      <c r="A2066" t="s">
        <v>33</v>
      </c>
      <c r="B2066" t="str">
        <f>"002583"</f>
        <v>002583</v>
      </c>
      <c r="C2066" t="s">
        <v>4458</v>
      </c>
      <c r="D2066" t="s">
        <v>461</v>
      </c>
      <c r="E2066">
        <v>3775744</v>
      </c>
      <c r="F2066">
        <v>64971648</v>
      </c>
      <c r="G2066">
        <v>87505889</v>
      </c>
      <c r="H2066">
        <v>308972835</v>
      </c>
      <c r="I2066">
        <v>-415071640</v>
      </c>
      <c r="J2066">
        <v>-427222553</v>
      </c>
      <c r="K2066">
        <v>-364513697</v>
      </c>
      <c r="L2066">
        <v>-181556080</v>
      </c>
      <c r="M2066">
        <v>-121765126</v>
      </c>
      <c r="N2066">
        <v>-130366962</v>
      </c>
      <c r="O2066">
        <v>-79654653</v>
      </c>
      <c r="P2066">
        <v>397</v>
      </c>
      <c r="Q2066" t="s">
        <v>4459</v>
      </c>
    </row>
    <row r="2067" spans="1:17" x14ac:dyDescent="0.3">
      <c r="A2067" t="s">
        <v>17</v>
      </c>
      <c r="B2067" t="str">
        <f>"600560"</f>
        <v>600560</v>
      </c>
      <c r="C2067" t="s">
        <v>4460</v>
      </c>
      <c r="D2067" t="s">
        <v>1132</v>
      </c>
      <c r="E2067">
        <v>3755111</v>
      </c>
      <c r="F2067">
        <v>58377762</v>
      </c>
      <c r="G2067">
        <v>12553191</v>
      </c>
      <c r="H2067">
        <v>-19060842</v>
      </c>
      <c r="I2067">
        <v>2848338</v>
      </c>
      <c r="J2067">
        <v>-32547191</v>
      </c>
      <c r="K2067">
        <v>-49935815</v>
      </c>
      <c r="L2067">
        <v>19454319</v>
      </c>
      <c r="M2067">
        <v>-27125123</v>
      </c>
      <c r="N2067">
        <v>201224415</v>
      </c>
      <c r="O2067">
        <v>76060973</v>
      </c>
      <c r="P2067">
        <v>78</v>
      </c>
      <c r="Q2067" t="s">
        <v>4461</v>
      </c>
    </row>
    <row r="2068" spans="1:17" x14ac:dyDescent="0.3">
      <c r="A2068" t="s">
        <v>33</v>
      </c>
      <c r="B2068" t="str">
        <f>"300449"</f>
        <v>300449</v>
      </c>
      <c r="C2068" t="s">
        <v>4462</v>
      </c>
      <c r="D2068" t="s">
        <v>2597</v>
      </c>
      <c r="E2068">
        <v>3754387</v>
      </c>
      <c r="F2068">
        <v>-10065461</v>
      </c>
      <c r="G2068">
        <v>-24589855</v>
      </c>
      <c r="H2068">
        <v>-87889481</v>
      </c>
      <c r="I2068">
        <v>-69754581</v>
      </c>
      <c r="J2068">
        <v>-117391192</v>
      </c>
      <c r="K2068">
        <v>-97925604</v>
      </c>
      <c r="L2068">
        <v>-189127362</v>
      </c>
      <c r="M2068">
        <v>-191008337</v>
      </c>
      <c r="P2068">
        <v>85</v>
      </c>
      <c r="Q2068" t="s">
        <v>4463</v>
      </c>
    </row>
    <row r="2069" spans="1:17" x14ac:dyDescent="0.3">
      <c r="A2069" t="s">
        <v>33</v>
      </c>
      <c r="B2069" t="str">
        <f>"002873"</f>
        <v>002873</v>
      </c>
      <c r="C2069" t="s">
        <v>4464</v>
      </c>
      <c r="D2069" t="s">
        <v>533</v>
      </c>
      <c r="E2069">
        <v>3695742</v>
      </c>
      <c r="F2069">
        <v>16766678</v>
      </c>
      <c r="G2069">
        <v>35411350</v>
      </c>
      <c r="H2069">
        <v>30027733</v>
      </c>
      <c r="I2069">
        <v>1341814</v>
      </c>
      <c r="J2069">
        <v>25232574</v>
      </c>
      <c r="K2069">
        <v>11751289</v>
      </c>
      <c r="P2069">
        <v>166</v>
      </c>
      <c r="Q2069" t="s">
        <v>4465</v>
      </c>
    </row>
    <row r="2070" spans="1:17" x14ac:dyDescent="0.3">
      <c r="A2070" t="s">
        <v>17</v>
      </c>
      <c r="B2070" t="str">
        <f>"600108"</f>
        <v>600108</v>
      </c>
      <c r="C2070" t="s">
        <v>4466</v>
      </c>
      <c r="D2070" t="s">
        <v>1886</v>
      </c>
      <c r="E2070">
        <v>3649353</v>
      </c>
      <c r="F2070">
        <v>13466284</v>
      </c>
      <c r="G2070">
        <v>-113141438</v>
      </c>
      <c r="H2070">
        <v>10398087</v>
      </c>
      <c r="I2070">
        <v>-36032070</v>
      </c>
      <c r="J2070">
        <v>6450522</v>
      </c>
      <c r="K2070">
        <v>33207631</v>
      </c>
      <c r="L2070">
        <v>20639661</v>
      </c>
      <c r="M2070">
        <v>131791716</v>
      </c>
      <c r="N2070">
        <v>54425626</v>
      </c>
      <c r="O2070">
        <v>3606182</v>
      </c>
      <c r="P2070">
        <v>120</v>
      </c>
      <c r="Q2070" t="s">
        <v>4467</v>
      </c>
    </row>
    <row r="2071" spans="1:17" x14ac:dyDescent="0.3">
      <c r="A2071" t="s">
        <v>17</v>
      </c>
      <c r="B2071" t="str">
        <f>"603098"</f>
        <v>603098</v>
      </c>
      <c r="C2071" t="s">
        <v>4468</v>
      </c>
      <c r="D2071" t="s">
        <v>2307</v>
      </c>
      <c r="E2071">
        <v>3554741</v>
      </c>
      <c r="F2071">
        <v>-126218159</v>
      </c>
      <c r="G2071">
        <v>-119735505</v>
      </c>
      <c r="H2071">
        <v>-82268621</v>
      </c>
      <c r="I2071">
        <v>-81615969</v>
      </c>
      <c r="J2071">
        <v>14858646</v>
      </c>
      <c r="K2071">
        <v>78350432</v>
      </c>
      <c r="P2071">
        <v>158</v>
      </c>
      <c r="Q2071" t="s">
        <v>4469</v>
      </c>
    </row>
    <row r="2072" spans="1:17" x14ac:dyDescent="0.3">
      <c r="A2072" t="s">
        <v>33</v>
      </c>
      <c r="B2072" t="str">
        <f>"000908"</f>
        <v>000908</v>
      </c>
      <c r="C2072" t="s">
        <v>4470</v>
      </c>
      <c r="D2072" t="s">
        <v>590</v>
      </c>
      <c r="E2072">
        <v>3446754</v>
      </c>
      <c r="F2072">
        <v>122196127</v>
      </c>
      <c r="G2072">
        <v>-81875651</v>
      </c>
      <c r="H2072">
        <v>-106845603</v>
      </c>
      <c r="I2072">
        <v>107677381</v>
      </c>
      <c r="J2072">
        <v>-298422480</v>
      </c>
      <c r="K2072">
        <v>-130284756</v>
      </c>
      <c r="L2072">
        <v>56553471</v>
      </c>
      <c r="M2072">
        <v>-9296129</v>
      </c>
      <c r="N2072">
        <v>1375536</v>
      </c>
      <c r="O2072">
        <v>-5568371</v>
      </c>
      <c r="P2072">
        <v>186</v>
      </c>
      <c r="Q2072" t="s">
        <v>4471</v>
      </c>
    </row>
    <row r="2073" spans="1:17" x14ac:dyDescent="0.3">
      <c r="A2073" t="s">
        <v>33</v>
      </c>
      <c r="B2073" t="str">
        <f>"002796"</f>
        <v>002796</v>
      </c>
      <c r="C2073" t="s">
        <v>4472</v>
      </c>
      <c r="D2073" t="s">
        <v>2528</v>
      </c>
      <c r="E2073">
        <v>3386877</v>
      </c>
      <c r="F2073">
        <v>99348469</v>
      </c>
      <c r="G2073">
        <v>-81719841</v>
      </c>
      <c r="H2073">
        <v>66883735</v>
      </c>
      <c r="I2073">
        <v>-48209968</v>
      </c>
      <c r="J2073">
        <v>-3158885</v>
      </c>
      <c r="K2073">
        <v>-1183328</v>
      </c>
      <c r="L2073">
        <v>3350499</v>
      </c>
      <c r="P2073">
        <v>248</v>
      </c>
      <c r="Q2073" t="s">
        <v>4473</v>
      </c>
    </row>
    <row r="2074" spans="1:17" x14ac:dyDescent="0.3">
      <c r="A2074" t="s">
        <v>33</v>
      </c>
      <c r="B2074" t="str">
        <f>"002762"</f>
        <v>002762</v>
      </c>
      <c r="C2074" t="s">
        <v>4474</v>
      </c>
      <c r="D2074" t="s">
        <v>581</v>
      </c>
      <c r="E2074">
        <v>3372187</v>
      </c>
      <c r="F2074">
        <v>3800228</v>
      </c>
      <c r="G2074">
        <v>-6459106</v>
      </c>
      <c r="H2074">
        <v>14268040</v>
      </c>
      <c r="I2074">
        <v>6274283</v>
      </c>
      <c r="J2074">
        <v>22158335</v>
      </c>
      <c r="K2074">
        <v>-2200051</v>
      </c>
      <c r="L2074">
        <v>23028100</v>
      </c>
      <c r="M2074">
        <v>111204200</v>
      </c>
      <c r="P2074">
        <v>128</v>
      </c>
      <c r="Q2074" t="s">
        <v>4475</v>
      </c>
    </row>
    <row r="2075" spans="1:17" x14ac:dyDescent="0.3">
      <c r="A2075" t="s">
        <v>17</v>
      </c>
      <c r="B2075" t="str">
        <f>"688621"</f>
        <v>688621</v>
      </c>
      <c r="C2075" t="s">
        <v>4476</v>
      </c>
      <c r="D2075" t="s">
        <v>846</v>
      </c>
      <c r="E2075">
        <v>3346533</v>
      </c>
      <c r="F2075">
        <v>5721708</v>
      </c>
      <c r="G2075">
        <v>17955587</v>
      </c>
      <c r="P2075">
        <v>63</v>
      </c>
      <c r="Q2075" t="s">
        <v>4477</v>
      </c>
    </row>
    <row r="2076" spans="1:17" x14ac:dyDescent="0.3">
      <c r="A2076" t="s">
        <v>33</v>
      </c>
      <c r="B2076" t="str">
        <f>"002576"</f>
        <v>002576</v>
      </c>
      <c r="C2076" t="s">
        <v>4478</v>
      </c>
      <c r="D2076" t="s">
        <v>1091</v>
      </c>
      <c r="E2076">
        <v>3325839</v>
      </c>
      <c r="F2076">
        <v>5124420</v>
      </c>
      <c r="G2076">
        <v>6632731</v>
      </c>
      <c r="H2076">
        <v>37702675</v>
      </c>
      <c r="I2076">
        <v>62095787</v>
      </c>
      <c r="J2076">
        <v>-9623233</v>
      </c>
      <c r="K2076">
        <v>-13958068</v>
      </c>
      <c r="L2076">
        <v>24173861</v>
      </c>
      <c r="M2076">
        <v>-14333236</v>
      </c>
      <c r="N2076">
        <v>1991439</v>
      </c>
      <c r="O2076">
        <v>9927188</v>
      </c>
      <c r="P2076">
        <v>123</v>
      </c>
      <c r="Q2076" t="s">
        <v>4479</v>
      </c>
    </row>
    <row r="2077" spans="1:17" x14ac:dyDescent="0.3">
      <c r="A2077" t="s">
        <v>33</v>
      </c>
      <c r="B2077" t="str">
        <f>"000953"</f>
        <v>000953</v>
      </c>
      <c r="C2077" t="s">
        <v>4480</v>
      </c>
      <c r="D2077" t="s">
        <v>900</v>
      </c>
      <c r="E2077">
        <v>3253639</v>
      </c>
      <c r="F2077">
        <v>2363927</v>
      </c>
      <c r="G2077">
        <v>18019109</v>
      </c>
      <c r="H2077">
        <v>-4618045</v>
      </c>
      <c r="I2077">
        <v>-36385058</v>
      </c>
      <c r="J2077">
        <v>-88558096</v>
      </c>
      <c r="K2077">
        <v>-13270014</v>
      </c>
      <c r="L2077">
        <v>-50611522</v>
      </c>
      <c r="M2077">
        <v>-81272875</v>
      </c>
      <c r="N2077">
        <v>23285174</v>
      </c>
      <c r="O2077">
        <v>-36869438</v>
      </c>
      <c r="P2077">
        <v>90</v>
      </c>
      <c r="Q2077" t="s">
        <v>4481</v>
      </c>
    </row>
    <row r="2078" spans="1:17" x14ac:dyDescent="0.3">
      <c r="A2078" t="s">
        <v>33</v>
      </c>
      <c r="B2078" t="str">
        <f>"002054"</f>
        <v>002054</v>
      </c>
      <c r="C2078" t="s">
        <v>4482</v>
      </c>
      <c r="D2078" t="s">
        <v>735</v>
      </c>
      <c r="E2078">
        <v>3242610</v>
      </c>
      <c r="F2078">
        <v>15608945</v>
      </c>
      <c r="G2078">
        <v>9701938</v>
      </c>
      <c r="H2078">
        <v>3920880</v>
      </c>
      <c r="I2078">
        <v>-9242721</v>
      </c>
      <c r="J2078">
        <v>-35959940</v>
      </c>
      <c r="K2078">
        <v>-12890422</v>
      </c>
      <c r="L2078">
        <v>-10697833</v>
      </c>
      <c r="M2078">
        <v>382206</v>
      </c>
      <c r="N2078">
        <v>-2859959</v>
      </c>
      <c r="O2078">
        <v>54938622</v>
      </c>
      <c r="P2078">
        <v>110</v>
      </c>
      <c r="Q2078" t="s">
        <v>4483</v>
      </c>
    </row>
    <row r="2079" spans="1:17" x14ac:dyDescent="0.3">
      <c r="A2079" t="s">
        <v>33</v>
      </c>
      <c r="B2079" t="str">
        <f>"300288"</f>
        <v>300288</v>
      </c>
      <c r="C2079" t="s">
        <v>4484</v>
      </c>
      <c r="D2079" t="s">
        <v>508</v>
      </c>
      <c r="E2079">
        <v>3241332</v>
      </c>
      <c r="F2079">
        <v>15977580</v>
      </c>
      <c r="G2079">
        <v>9330316</v>
      </c>
      <c r="H2079">
        <v>29364135</v>
      </c>
      <c r="I2079">
        <v>13799510</v>
      </c>
      <c r="J2079">
        <v>15397956</v>
      </c>
      <c r="K2079">
        <v>-3925318</v>
      </c>
      <c r="L2079">
        <v>-9841495</v>
      </c>
      <c r="M2079">
        <v>-4219518</v>
      </c>
      <c r="N2079">
        <v>4278893</v>
      </c>
      <c r="O2079">
        <v>6675196</v>
      </c>
      <c r="P2079">
        <v>221</v>
      </c>
      <c r="Q2079" t="s">
        <v>4485</v>
      </c>
    </row>
    <row r="2080" spans="1:17" x14ac:dyDescent="0.3">
      <c r="A2080" t="s">
        <v>33</v>
      </c>
      <c r="B2080" t="str">
        <f>"002310"</f>
        <v>002310</v>
      </c>
      <c r="C2080" t="s">
        <v>4486</v>
      </c>
      <c r="D2080" t="s">
        <v>2330</v>
      </c>
      <c r="E2080">
        <v>3230033</v>
      </c>
      <c r="F2080">
        <v>47682190</v>
      </c>
      <c r="G2080">
        <v>-835388683</v>
      </c>
      <c r="H2080">
        <v>-264606359</v>
      </c>
      <c r="I2080">
        <v>304150358</v>
      </c>
      <c r="J2080">
        <v>26488430</v>
      </c>
      <c r="K2080">
        <v>28839319</v>
      </c>
      <c r="L2080">
        <v>-361914843</v>
      </c>
      <c r="M2080">
        <v>-178660854</v>
      </c>
      <c r="N2080">
        <v>-168645999</v>
      </c>
      <c r="O2080">
        <v>-383888990</v>
      </c>
      <c r="P2080">
        <v>1194</v>
      </c>
      <c r="Q2080" t="s">
        <v>4487</v>
      </c>
    </row>
    <row r="2081" spans="1:17" x14ac:dyDescent="0.3">
      <c r="A2081" t="s">
        <v>33</v>
      </c>
      <c r="B2081" t="str">
        <f>"002766"</f>
        <v>002766</v>
      </c>
      <c r="C2081" t="s">
        <v>4488</v>
      </c>
      <c r="D2081" t="s">
        <v>603</v>
      </c>
      <c r="E2081">
        <v>3224050</v>
      </c>
      <c r="F2081">
        <v>-13916661</v>
      </c>
      <c r="G2081">
        <v>22409100</v>
      </c>
      <c r="H2081">
        <v>10372708</v>
      </c>
      <c r="I2081">
        <v>-148471129</v>
      </c>
      <c r="J2081">
        <v>-60955749</v>
      </c>
      <c r="K2081">
        <v>-71965368</v>
      </c>
      <c r="L2081">
        <v>38944839</v>
      </c>
      <c r="M2081">
        <v>-3648307</v>
      </c>
      <c r="P2081">
        <v>85</v>
      </c>
      <c r="Q2081" t="s">
        <v>4489</v>
      </c>
    </row>
    <row r="2082" spans="1:17" x14ac:dyDescent="0.3">
      <c r="A2082" t="s">
        <v>17</v>
      </c>
      <c r="B2082" t="str">
        <f>"688338"</f>
        <v>688338</v>
      </c>
      <c r="C2082" t="s">
        <v>4490</v>
      </c>
      <c r="D2082" t="s">
        <v>221</v>
      </c>
      <c r="E2082">
        <v>3134398</v>
      </c>
      <c r="F2082">
        <v>6453319</v>
      </c>
      <c r="G2082">
        <v>-10916200</v>
      </c>
      <c r="H2082">
        <v>2360900</v>
      </c>
      <c r="P2082">
        <v>56</v>
      </c>
      <c r="Q2082" t="s">
        <v>4491</v>
      </c>
    </row>
    <row r="2083" spans="1:17" x14ac:dyDescent="0.3">
      <c r="A2083" t="s">
        <v>17</v>
      </c>
      <c r="B2083" t="str">
        <f>"603987"</f>
        <v>603987</v>
      </c>
      <c r="C2083" t="s">
        <v>4492</v>
      </c>
      <c r="D2083" t="s">
        <v>903</v>
      </c>
      <c r="E2083">
        <v>3112482</v>
      </c>
      <c r="F2083">
        <v>-53197511</v>
      </c>
      <c r="G2083">
        <v>-11824603</v>
      </c>
      <c r="H2083">
        <v>40913986</v>
      </c>
      <c r="I2083">
        <v>16330193</v>
      </c>
      <c r="J2083">
        <v>39919886</v>
      </c>
      <c r="K2083">
        <v>42499651</v>
      </c>
      <c r="P2083">
        <v>266</v>
      </c>
      <c r="Q2083" t="s">
        <v>4493</v>
      </c>
    </row>
    <row r="2084" spans="1:17" x14ac:dyDescent="0.3">
      <c r="A2084" t="s">
        <v>33</v>
      </c>
      <c r="B2084" t="str">
        <f>"001317"</f>
        <v>001317</v>
      </c>
      <c r="C2084" t="s">
        <v>4494</v>
      </c>
      <c r="D2084" t="s">
        <v>403</v>
      </c>
      <c r="E2084">
        <v>3069699</v>
      </c>
      <c r="P2084">
        <v>23</v>
      </c>
      <c r="Q2084" t="s">
        <v>4495</v>
      </c>
    </row>
    <row r="2085" spans="1:17" x14ac:dyDescent="0.3">
      <c r="A2085" t="s">
        <v>17</v>
      </c>
      <c r="B2085" t="str">
        <f>"688217"</f>
        <v>688217</v>
      </c>
      <c r="C2085" t="s">
        <v>4496</v>
      </c>
      <c r="D2085" t="s">
        <v>221</v>
      </c>
      <c r="E2085">
        <v>2920801</v>
      </c>
      <c r="F2085">
        <v>20263908</v>
      </c>
      <c r="G2085">
        <v>6641720</v>
      </c>
      <c r="P2085">
        <v>31</v>
      </c>
      <c r="Q2085" t="s">
        <v>4497</v>
      </c>
    </row>
    <row r="2086" spans="1:17" x14ac:dyDescent="0.3">
      <c r="A2086" t="s">
        <v>17</v>
      </c>
      <c r="B2086" t="str">
        <f>"603166"</f>
        <v>603166</v>
      </c>
      <c r="C2086" t="s">
        <v>4498</v>
      </c>
      <c r="D2086" t="s">
        <v>858</v>
      </c>
      <c r="E2086">
        <v>2903850</v>
      </c>
      <c r="F2086">
        <v>117169745</v>
      </c>
      <c r="G2086">
        <v>9464214</v>
      </c>
      <c r="H2086">
        <v>95431318</v>
      </c>
      <c r="I2086">
        <v>115938737</v>
      </c>
      <c r="J2086">
        <v>-29044958</v>
      </c>
      <c r="K2086">
        <v>-23753253</v>
      </c>
      <c r="L2086">
        <v>-46230456</v>
      </c>
      <c r="M2086">
        <v>19661733</v>
      </c>
      <c r="P2086">
        <v>141</v>
      </c>
      <c r="Q2086" t="s">
        <v>4499</v>
      </c>
    </row>
    <row r="2087" spans="1:17" x14ac:dyDescent="0.3">
      <c r="A2087" t="s">
        <v>17</v>
      </c>
      <c r="B2087" t="str">
        <f>"600275"</f>
        <v>600275</v>
      </c>
      <c r="C2087" t="s">
        <v>4500</v>
      </c>
      <c r="D2087" t="s">
        <v>1490</v>
      </c>
      <c r="E2087">
        <v>2854134</v>
      </c>
      <c r="F2087">
        <v>-1048653</v>
      </c>
      <c r="G2087">
        <v>-3036010</v>
      </c>
      <c r="H2087">
        <v>-3047470</v>
      </c>
      <c r="I2087">
        <v>-14808054</v>
      </c>
      <c r="J2087">
        <v>3614</v>
      </c>
      <c r="K2087">
        <v>18451761</v>
      </c>
      <c r="L2087">
        <v>490015</v>
      </c>
      <c r="M2087">
        <v>-1131449</v>
      </c>
      <c r="N2087">
        <v>-13339239</v>
      </c>
      <c r="O2087">
        <v>-219429</v>
      </c>
      <c r="P2087">
        <v>47</v>
      </c>
      <c r="Q2087" t="s">
        <v>4501</v>
      </c>
    </row>
    <row r="2088" spans="1:17" x14ac:dyDescent="0.3">
      <c r="A2088" t="s">
        <v>17</v>
      </c>
      <c r="B2088" t="str">
        <f>"600892"</f>
        <v>600892</v>
      </c>
      <c r="C2088" t="s">
        <v>4502</v>
      </c>
      <c r="D2088" t="s">
        <v>751</v>
      </c>
      <c r="E2088">
        <v>2758473</v>
      </c>
      <c r="F2088">
        <v>3023247</v>
      </c>
      <c r="G2088">
        <v>-11104934</v>
      </c>
      <c r="H2088">
        <v>-37905635</v>
      </c>
      <c r="I2088">
        <v>4710403</v>
      </c>
      <c r="J2088">
        <v>103061610</v>
      </c>
      <c r="K2088">
        <v>54942959</v>
      </c>
      <c r="L2088">
        <v>-1796819</v>
      </c>
      <c r="M2088">
        <v>45642393</v>
      </c>
      <c r="N2088">
        <v>-8905612</v>
      </c>
      <c r="O2088">
        <v>13068892</v>
      </c>
      <c r="P2088">
        <v>85</v>
      </c>
      <c r="Q2088" t="s">
        <v>4503</v>
      </c>
    </row>
    <row r="2089" spans="1:17" x14ac:dyDescent="0.3">
      <c r="A2089" t="s">
        <v>33</v>
      </c>
      <c r="B2089" t="str">
        <f>"301182"</f>
        <v>301182</v>
      </c>
      <c r="C2089" t="s">
        <v>4504</v>
      </c>
      <c r="D2089" t="s">
        <v>226</v>
      </c>
      <c r="E2089">
        <v>2710334</v>
      </c>
      <c r="F2089">
        <v>35766414</v>
      </c>
      <c r="P2089">
        <v>11</v>
      </c>
      <c r="Q2089" t="s">
        <v>4505</v>
      </c>
    </row>
    <row r="2090" spans="1:17" x14ac:dyDescent="0.3">
      <c r="A2090" t="s">
        <v>17</v>
      </c>
      <c r="B2090" t="str">
        <f>"688378"</f>
        <v>688378</v>
      </c>
      <c r="C2090" t="s">
        <v>4506</v>
      </c>
      <c r="D2090" t="s">
        <v>1895</v>
      </c>
      <c r="E2090">
        <v>2658317</v>
      </c>
      <c r="F2090">
        <v>-68351255</v>
      </c>
      <c r="G2090">
        <v>-63191411</v>
      </c>
      <c r="P2090">
        <v>50</v>
      </c>
      <c r="Q2090" t="s">
        <v>4507</v>
      </c>
    </row>
    <row r="2091" spans="1:17" x14ac:dyDescent="0.3">
      <c r="A2091" t="s">
        <v>33</v>
      </c>
      <c r="B2091" t="str">
        <f>"001211"</f>
        <v>001211</v>
      </c>
      <c r="C2091" t="s">
        <v>4508</v>
      </c>
      <c r="D2091" t="s">
        <v>927</v>
      </c>
      <c r="E2091">
        <v>2649642</v>
      </c>
      <c r="F2091">
        <v>-1712437</v>
      </c>
      <c r="G2091">
        <v>9539783</v>
      </c>
      <c r="P2091">
        <v>13</v>
      </c>
      <c r="Q2091" t="s">
        <v>4509</v>
      </c>
    </row>
    <row r="2092" spans="1:17" x14ac:dyDescent="0.3">
      <c r="A2092" t="s">
        <v>17</v>
      </c>
      <c r="B2092" t="str">
        <f>"603319"</f>
        <v>603319</v>
      </c>
      <c r="C2092" t="s">
        <v>4510</v>
      </c>
      <c r="D2092" t="s">
        <v>858</v>
      </c>
      <c r="E2092">
        <v>2594854</v>
      </c>
      <c r="F2092">
        <v>2659291</v>
      </c>
      <c r="G2092">
        <v>7510162</v>
      </c>
      <c r="H2092">
        <v>5002174</v>
      </c>
      <c r="I2092">
        <v>-46109060</v>
      </c>
      <c r="J2092">
        <v>-56841859</v>
      </c>
      <c r="K2092">
        <v>5055943</v>
      </c>
      <c r="P2092">
        <v>171</v>
      </c>
      <c r="Q2092" t="s">
        <v>4511</v>
      </c>
    </row>
    <row r="2093" spans="1:17" x14ac:dyDescent="0.3">
      <c r="A2093" t="s">
        <v>33</v>
      </c>
      <c r="B2093" t="str">
        <f>"300368"</f>
        <v>300368</v>
      </c>
      <c r="C2093" t="s">
        <v>4512</v>
      </c>
      <c r="D2093" t="s">
        <v>1571</v>
      </c>
      <c r="E2093">
        <v>2558578</v>
      </c>
      <c r="F2093">
        <v>-212175285</v>
      </c>
      <c r="G2093">
        <v>-163987090</v>
      </c>
      <c r="H2093">
        <v>-85214997</v>
      </c>
      <c r="I2093">
        <v>-146619361</v>
      </c>
      <c r="J2093">
        <v>-124037287</v>
      </c>
      <c r="K2093">
        <v>-97674885</v>
      </c>
      <c r="L2093">
        <v>-81509152</v>
      </c>
      <c r="M2093">
        <v>-34711332</v>
      </c>
      <c r="N2093">
        <v>-28196936</v>
      </c>
      <c r="P2093">
        <v>119</v>
      </c>
      <c r="Q2093" t="s">
        <v>4513</v>
      </c>
    </row>
    <row r="2094" spans="1:17" x14ac:dyDescent="0.3">
      <c r="A2094" t="s">
        <v>33</v>
      </c>
      <c r="B2094" t="str">
        <f>"000810"</f>
        <v>000810</v>
      </c>
      <c r="C2094" t="s">
        <v>4514</v>
      </c>
      <c r="D2094" t="s">
        <v>3783</v>
      </c>
      <c r="E2094">
        <v>2546172</v>
      </c>
      <c r="F2094">
        <v>23027205</v>
      </c>
      <c r="G2094">
        <v>734411686</v>
      </c>
      <c r="H2094">
        <v>-461812708</v>
      </c>
      <c r="I2094">
        <v>-310386128</v>
      </c>
      <c r="J2094">
        <v>-358866579</v>
      </c>
      <c r="K2094">
        <v>53401336</v>
      </c>
      <c r="L2094">
        <v>-52178993</v>
      </c>
      <c r="M2094">
        <v>9393038</v>
      </c>
      <c r="N2094">
        <v>46744813</v>
      </c>
      <c r="O2094">
        <v>35129975</v>
      </c>
      <c r="P2094">
        <v>384</v>
      </c>
      <c r="Q2094" t="s">
        <v>4515</v>
      </c>
    </row>
    <row r="2095" spans="1:17" x14ac:dyDescent="0.3">
      <c r="A2095" t="s">
        <v>17</v>
      </c>
      <c r="B2095" t="str">
        <f>"605255"</f>
        <v>605255</v>
      </c>
      <c r="C2095" t="s">
        <v>4516</v>
      </c>
      <c r="D2095" t="s">
        <v>858</v>
      </c>
      <c r="E2095">
        <v>2479637</v>
      </c>
      <c r="F2095">
        <v>31280280</v>
      </c>
      <c r="G2095">
        <v>29409862</v>
      </c>
      <c r="P2095">
        <v>51</v>
      </c>
      <c r="Q2095" t="s">
        <v>4517</v>
      </c>
    </row>
    <row r="2096" spans="1:17" x14ac:dyDescent="0.3">
      <c r="A2096" t="s">
        <v>17</v>
      </c>
      <c r="B2096" t="str">
        <f>"600385"</f>
        <v>600385</v>
      </c>
      <c r="C2096" t="s">
        <v>4518</v>
      </c>
      <c r="D2096" t="s">
        <v>590</v>
      </c>
      <c r="E2096">
        <v>2470099</v>
      </c>
      <c r="F2096">
        <v>69794</v>
      </c>
      <c r="G2096">
        <v>-289841</v>
      </c>
      <c r="H2096">
        <v>-646072</v>
      </c>
      <c r="I2096">
        <v>-1112846</v>
      </c>
      <c r="J2096">
        <v>403922</v>
      </c>
      <c r="K2096">
        <v>-23554658</v>
      </c>
      <c r="L2096">
        <v>94422791</v>
      </c>
      <c r="M2096">
        <v>74386321</v>
      </c>
      <c r="N2096">
        <v>40989</v>
      </c>
      <c r="O2096">
        <v>-413590</v>
      </c>
      <c r="P2096">
        <v>51</v>
      </c>
      <c r="Q2096" t="s">
        <v>4519</v>
      </c>
    </row>
    <row r="2097" spans="1:17" x14ac:dyDescent="0.3">
      <c r="A2097" t="s">
        <v>33</v>
      </c>
      <c r="B2097" t="str">
        <f>"300209"</f>
        <v>300209</v>
      </c>
      <c r="C2097" t="s">
        <v>4520</v>
      </c>
      <c r="D2097" t="s">
        <v>807</v>
      </c>
      <c r="E2097">
        <v>2465924</v>
      </c>
      <c r="F2097">
        <v>-52929713</v>
      </c>
      <c r="G2097">
        <v>-323810585</v>
      </c>
      <c r="H2097">
        <v>-15702256</v>
      </c>
      <c r="I2097">
        <v>-103467218</v>
      </c>
      <c r="J2097">
        <v>-11867495</v>
      </c>
      <c r="K2097">
        <v>-24818927</v>
      </c>
      <c r="L2097">
        <v>-5924943</v>
      </c>
      <c r="M2097">
        <v>-5901610</v>
      </c>
      <c r="N2097">
        <v>-7453990</v>
      </c>
      <c r="O2097">
        <v>-9314601</v>
      </c>
      <c r="P2097">
        <v>143</v>
      </c>
      <c r="Q2097" t="s">
        <v>4521</v>
      </c>
    </row>
    <row r="2098" spans="1:17" x14ac:dyDescent="0.3">
      <c r="A2098" t="s">
        <v>33</v>
      </c>
      <c r="B2098" t="str">
        <f>"002428"</f>
        <v>002428</v>
      </c>
      <c r="C2098" t="s">
        <v>4522</v>
      </c>
      <c r="D2098" t="s">
        <v>720</v>
      </c>
      <c r="E2098">
        <v>2437458</v>
      </c>
      <c r="F2098">
        <v>75766037</v>
      </c>
      <c r="G2098">
        <v>-33138205</v>
      </c>
      <c r="H2098">
        <v>-124886169</v>
      </c>
      <c r="I2098">
        <v>-39215780</v>
      </c>
      <c r="J2098">
        <v>37517271</v>
      </c>
      <c r="K2098">
        <v>129401310</v>
      </c>
      <c r="L2098">
        <v>19731756</v>
      </c>
      <c r="M2098">
        <v>-11355633</v>
      </c>
      <c r="N2098">
        <v>-9719502</v>
      </c>
      <c r="O2098">
        <v>-9627208</v>
      </c>
      <c r="P2098">
        <v>186</v>
      </c>
      <c r="Q2098" t="s">
        <v>4523</v>
      </c>
    </row>
    <row r="2099" spans="1:17" x14ac:dyDescent="0.3">
      <c r="A2099" t="s">
        <v>17</v>
      </c>
      <c r="B2099" t="str">
        <f>"603032"</f>
        <v>603032</v>
      </c>
      <c r="C2099" t="s">
        <v>4524</v>
      </c>
      <c r="D2099" t="s">
        <v>1216</v>
      </c>
      <c r="E2099">
        <v>2405617</v>
      </c>
      <c r="F2099">
        <v>-8417479</v>
      </c>
      <c r="G2099">
        <v>-8085922</v>
      </c>
      <c r="H2099">
        <v>62303582</v>
      </c>
      <c r="I2099">
        <v>-2793744</v>
      </c>
      <c r="J2099">
        <v>-248173621</v>
      </c>
      <c r="K2099">
        <v>-70687794</v>
      </c>
      <c r="P2099">
        <v>73</v>
      </c>
      <c r="Q2099" t="s">
        <v>4525</v>
      </c>
    </row>
    <row r="2100" spans="1:17" x14ac:dyDescent="0.3">
      <c r="A2100" t="s">
        <v>17</v>
      </c>
      <c r="B2100" t="str">
        <f>"688718"</f>
        <v>688718</v>
      </c>
      <c r="C2100" t="s">
        <v>4526</v>
      </c>
      <c r="D2100" t="s">
        <v>1734</v>
      </c>
      <c r="E2100">
        <v>2401025</v>
      </c>
      <c r="F2100">
        <v>22411790</v>
      </c>
      <c r="G2100">
        <v>40019557</v>
      </c>
      <c r="P2100">
        <v>20</v>
      </c>
      <c r="Q2100" t="s">
        <v>4527</v>
      </c>
    </row>
    <row r="2101" spans="1:17" x14ac:dyDescent="0.3">
      <c r="A2101" t="s">
        <v>33</v>
      </c>
      <c r="B2101" t="str">
        <f>"002319"</f>
        <v>002319</v>
      </c>
      <c r="C2101" t="s">
        <v>4528</v>
      </c>
      <c r="D2101" t="s">
        <v>1341</v>
      </c>
      <c r="E2101">
        <v>2264396</v>
      </c>
      <c r="F2101">
        <v>-2973775</v>
      </c>
      <c r="G2101">
        <v>3731621</v>
      </c>
      <c r="H2101">
        <v>12144022</v>
      </c>
      <c r="I2101">
        <v>59446393</v>
      </c>
      <c r="J2101">
        <v>21936147</v>
      </c>
      <c r="K2101">
        <v>15651363</v>
      </c>
      <c r="L2101">
        <v>19127918</v>
      </c>
      <c r="M2101">
        <v>-25175036</v>
      </c>
      <c r="N2101">
        <v>-8698094</v>
      </c>
      <c r="O2101">
        <v>8568590</v>
      </c>
      <c r="P2101">
        <v>55</v>
      </c>
      <c r="Q2101" t="s">
        <v>4529</v>
      </c>
    </row>
    <row r="2102" spans="1:17" x14ac:dyDescent="0.3">
      <c r="A2102" t="s">
        <v>33</v>
      </c>
      <c r="B2102" t="str">
        <f>"000014"</f>
        <v>000014</v>
      </c>
      <c r="C2102" t="s">
        <v>4530</v>
      </c>
      <c r="D2102" t="s">
        <v>167</v>
      </c>
      <c r="E2102">
        <v>2207223</v>
      </c>
      <c r="F2102">
        <v>-24972594</v>
      </c>
      <c r="G2102">
        <v>-25224627</v>
      </c>
      <c r="H2102">
        <v>59443555</v>
      </c>
      <c r="I2102">
        <v>76456213</v>
      </c>
      <c r="J2102">
        <v>192027601</v>
      </c>
      <c r="K2102">
        <v>14796917</v>
      </c>
      <c r="L2102">
        <v>-85203799</v>
      </c>
      <c r="M2102">
        <v>-34416285</v>
      </c>
      <c r="N2102">
        <v>-35628431</v>
      </c>
      <c r="O2102">
        <v>-47733890</v>
      </c>
      <c r="P2102">
        <v>96</v>
      </c>
      <c r="Q2102" t="s">
        <v>4531</v>
      </c>
    </row>
    <row r="2103" spans="1:17" x14ac:dyDescent="0.3">
      <c r="A2103" t="s">
        <v>17</v>
      </c>
      <c r="B2103" t="str">
        <f>"688511"</f>
        <v>688511</v>
      </c>
      <c r="C2103" t="s">
        <v>4532</v>
      </c>
      <c r="D2103" t="s">
        <v>617</v>
      </c>
      <c r="E2103">
        <v>2183050</v>
      </c>
      <c r="F2103">
        <v>31211009</v>
      </c>
      <c r="G2103">
        <v>2169557</v>
      </c>
      <c r="P2103">
        <v>23</v>
      </c>
      <c r="Q2103" t="s">
        <v>4533</v>
      </c>
    </row>
    <row r="2104" spans="1:17" x14ac:dyDescent="0.3">
      <c r="A2104" t="s">
        <v>33</v>
      </c>
      <c r="B2104" t="str">
        <f>"300652"</f>
        <v>300652</v>
      </c>
      <c r="C2104" t="s">
        <v>4534</v>
      </c>
      <c r="D2104" t="s">
        <v>1618</v>
      </c>
      <c r="E2104">
        <v>2104660</v>
      </c>
      <c r="F2104">
        <v>-6615073</v>
      </c>
      <c r="G2104">
        <v>-6976231</v>
      </c>
      <c r="H2104">
        <v>3844632</v>
      </c>
      <c r="I2104">
        <v>-2710286</v>
      </c>
      <c r="J2104">
        <v>9797641</v>
      </c>
      <c r="K2104">
        <v>10982601</v>
      </c>
      <c r="P2104">
        <v>92</v>
      </c>
      <c r="Q2104" t="s">
        <v>4535</v>
      </c>
    </row>
    <row r="2105" spans="1:17" x14ac:dyDescent="0.3">
      <c r="A2105" t="s">
        <v>33</v>
      </c>
      <c r="B2105" t="str">
        <f>"000616"</f>
        <v>000616</v>
      </c>
      <c r="C2105" t="s">
        <v>4536</v>
      </c>
      <c r="D2105" t="s">
        <v>167</v>
      </c>
      <c r="E2105">
        <v>1890820</v>
      </c>
      <c r="F2105">
        <v>101098692</v>
      </c>
      <c r="G2105">
        <v>4452199</v>
      </c>
      <c r="H2105">
        <v>34262977</v>
      </c>
      <c r="I2105">
        <v>7094587</v>
      </c>
      <c r="J2105">
        <v>-136740931</v>
      </c>
      <c r="K2105">
        <v>35708649</v>
      </c>
      <c r="L2105">
        <v>-122111981</v>
      </c>
      <c r="M2105">
        <v>-96024602</v>
      </c>
      <c r="N2105">
        <v>-330492864</v>
      </c>
      <c r="O2105">
        <v>384937407</v>
      </c>
      <c r="P2105">
        <v>140</v>
      </c>
      <c r="Q2105" t="s">
        <v>4537</v>
      </c>
    </row>
    <row r="2106" spans="1:17" x14ac:dyDescent="0.3">
      <c r="A2106" t="s">
        <v>17</v>
      </c>
      <c r="B2106" t="str">
        <f>"603779"</f>
        <v>603779</v>
      </c>
      <c r="C2106" t="s">
        <v>4538</v>
      </c>
      <c r="D2106" t="s">
        <v>1172</v>
      </c>
      <c r="E2106">
        <v>1866838</v>
      </c>
      <c r="F2106">
        <v>2800570</v>
      </c>
      <c r="G2106">
        <v>-23444328</v>
      </c>
      <c r="H2106">
        <v>24321774</v>
      </c>
      <c r="I2106">
        <v>-23659605</v>
      </c>
      <c r="J2106">
        <v>41656942</v>
      </c>
      <c r="K2106">
        <v>35370278</v>
      </c>
      <c r="L2106">
        <v>52308541</v>
      </c>
      <c r="P2106">
        <v>101</v>
      </c>
      <c r="Q2106" t="s">
        <v>4539</v>
      </c>
    </row>
    <row r="2107" spans="1:17" x14ac:dyDescent="0.3">
      <c r="A2107" t="s">
        <v>33</v>
      </c>
      <c r="B2107" t="str">
        <f>"002366"</f>
        <v>002366</v>
      </c>
      <c r="C2107" t="s">
        <v>4540</v>
      </c>
      <c r="D2107" t="s">
        <v>2956</v>
      </c>
      <c r="E2107">
        <v>1777112</v>
      </c>
      <c r="F2107">
        <v>41237991</v>
      </c>
      <c r="G2107">
        <v>-10668403</v>
      </c>
      <c r="H2107">
        <v>38854511</v>
      </c>
      <c r="I2107">
        <v>-61125503</v>
      </c>
      <c r="J2107">
        <v>-12161599</v>
      </c>
      <c r="K2107">
        <v>31218888</v>
      </c>
      <c r="L2107">
        <v>14157818</v>
      </c>
      <c r="M2107">
        <v>9396794</v>
      </c>
      <c r="N2107">
        <v>19548855</v>
      </c>
      <c r="O2107">
        <v>-3647313</v>
      </c>
      <c r="P2107">
        <v>175</v>
      </c>
      <c r="Q2107" t="s">
        <v>4541</v>
      </c>
    </row>
    <row r="2108" spans="1:17" x14ac:dyDescent="0.3">
      <c r="A2108" t="s">
        <v>17</v>
      </c>
      <c r="B2108" t="str">
        <f>"603665"</f>
        <v>603665</v>
      </c>
      <c r="C2108" t="s">
        <v>4542</v>
      </c>
      <c r="D2108" t="s">
        <v>1680</v>
      </c>
      <c r="E2108">
        <v>1737451</v>
      </c>
      <c r="F2108">
        <v>-12527817</v>
      </c>
      <c r="G2108">
        <v>-35494488</v>
      </c>
      <c r="H2108">
        <v>4260275</v>
      </c>
      <c r="I2108">
        <v>35997578</v>
      </c>
      <c r="J2108">
        <v>19962591</v>
      </c>
      <c r="K2108">
        <v>18974558</v>
      </c>
      <c r="P2108">
        <v>89</v>
      </c>
      <c r="Q2108" t="s">
        <v>4543</v>
      </c>
    </row>
    <row r="2109" spans="1:17" x14ac:dyDescent="0.3">
      <c r="A2109" t="s">
        <v>33</v>
      </c>
      <c r="B2109" t="str">
        <f>"300578"</f>
        <v>300578</v>
      </c>
      <c r="C2109" t="s">
        <v>4544</v>
      </c>
      <c r="D2109" t="s">
        <v>1566</v>
      </c>
      <c r="E2109">
        <v>1692045</v>
      </c>
      <c r="F2109">
        <v>-10135780</v>
      </c>
      <c r="G2109">
        <v>3169273</v>
      </c>
      <c r="H2109">
        <v>-31364793</v>
      </c>
      <c r="I2109">
        <v>12465267</v>
      </c>
      <c r="J2109">
        <v>-11782863</v>
      </c>
      <c r="K2109">
        <v>367130</v>
      </c>
      <c r="P2109">
        <v>305</v>
      </c>
      <c r="Q2109" t="s">
        <v>4545</v>
      </c>
    </row>
    <row r="2110" spans="1:17" x14ac:dyDescent="0.3">
      <c r="A2110" t="s">
        <v>33</v>
      </c>
      <c r="B2110" t="str">
        <f>"000608"</f>
        <v>000608</v>
      </c>
      <c r="C2110" t="s">
        <v>4546</v>
      </c>
      <c r="D2110" t="s">
        <v>317</v>
      </c>
      <c r="E2110">
        <v>1672996</v>
      </c>
      <c r="F2110">
        <v>-21198258</v>
      </c>
      <c r="G2110">
        <v>18030351</v>
      </c>
      <c r="H2110">
        <v>11734000</v>
      </c>
      <c r="I2110">
        <v>-103441000</v>
      </c>
      <c r="J2110">
        <v>87423000</v>
      </c>
      <c r="K2110">
        <v>-41779000</v>
      </c>
      <c r="L2110">
        <v>-85629000</v>
      </c>
      <c r="M2110">
        <v>-237261000</v>
      </c>
      <c r="N2110">
        <v>-149228000</v>
      </c>
      <c r="O2110">
        <v>-133197000</v>
      </c>
      <c r="P2110">
        <v>102</v>
      </c>
      <c r="Q2110" t="s">
        <v>4547</v>
      </c>
    </row>
    <row r="2111" spans="1:17" x14ac:dyDescent="0.3">
      <c r="A2111" t="s">
        <v>33</v>
      </c>
      <c r="B2111" t="str">
        <f>"301163"</f>
        <v>301163</v>
      </c>
      <c r="C2111" t="s">
        <v>4548</v>
      </c>
      <c r="E2111">
        <v>1575207</v>
      </c>
      <c r="F2111">
        <v>1084250</v>
      </c>
      <c r="P2111">
        <v>3</v>
      </c>
      <c r="Q2111" t="s">
        <v>4549</v>
      </c>
    </row>
    <row r="2112" spans="1:17" x14ac:dyDescent="0.3">
      <c r="A2112" t="s">
        <v>17</v>
      </c>
      <c r="B2112" t="str">
        <f>"600311"</f>
        <v>600311</v>
      </c>
      <c r="C2112" t="s">
        <v>4550</v>
      </c>
      <c r="D2112" t="s">
        <v>777</v>
      </c>
      <c r="E2112">
        <v>1545089</v>
      </c>
      <c r="F2112">
        <v>-28870404</v>
      </c>
      <c r="G2112">
        <v>-43874544</v>
      </c>
      <c r="H2112">
        <v>-57126238</v>
      </c>
      <c r="I2112">
        <v>1093325</v>
      </c>
      <c r="J2112">
        <v>-1395715</v>
      </c>
      <c r="K2112">
        <v>-13590352</v>
      </c>
      <c r="L2112">
        <v>-6954300</v>
      </c>
      <c r="M2112">
        <v>20078889</v>
      </c>
      <c r="N2112">
        <v>-3656938</v>
      </c>
      <c r="O2112">
        <v>48971643</v>
      </c>
      <c r="P2112">
        <v>53</v>
      </c>
      <c r="Q2112" t="s">
        <v>4551</v>
      </c>
    </row>
    <row r="2113" spans="1:17" x14ac:dyDescent="0.3">
      <c r="A2113" t="s">
        <v>33</v>
      </c>
      <c r="B2113" t="str">
        <f>"002785"</f>
        <v>002785</v>
      </c>
      <c r="C2113" t="s">
        <v>4552</v>
      </c>
      <c r="D2113" t="s">
        <v>2632</v>
      </c>
      <c r="E2113">
        <v>1543637</v>
      </c>
      <c r="F2113">
        <v>-31811058</v>
      </c>
      <c r="G2113">
        <v>-2484668</v>
      </c>
      <c r="H2113">
        <v>-18525391</v>
      </c>
      <c r="I2113">
        <v>-33532779</v>
      </c>
      <c r="J2113">
        <v>-31016392</v>
      </c>
      <c r="K2113">
        <v>-33752652</v>
      </c>
      <c r="L2113">
        <v>-41935487</v>
      </c>
      <c r="M2113">
        <v>-34792053</v>
      </c>
      <c r="P2113">
        <v>57</v>
      </c>
      <c r="Q2113" t="s">
        <v>4553</v>
      </c>
    </row>
    <row r="2114" spans="1:17" x14ac:dyDescent="0.3">
      <c r="A2114" t="s">
        <v>33</v>
      </c>
      <c r="B2114" t="str">
        <f>"002036"</f>
        <v>002036</v>
      </c>
      <c r="C2114" t="s">
        <v>4554</v>
      </c>
      <c r="D2114" t="s">
        <v>2017</v>
      </c>
      <c r="E2114">
        <v>1479171</v>
      </c>
      <c r="F2114">
        <v>1360110</v>
      </c>
      <c r="G2114">
        <v>1050090</v>
      </c>
      <c r="H2114">
        <v>50902636</v>
      </c>
      <c r="I2114">
        <v>-15128450</v>
      </c>
      <c r="J2114">
        <v>1677050</v>
      </c>
      <c r="K2114">
        <v>1368542</v>
      </c>
      <c r="L2114">
        <v>45829767</v>
      </c>
      <c r="M2114">
        <v>-6020744</v>
      </c>
      <c r="N2114">
        <v>-6246398</v>
      </c>
      <c r="O2114">
        <v>9395365</v>
      </c>
      <c r="P2114">
        <v>548</v>
      </c>
      <c r="Q2114" t="s">
        <v>4555</v>
      </c>
    </row>
    <row r="2115" spans="1:17" x14ac:dyDescent="0.3">
      <c r="A2115" t="s">
        <v>17</v>
      </c>
      <c r="B2115" t="str">
        <f>"688308"</f>
        <v>688308</v>
      </c>
      <c r="C2115" t="s">
        <v>4556</v>
      </c>
      <c r="D2115" t="s">
        <v>164</v>
      </c>
      <c r="E2115">
        <v>1449907</v>
      </c>
      <c r="F2115">
        <v>-37114161</v>
      </c>
      <c r="G2115">
        <v>-16207269</v>
      </c>
      <c r="P2115">
        <v>91</v>
      </c>
      <c r="Q2115" t="s">
        <v>4557</v>
      </c>
    </row>
    <row r="2116" spans="1:17" x14ac:dyDescent="0.3">
      <c r="A2116" t="s">
        <v>17</v>
      </c>
      <c r="B2116" t="str">
        <f>"688076"</f>
        <v>688076</v>
      </c>
      <c r="C2116" t="s">
        <v>4558</v>
      </c>
      <c r="D2116" t="s">
        <v>846</v>
      </c>
      <c r="E2116">
        <v>1447561</v>
      </c>
      <c r="F2116">
        <v>14306660</v>
      </c>
      <c r="G2116">
        <v>-9698367</v>
      </c>
      <c r="P2116">
        <v>53</v>
      </c>
      <c r="Q2116" t="s">
        <v>4559</v>
      </c>
    </row>
    <row r="2117" spans="1:17" x14ac:dyDescent="0.3">
      <c r="A2117" t="s">
        <v>33</v>
      </c>
      <c r="B2117" t="str">
        <f>"300891"</f>
        <v>300891</v>
      </c>
      <c r="C2117" t="s">
        <v>4560</v>
      </c>
      <c r="D2117" t="s">
        <v>817</v>
      </c>
      <c r="E2117">
        <v>1432339</v>
      </c>
      <c r="F2117">
        <v>76349848</v>
      </c>
      <c r="G2117">
        <v>2504757</v>
      </c>
      <c r="P2117">
        <v>59</v>
      </c>
      <c r="Q2117" t="s">
        <v>4561</v>
      </c>
    </row>
    <row r="2118" spans="1:17" x14ac:dyDescent="0.3">
      <c r="A2118" t="s">
        <v>33</v>
      </c>
      <c r="B2118" t="str">
        <f>"300689"</f>
        <v>300689</v>
      </c>
      <c r="C2118" t="s">
        <v>4562</v>
      </c>
      <c r="D2118" t="s">
        <v>1347</v>
      </c>
      <c r="E2118">
        <v>1422537</v>
      </c>
      <c r="F2118">
        <v>11397109</v>
      </c>
      <c r="G2118">
        <v>16850345</v>
      </c>
      <c r="H2118">
        <v>12882144</v>
      </c>
      <c r="I2118">
        <v>8930484</v>
      </c>
      <c r="J2118">
        <v>18647344</v>
      </c>
      <c r="P2118">
        <v>76</v>
      </c>
      <c r="Q2118" t="s">
        <v>4563</v>
      </c>
    </row>
    <row r="2119" spans="1:17" x14ac:dyDescent="0.3">
      <c r="A2119" t="s">
        <v>33</v>
      </c>
      <c r="B2119" t="str">
        <f>"000677"</f>
        <v>000677</v>
      </c>
      <c r="C2119" t="s">
        <v>4564</v>
      </c>
      <c r="D2119" t="s">
        <v>448</v>
      </c>
      <c r="E2119">
        <v>1420402</v>
      </c>
      <c r="F2119">
        <v>33621267</v>
      </c>
      <c r="G2119">
        <v>24051889</v>
      </c>
      <c r="H2119">
        <v>10185802</v>
      </c>
      <c r="I2119">
        <v>-9264573</v>
      </c>
      <c r="J2119">
        <v>-8993749</v>
      </c>
      <c r="K2119">
        <v>-4611362</v>
      </c>
      <c r="L2119">
        <v>-23741821</v>
      </c>
      <c r="M2119">
        <v>-31735747</v>
      </c>
      <c r="N2119">
        <v>-23345929</v>
      </c>
      <c r="O2119">
        <v>-68192659</v>
      </c>
      <c r="P2119">
        <v>80</v>
      </c>
      <c r="Q2119" t="s">
        <v>4565</v>
      </c>
    </row>
    <row r="2120" spans="1:17" x14ac:dyDescent="0.3">
      <c r="A2120" t="s">
        <v>33</v>
      </c>
      <c r="B2120" t="str">
        <f>"002740"</f>
        <v>002740</v>
      </c>
      <c r="C2120" t="s">
        <v>4566</v>
      </c>
      <c r="D2120" t="s">
        <v>161</v>
      </c>
      <c r="E2120">
        <v>1341267</v>
      </c>
      <c r="F2120">
        <v>-5433323</v>
      </c>
      <c r="G2120">
        <v>-27751608</v>
      </c>
      <c r="H2120">
        <v>72512795</v>
      </c>
      <c r="I2120">
        <v>-37825886</v>
      </c>
      <c r="J2120">
        <v>-128688857</v>
      </c>
      <c r="K2120">
        <v>-115197381</v>
      </c>
      <c r="L2120">
        <v>-247520049</v>
      </c>
      <c r="M2120">
        <v>-267861467</v>
      </c>
      <c r="P2120">
        <v>78</v>
      </c>
      <c r="Q2120" t="s">
        <v>4567</v>
      </c>
    </row>
    <row r="2121" spans="1:17" x14ac:dyDescent="0.3">
      <c r="A2121" t="s">
        <v>33</v>
      </c>
      <c r="B2121" t="str">
        <f>"301008"</f>
        <v>301008</v>
      </c>
      <c r="C2121" t="s">
        <v>4568</v>
      </c>
      <c r="D2121" t="s">
        <v>1869</v>
      </c>
      <c r="E2121">
        <v>1314747</v>
      </c>
      <c r="F2121">
        <v>-17814736</v>
      </c>
      <c r="G2121">
        <v>-9000460</v>
      </c>
      <c r="P2121">
        <v>36</v>
      </c>
      <c r="Q2121" t="s">
        <v>4569</v>
      </c>
    </row>
    <row r="2122" spans="1:17" x14ac:dyDescent="0.3">
      <c r="A2122" t="s">
        <v>17</v>
      </c>
      <c r="B2122" t="str">
        <f>"603022"</f>
        <v>603022</v>
      </c>
      <c r="C2122" t="s">
        <v>4570</v>
      </c>
      <c r="D2122" t="s">
        <v>3127</v>
      </c>
      <c r="E2122">
        <v>1279370</v>
      </c>
      <c r="F2122">
        <v>15920843</v>
      </c>
      <c r="G2122">
        <v>17280107</v>
      </c>
      <c r="H2122">
        <v>26585288</v>
      </c>
      <c r="I2122">
        <v>3860752</v>
      </c>
      <c r="J2122">
        <v>-36787108</v>
      </c>
      <c r="K2122">
        <v>1237735</v>
      </c>
      <c r="L2122">
        <v>-23952386</v>
      </c>
      <c r="M2122">
        <v>-10185857</v>
      </c>
      <c r="P2122">
        <v>51</v>
      </c>
      <c r="Q2122" t="s">
        <v>4571</v>
      </c>
    </row>
    <row r="2123" spans="1:17" x14ac:dyDescent="0.3">
      <c r="A2123" t="s">
        <v>33</v>
      </c>
      <c r="B2123" t="str">
        <f>"300470"</f>
        <v>300470</v>
      </c>
      <c r="C2123" t="s">
        <v>4572</v>
      </c>
      <c r="D2123" t="s">
        <v>1033</v>
      </c>
      <c r="E2123">
        <v>1216425</v>
      </c>
      <c r="F2123">
        <v>35230601</v>
      </c>
      <c r="G2123">
        <v>52065858</v>
      </c>
      <c r="H2123">
        <v>12217788</v>
      </c>
      <c r="I2123">
        <v>-5498692</v>
      </c>
      <c r="J2123">
        <v>3316124</v>
      </c>
      <c r="K2123">
        <v>-1003659</v>
      </c>
      <c r="L2123">
        <v>5179885</v>
      </c>
      <c r="M2123">
        <v>4913654</v>
      </c>
      <c r="P2123">
        <v>347</v>
      </c>
      <c r="Q2123" t="s">
        <v>4573</v>
      </c>
    </row>
    <row r="2124" spans="1:17" x14ac:dyDescent="0.3">
      <c r="A2124" t="s">
        <v>17</v>
      </c>
      <c r="B2124" t="str">
        <f>"600984"</f>
        <v>600984</v>
      </c>
      <c r="C2124" t="s">
        <v>4574</v>
      </c>
      <c r="D2124" t="s">
        <v>320</v>
      </c>
      <c r="E2124">
        <v>1170869</v>
      </c>
      <c r="F2124">
        <v>-54715325</v>
      </c>
      <c r="G2124">
        <v>-129848484</v>
      </c>
      <c r="H2124">
        <v>70565984</v>
      </c>
      <c r="I2124">
        <v>-53162526</v>
      </c>
      <c r="J2124">
        <v>-24410256</v>
      </c>
      <c r="K2124">
        <v>-39737802</v>
      </c>
      <c r="L2124">
        <v>-452804</v>
      </c>
      <c r="M2124">
        <v>-13893207</v>
      </c>
      <c r="N2124">
        <v>-24042228</v>
      </c>
      <c r="O2124">
        <v>-27449525</v>
      </c>
      <c r="P2124">
        <v>279</v>
      </c>
      <c r="Q2124" t="s">
        <v>4575</v>
      </c>
    </row>
    <row r="2125" spans="1:17" x14ac:dyDescent="0.3">
      <c r="A2125" t="s">
        <v>33</v>
      </c>
      <c r="B2125" t="str">
        <f>"002447"</f>
        <v>002447</v>
      </c>
      <c r="C2125" t="s">
        <v>4576</v>
      </c>
      <c r="D2125" t="s">
        <v>751</v>
      </c>
      <c r="E2125">
        <v>1097044</v>
      </c>
      <c r="F2125">
        <v>-1332914</v>
      </c>
      <c r="G2125">
        <v>-8728595</v>
      </c>
      <c r="H2125">
        <v>-1068886</v>
      </c>
      <c r="I2125">
        <v>-20741007</v>
      </c>
      <c r="J2125">
        <v>129667352</v>
      </c>
      <c r="K2125">
        <v>5285785</v>
      </c>
      <c r="L2125">
        <v>29792834</v>
      </c>
      <c r="M2125">
        <v>26378826</v>
      </c>
      <c r="N2125">
        <v>-38769067</v>
      </c>
      <c r="O2125">
        <v>-18595773</v>
      </c>
      <c r="P2125">
        <v>92</v>
      </c>
      <c r="Q2125" t="s">
        <v>4577</v>
      </c>
    </row>
    <row r="2126" spans="1:17" x14ac:dyDescent="0.3">
      <c r="A2126" t="s">
        <v>33</v>
      </c>
      <c r="B2126" t="str">
        <f>"002198"</f>
        <v>002198</v>
      </c>
      <c r="C2126" t="s">
        <v>4578</v>
      </c>
      <c r="D2126" t="s">
        <v>533</v>
      </c>
      <c r="E2126">
        <v>1096711</v>
      </c>
      <c r="F2126">
        <v>-2969949</v>
      </c>
      <c r="G2126">
        <v>-19651243</v>
      </c>
      <c r="H2126">
        <v>-28848234</v>
      </c>
      <c r="I2126">
        <v>-6698245</v>
      </c>
      <c r="J2126">
        <v>-15249516</v>
      </c>
      <c r="K2126">
        <v>-7693968</v>
      </c>
      <c r="L2126">
        <v>-11654440</v>
      </c>
      <c r="M2126">
        <v>2501159</v>
      </c>
      <c r="N2126">
        <v>2274856</v>
      </c>
      <c r="O2126">
        <v>-1392545</v>
      </c>
      <c r="P2126">
        <v>120</v>
      </c>
      <c r="Q2126" t="s">
        <v>4579</v>
      </c>
    </row>
    <row r="2127" spans="1:17" x14ac:dyDescent="0.3">
      <c r="A2127" t="s">
        <v>33</v>
      </c>
      <c r="B2127" t="str">
        <f>"300927"</f>
        <v>300927</v>
      </c>
      <c r="C2127" t="s">
        <v>4580</v>
      </c>
      <c r="D2127" t="s">
        <v>1022</v>
      </c>
      <c r="E2127">
        <v>1094546</v>
      </c>
      <c r="F2127">
        <v>-17092173</v>
      </c>
      <c r="G2127">
        <v>3601301</v>
      </c>
      <c r="P2127">
        <v>44</v>
      </c>
      <c r="Q2127" t="s">
        <v>4581</v>
      </c>
    </row>
    <row r="2128" spans="1:17" x14ac:dyDescent="0.3">
      <c r="A2128" t="s">
        <v>17</v>
      </c>
      <c r="B2128" t="str">
        <f>"600624"</f>
        <v>600624</v>
      </c>
      <c r="C2128" t="s">
        <v>4582</v>
      </c>
      <c r="D2128" t="s">
        <v>590</v>
      </c>
      <c r="E2128">
        <v>1093959</v>
      </c>
      <c r="F2128">
        <v>5353062</v>
      </c>
      <c r="G2128">
        <v>-40249131</v>
      </c>
      <c r="H2128">
        <v>-106614186</v>
      </c>
      <c r="I2128">
        <v>-34472186</v>
      </c>
      <c r="J2128">
        <v>-47375963</v>
      </c>
      <c r="K2128">
        <v>-58381281</v>
      </c>
      <c r="L2128">
        <v>18042231</v>
      </c>
      <c r="M2128">
        <v>802716</v>
      </c>
      <c r="N2128">
        <v>-100120795</v>
      </c>
      <c r="O2128">
        <v>24420428</v>
      </c>
      <c r="P2128">
        <v>122</v>
      </c>
      <c r="Q2128" t="s">
        <v>4583</v>
      </c>
    </row>
    <row r="2129" spans="1:17" x14ac:dyDescent="0.3">
      <c r="A2129" t="s">
        <v>17</v>
      </c>
      <c r="B2129" t="str">
        <f>"688190"</f>
        <v>688190</v>
      </c>
      <c r="C2129" t="s">
        <v>4584</v>
      </c>
      <c r="D2129" t="s">
        <v>2576</v>
      </c>
      <c r="E2129">
        <v>996956</v>
      </c>
      <c r="P2129">
        <v>15</v>
      </c>
      <c r="Q2129" t="s">
        <v>4585</v>
      </c>
    </row>
    <row r="2130" spans="1:17" x14ac:dyDescent="0.3">
      <c r="A2130" t="s">
        <v>33</v>
      </c>
      <c r="B2130" t="str">
        <f>"301168"</f>
        <v>301168</v>
      </c>
      <c r="C2130" t="s">
        <v>4586</v>
      </c>
      <c r="D2130" t="s">
        <v>800</v>
      </c>
      <c r="E2130">
        <v>882412</v>
      </c>
      <c r="P2130">
        <v>14</v>
      </c>
      <c r="Q2130" t="s">
        <v>4587</v>
      </c>
    </row>
    <row r="2131" spans="1:17" x14ac:dyDescent="0.3">
      <c r="A2131" t="s">
        <v>17</v>
      </c>
      <c r="B2131" t="str">
        <f>"600386"</f>
        <v>600386</v>
      </c>
      <c r="C2131" t="s">
        <v>4588</v>
      </c>
      <c r="D2131" t="s">
        <v>2643</v>
      </c>
      <c r="E2131">
        <v>862172</v>
      </c>
      <c r="F2131">
        <v>-29905320</v>
      </c>
      <c r="G2131">
        <v>-39826200</v>
      </c>
      <c r="H2131">
        <v>26994035</v>
      </c>
      <c r="I2131">
        <v>-83309145</v>
      </c>
      <c r="J2131">
        <v>36054005</v>
      </c>
      <c r="K2131">
        <v>37748414</v>
      </c>
      <c r="L2131">
        <v>65930420</v>
      </c>
      <c r="M2131">
        <v>100262829</v>
      </c>
      <c r="N2131">
        <v>-17144645</v>
      </c>
      <c r="O2131">
        <v>87260222</v>
      </c>
      <c r="P2131">
        <v>96</v>
      </c>
      <c r="Q2131" t="s">
        <v>4589</v>
      </c>
    </row>
    <row r="2132" spans="1:17" x14ac:dyDescent="0.3">
      <c r="A2132" t="s">
        <v>33</v>
      </c>
      <c r="B2132" t="str">
        <f>"300505"</f>
        <v>300505</v>
      </c>
      <c r="C2132" t="s">
        <v>4590</v>
      </c>
      <c r="D2132" t="s">
        <v>386</v>
      </c>
      <c r="E2132">
        <v>815298</v>
      </c>
      <c r="F2132">
        <v>-70129878</v>
      </c>
      <c r="G2132">
        <v>-14600416</v>
      </c>
      <c r="H2132">
        <v>-2861814</v>
      </c>
      <c r="I2132">
        <v>-42947991</v>
      </c>
      <c r="J2132">
        <v>-35680745</v>
      </c>
      <c r="K2132">
        <v>-25459140</v>
      </c>
      <c r="L2132">
        <v>-13322584</v>
      </c>
      <c r="P2132">
        <v>97</v>
      </c>
      <c r="Q2132" t="s">
        <v>4591</v>
      </c>
    </row>
    <row r="2133" spans="1:17" x14ac:dyDescent="0.3">
      <c r="A2133" t="s">
        <v>33</v>
      </c>
      <c r="B2133" t="str">
        <f>"300600"</f>
        <v>300600</v>
      </c>
      <c r="C2133" t="s">
        <v>4592</v>
      </c>
      <c r="D2133" t="s">
        <v>248</v>
      </c>
      <c r="E2133">
        <v>754351</v>
      </c>
      <c r="F2133">
        <v>-40166552</v>
      </c>
      <c r="G2133">
        <v>-150929653</v>
      </c>
      <c r="H2133">
        <v>-32605500</v>
      </c>
      <c r="I2133">
        <v>-34134261</v>
      </c>
      <c r="J2133">
        <v>-11129469</v>
      </c>
      <c r="K2133">
        <v>-28557593</v>
      </c>
      <c r="P2133">
        <v>101</v>
      </c>
      <c r="Q2133" t="s">
        <v>4593</v>
      </c>
    </row>
    <row r="2134" spans="1:17" x14ac:dyDescent="0.3">
      <c r="A2134" t="s">
        <v>33</v>
      </c>
      <c r="B2134" t="str">
        <f>"300978"</f>
        <v>300978</v>
      </c>
      <c r="C2134" t="s">
        <v>4594</v>
      </c>
      <c r="D2134" t="s">
        <v>200</v>
      </c>
      <c r="E2134">
        <v>754270</v>
      </c>
      <c r="F2134">
        <v>66928652</v>
      </c>
      <c r="G2134">
        <v>34533824</v>
      </c>
      <c r="P2134">
        <v>37</v>
      </c>
      <c r="Q2134" t="s">
        <v>4595</v>
      </c>
    </row>
    <row r="2135" spans="1:17" x14ac:dyDescent="0.3">
      <c r="A2135" t="s">
        <v>33</v>
      </c>
      <c r="B2135" t="str">
        <f>"002715"</f>
        <v>002715</v>
      </c>
      <c r="C2135" t="s">
        <v>4596</v>
      </c>
      <c r="D2135" t="s">
        <v>858</v>
      </c>
      <c r="E2135">
        <v>733914</v>
      </c>
      <c r="F2135">
        <v>-13069995</v>
      </c>
      <c r="G2135">
        <v>387687</v>
      </c>
      <c r="H2135">
        <v>13956907</v>
      </c>
      <c r="I2135">
        <v>3970095</v>
      </c>
      <c r="J2135">
        <v>22114353</v>
      </c>
      <c r="K2135">
        <v>14143508</v>
      </c>
      <c r="L2135">
        <v>-9876719</v>
      </c>
      <c r="M2135">
        <v>-20680629</v>
      </c>
      <c r="N2135">
        <v>-15493296</v>
      </c>
      <c r="P2135">
        <v>61</v>
      </c>
      <c r="Q2135" t="s">
        <v>4597</v>
      </c>
    </row>
    <row r="2136" spans="1:17" x14ac:dyDescent="0.3">
      <c r="A2136" t="s">
        <v>33</v>
      </c>
      <c r="B2136" t="str">
        <f>"000789"</f>
        <v>000789</v>
      </c>
      <c r="C2136" t="s">
        <v>4598</v>
      </c>
      <c r="D2136" t="s">
        <v>260</v>
      </c>
      <c r="E2136">
        <v>683849</v>
      </c>
      <c r="F2136">
        <v>-123532326</v>
      </c>
      <c r="G2136">
        <v>-249950712</v>
      </c>
      <c r="H2136">
        <v>20393669</v>
      </c>
      <c r="I2136">
        <v>265480321</v>
      </c>
      <c r="J2136">
        <v>-102562434</v>
      </c>
      <c r="K2136">
        <v>-34272733</v>
      </c>
      <c r="L2136">
        <v>51542734</v>
      </c>
      <c r="M2136">
        <v>46319189</v>
      </c>
      <c r="N2136">
        <v>73330722</v>
      </c>
      <c r="O2136">
        <v>68316159</v>
      </c>
      <c r="P2136">
        <v>1139</v>
      </c>
      <c r="Q2136" t="s">
        <v>4599</v>
      </c>
    </row>
    <row r="2137" spans="1:17" x14ac:dyDescent="0.3">
      <c r="A2137" t="s">
        <v>33</v>
      </c>
      <c r="B2137" t="str">
        <f>"300731"</f>
        <v>300731</v>
      </c>
      <c r="C2137" t="s">
        <v>4600</v>
      </c>
      <c r="D2137" t="s">
        <v>2369</v>
      </c>
      <c r="E2137">
        <v>666098</v>
      </c>
      <c r="F2137">
        <v>-34417157</v>
      </c>
      <c r="G2137">
        <v>3483844</v>
      </c>
      <c r="H2137">
        <v>3867572</v>
      </c>
      <c r="I2137">
        <v>11586686</v>
      </c>
      <c r="J2137">
        <v>6472918</v>
      </c>
      <c r="P2137">
        <v>186</v>
      </c>
      <c r="Q2137" t="s">
        <v>4601</v>
      </c>
    </row>
    <row r="2138" spans="1:17" x14ac:dyDescent="0.3">
      <c r="A2138" t="s">
        <v>33</v>
      </c>
      <c r="B2138" t="str">
        <f>"002592"</f>
        <v>002592</v>
      </c>
      <c r="C2138" t="s">
        <v>4602</v>
      </c>
      <c r="D2138" t="s">
        <v>858</v>
      </c>
      <c r="E2138">
        <v>656860</v>
      </c>
      <c r="F2138">
        <v>-10357164</v>
      </c>
      <c r="G2138">
        <v>1401467</v>
      </c>
      <c r="H2138">
        <v>19698913</v>
      </c>
      <c r="I2138">
        <v>-48080732</v>
      </c>
      <c r="J2138">
        <v>33183714</v>
      </c>
      <c r="K2138">
        <v>-19300569</v>
      </c>
      <c r="L2138">
        <v>-37381376</v>
      </c>
      <c r="M2138">
        <v>-9228987</v>
      </c>
      <c r="N2138">
        <v>-12494902</v>
      </c>
      <c r="O2138">
        <v>-254132</v>
      </c>
      <c r="P2138">
        <v>76</v>
      </c>
      <c r="Q2138" t="s">
        <v>4603</v>
      </c>
    </row>
    <row r="2139" spans="1:17" x14ac:dyDescent="0.3">
      <c r="A2139" t="s">
        <v>33</v>
      </c>
      <c r="B2139" t="str">
        <f>"002524"</f>
        <v>002524</v>
      </c>
      <c r="C2139" t="s">
        <v>4604</v>
      </c>
      <c r="D2139" t="s">
        <v>520</v>
      </c>
      <c r="E2139">
        <v>644465</v>
      </c>
      <c r="F2139">
        <v>-17239417</v>
      </c>
      <c r="G2139">
        <v>-8327516</v>
      </c>
      <c r="H2139">
        <v>-68455571</v>
      </c>
      <c r="I2139">
        <v>-386976</v>
      </c>
      <c r="J2139">
        <v>10876965</v>
      </c>
      <c r="K2139">
        <v>20844109</v>
      </c>
      <c r="L2139">
        <v>-55721763</v>
      </c>
      <c r="M2139">
        <v>-17076832</v>
      </c>
      <c r="N2139">
        <v>-31988698</v>
      </c>
      <c r="O2139">
        <v>-28030453</v>
      </c>
      <c r="P2139">
        <v>180</v>
      </c>
      <c r="Q2139" t="s">
        <v>4605</v>
      </c>
    </row>
    <row r="2140" spans="1:17" x14ac:dyDescent="0.3">
      <c r="A2140" t="s">
        <v>33</v>
      </c>
      <c r="B2140" t="str">
        <f>"002633"</f>
        <v>002633</v>
      </c>
      <c r="C2140" t="s">
        <v>4606</v>
      </c>
      <c r="D2140" t="s">
        <v>164</v>
      </c>
      <c r="E2140">
        <v>590766</v>
      </c>
      <c r="F2140">
        <v>-7646834</v>
      </c>
      <c r="G2140">
        <v>-8171383</v>
      </c>
      <c r="H2140">
        <v>4562242</v>
      </c>
      <c r="I2140">
        <v>3948924</v>
      </c>
      <c r="J2140">
        <v>12835271</v>
      </c>
      <c r="K2140">
        <v>43619791</v>
      </c>
      <c r="L2140">
        <v>-946145</v>
      </c>
      <c r="M2140">
        <v>4899322</v>
      </c>
      <c r="N2140">
        <v>10351654</v>
      </c>
      <c r="O2140">
        <v>1512751</v>
      </c>
      <c r="P2140">
        <v>44</v>
      </c>
      <c r="Q2140" t="s">
        <v>4607</v>
      </c>
    </row>
    <row r="2141" spans="1:17" x14ac:dyDescent="0.3">
      <c r="A2141" t="s">
        <v>17</v>
      </c>
      <c r="B2141" t="str">
        <f>"688171"</f>
        <v>688171</v>
      </c>
      <c r="C2141" t="s">
        <v>4608</v>
      </c>
      <c r="E2141">
        <v>531471</v>
      </c>
      <c r="G2141">
        <v>-2265730</v>
      </c>
      <c r="P2141">
        <v>12</v>
      </c>
      <c r="Q2141" t="s">
        <v>4609</v>
      </c>
    </row>
    <row r="2142" spans="1:17" x14ac:dyDescent="0.3">
      <c r="A2142" t="s">
        <v>33</v>
      </c>
      <c r="B2142" t="str">
        <f>"300741"</f>
        <v>300741</v>
      </c>
      <c r="C2142" t="s">
        <v>4610</v>
      </c>
      <c r="D2142" t="s">
        <v>1028</v>
      </c>
      <c r="E2142">
        <v>502501</v>
      </c>
      <c r="F2142">
        <v>192359183</v>
      </c>
      <c r="G2142">
        <v>158412508</v>
      </c>
      <c r="H2142">
        <v>154500403</v>
      </c>
      <c r="I2142">
        <v>320842820</v>
      </c>
      <c r="J2142">
        <v>396955589</v>
      </c>
      <c r="P2142">
        <v>458</v>
      </c>
      <c r="Q2142" t="s">
        <v>4611</v>
      </c>
    </row>
    <row r="2143" spans="1:17" x14ac:dyDescent="0.3">
      <c r="A2143" t="s">
        <v>17</v>
      </c>
      <c r="B2143" t="str">
        <f>"603348"</f>
        <v>603348</v>
      </c>
      <c r="C2143" t="s">
        <v>4612</v>
      </c>
      <c r="D2143" t="s">
        <v>1419</v>
      </c>
      <c r="E2143">
        <v>479714</v>
      </c>
      <c r="F2143">
        <v>168721795</v>
      </c>
      <c r="G2143">
        <v>127579356</v>
      </c>
      <c r="H2143">
        <v>99746191</v>
      </c>
      <c r="I2143">
        <v>51327646</v>
      </c>
      <c r="J2143">
        <v>44408090</v>
      </c>
      <c r="P2143">
        <v>193</v>
      </c>
      <c r="Q2143" t="s">
        <v>4613</v>
      </c>
    </row>
    <row r="2144" spans="1:17" x14ac:dyDescent="0.3">
      <c r="A2144" t="s">
        <v>33</v>
      </c>
      <c r="B2144" t="str">
        <f>"301057"</f>
        <v>301057</v>
      </c>
      <c r="C2144" t="s">
        <v>4614</v>
      </c>
      <c r="D2144" t="s">
        <v>2145</v>
      </c>
      <c r="E2144">
        <v>470975</v>
      </c>
      <c r="P2144">
        <v>16</v>
      </c>
      <c r="Q2144" t="s">
        <v>4615</v>
      </c>
    </row>
    <row r="2145" spans="1:17" x14ac:dyDescent="0.3">
      <c r="A2145" t="s">
        <v>33</v>
      </c>
      <c r="B2145" t="str">
        <f>"002632"</f>
        <v>002632</v>
      </c>
      <c r="C2145" t="s">
        <v>4616</v>
      </c>
      <c r="D2145" t="s">
        <v>1734</v>
      </c>
      <c r="E2145">
        <v>297714</v>
      </c>
      <c r="F2145">
        <v>337127222</v>
      </c>
      <c r="G2145">
        <v>81595155</v>
      </c>
      <c r="H2145">
        <v>93424253</v>
      </c>
      <c r="I2145">
        <v>-13527804</v>
      </c>
      <c r="J2145">
        <v>11391126</v>
      </c>
      <c r="K2145">
        <v>15347590</v>
      </c>
      <c r="L2145">
        <v>3788271</v>
      </c>
      <c r="M2145">
        <v>19691948</v>
      </c>
      <c r="N2145">
        <v>12604923</v>
      </c>
      <c r="O2145">
        <v>-10575573</v>
      </c>
      <c r="P2145">
        <v>144</v>
      </c>
      <c r="Q2145" t="s">
        <v>4617</v>
      </c>
    </row>
    <row r="2146" spans="1:17" x14ac:dyDescent="0.3">
      <c r="A2146" t="s">
        <v>33</v>
      </c>
      <c r="B2146" t="str">
        <f>"002895"</f>
        <v>002895</v>
      </c>
      <c r="C2146" t="s">
        <v>4618</v>
      </c>
      <c r="D2146" t="s">
        <v>386</v>
      </c>
      <c r="E2146">
        <v>265794</v>
      </c>
      <c r="F2146">
        <v>-51905396</v>
      </c>
      <c r="G2146">
        <v>-33935479</v>
      </c>
      <c r="H2146">
        <v>5314733</v>
      </c>
      <c r="I2146">
        <v>-61438753</v>
      </c>
      <c r="J2146">
        <v>-16356030</v>
      </c>
      <c r="P2146">
        <v>148</v>
      </c>
      <c r="Q2146" t="s">
        <v>4619</v>
      </c>
    </row>
    <row r="2147" spans="1:17" x14ac:dyDescent="0.3">
      <c r="A2147" t="s">
        <v>33</v>
      </c>
      <c r="B2147" t="str">
        <f>"002748"</f>
        <v>002748</v>
      </c>
      <c r="C2147" t="s">
        <v>4620</v>
      </c>
      <c r="D2147" t="s">
        <v>496</v>
      </c>
      <c r="E2147">
        <v>207248</v>
      </c>
      <c r="F2147">
        <v>60930594</v>
      </c>
      <c r="G2147">
        <v>-35723234</v>
      </c>
      <c r="H2147">
        <v>-75401255</v>
      </c>
      <c r="I2147">
        <v>-37117922</v>
      </c>
      <c r="J2147">
        <v>34796411</v>
      </c>
      <c r="K2147">
        <v>13381731</v>
      </c>
      <c r="L2147">
        <v>-10349850</v>
      </c>
      <c r="M2147">
        <v>35403879</v>
      </c>
      <c r="P2147">
        <v>77</v>
      </c>
      <c r="Q2147" t="s">
        <v>4621</v>
      </c>
    </row>
    <row r="2148" spans="1:17" x14ac:dyDescent="0.3">
      <c r="A2148" t="s">
        <v>17</v>
      </c>
      <c r="B2148" t="str">
        <f>"900939"</f>
        <v>900939</v>
      </c>
      <c r="C2148" t="s">
        <v>4622</v>
      </c>
      <c r="E2148">
        <v>152779.64739999999</v>
      </c>
      <c r="F2148">
        <v>451550.37959999999</v>
      </c>
      <c r="G2148">
        <v>574428.05290000001</v>
      </c>
      <c r="H2148">
        <v>100062.44</v>
      </c>
      <c r="I2148">
        <v>514431.62</v>
      </c>
      <c r="J2148">
        <v>419358.79920000001</v>
      </c>
      <c r="K2148">
        <v>151160.0944</v>
      </c>
      <c r="L2148">
        <v>36032.000500000002</v>
      </c>
      <c r="M2148">
        <v>-256499.7984</v>
      </c>
      <c r="N2148">
        <v>-94392.69</v>
      </c>
      <c r="O2148">
        <v>220878.4136</v>
      </c>
      <c r="P2148">
        <v>7</v>
      </c>
      <c r="Q2148" t="s">
        <v>4623</v>
      </c>
    </row>
    <row r="2149" spans="1:17" x14ac:dyDescent="0.3">
      <c r="A2149" t="s">
        <v>33</v>
      </c>
      <c r="B2149" t="str">
        <f>"300755"</f>
        <v>300755</v>
      </c>
      <c r="C2149" t="s">
        <v>4624</v>
      </c>
      <c r="D2149" t="s">
        <v>351</v>
      </c>
      <c r="E2149">
        <v>150930</v>
      </c>
      <c r="F2149">
        <v>-511577524</v>
      </c>
      <c r="G2149">
        <v>-265094496</v>
      </c>
      <c r="H2149">
        <v>-2782340</v>
      </c>
      <c r="I2149">
        <v>-130864237</v>
      </c>
      <c r="P2149">
        <v>246</v>
      </c>
      <c r="Q2149" t="s">
        <v>4625</v>
      </c>
    </row>
    <row r="2150" spans="1:17" x14ac:dyDescent="0.3">
      <c r="A2150" t="s">
        <v>17</v>
      </c>
      <c r="B2150" t="str">
        <f>"600242"</f>
        <v>600242</v>
      </c>
      <c r="C2150" t="s">
        <v>4626</v>
      </c>
      <c r="D2150" t="s">
        <v>1125</v>
      </c>
      <c r="E2150">
        <v>148590</v>
      </c>
      <c r="F2150">
        <v>-64191670</v>
      </c>
      <c r="G2150">
        <v>37681344</v>
      </c>
      <c r="H2150">
        <v>-110092117</v>
      </c>
      <c r="I2150">
        <v>-68140232</v>
      </c>
      <c r="J2150">
        <v>33837461</v>
      </c>
      <c r="K2150">
        <v>-9617927</v>
      </c>
      <c r="L2150">
        <v>32611848</v>
      </c>
      <c r="M2150">
        <v>-5598677</v>
      </c>
      <c r="N2150">
        <v>9130780</v>
      </c>
      <c r="O2150">
        <v>12339415</v>
      </c>
      <c r="P2150">
        <v>84</v>
      </c>
      <c r="Q2150" t="s">
        <v>4627</v>
      </c>
    </row>
    <row r="2151" spans="1:17" x14ac:dyDescent="0.3">
      <c r="A2151" t="s">
        <v>17</v>
      </c>
      <c r="B2151" t="str">
        <f>"600107"</f>
        <v>600107</v>
      </c>
      <c r="C2151" t="s">
        <v>4628</v>
      </c>
      <c r="D2151" t="s">
        <v>581</v>
      </c>
      <c r="E2151">
        <v>148219</v>
      </c>
      <c r="F2151">
        <v>-52163807</v>
      </c>
      <c r="G2151">
        <v>6898080</v>
      </c>
      <c r="H2151">
        <v>9972435</v>
      </c>
      <c r="I2151">
        <v>2144180</v>
      </c>
      <c r="J2151">
        <v>17698418</v>
      </c>
      <c r="K2151">
        <v>3635468</v>
      </c>
      <c r="L2151">
        <v>16810268</v>
      </c>
      <c r="M2151">
        <v>12217933</v>
      </c>
      <c r="N2151">
        <v>-37187754</v>
      </c>
      <c r="O2151">
        <v>-12160251</v>
      </c>
      <c r="P2151">
        <v>73</v>
      </c>
      <c r="Q2151" t="s">
        <v>4629</v>
      </c>
    </row>
    <row r="2152" spans="1:17" x14ac:dyDescent="0.3">
      <c r="A2152" t="s">
        <v>17</v>
      </c>
      <c r="B2152" t="str">
        <f>"688393"</f>
        <v>688393</v>
      </c>
      <c r="C2152" t="s">
        <v>4630</v>
      </c>
      <c r="D2152" t="s">
        <v>221</v>
      </c>
      <c r="E2152">
        <v>142227</v>
      </c>
      <c r="F2152">
        <v>1564154</v>
      </c>
      <c r="G2152">
        <v>-2207716</v>
      </c>
      <c r="H2152">
        <v>8354774</v>
      </c>
      <c r="P2152">
        <v>76</v>
      </c>
      <c r="Q2152" t="s">
        <v>4631</v>
      </c>
    </row>
    <row r="2153" spans="1:17" x14ac:dyDescent="0.3">
      <c r="A2153" t="s">
        <v>33</v>
      </c>
      <c r="B2153" t="str">
        <f>"300720"</f>
        <v>300720</v>
      </c>
      <c r="C2153" t="s">
        <v>4632</v>
      </c>
      <c r="D2153" t="s">
        <v>2417</v>
      </c>
      <c r="E2153">
        <v>136860</v>
      </c>
      <c r="F2153">
        <v>5014021</v>
      </c>
      <c r="G2153">
        <v>11731505</v>
      </c>
      <c r="H2153">
        <v>-2998966</v>
      </c>
      <c r="I2153">
        <v>-1711273</v>
      </c>
      <c r="J2153">
        <v>7444195</v>
      </c>
      <c r="P2153">
        <v>70</v>
      </c>
      <c r="Q2153" t="s">
        <v>4633</v>
      </c>
    </row>
    <row r="2154" spans="1:17" x14ac:dyDescent="0.3">
      <c r="A2154" t="s">
        <v>33</v>
      </c>
      <c r="B2154" t="str">
        <f>"000633"</f>
        <v>000633</v>
      </c>
      <c r="C2154" t="s">
        <v>4634</v>
      </c>
      <c r="D2154" t="s">
        <v>2576</v>
      </c>
      <c r="E2154">
        <v>106131</v>
      </c>
      <c r="F2154">
        <v>-4258059</v>
      </c>
      <c r="G2154">
        <v>1166478</v>
      </c>
      <c r="H2154">
        <v>-42989578</v>
      </c>
      <c r="I2154">
        <v>-81708745</v>
      </c>
      <c r="J2154">
        <v>-19771869</v>
      </c>
      <c r="K2154">
        <v>-7597857</v>
      </c>
      <c r="L2154">
        <v>11644712</v>
      </c>
      <c r="M2154">
        <v>-10860614</v>
      </c>
      <c r="N2154">
        <v>-29940938</v>
      </c>
      <c r="O2154">
        <v>-4641731</v>
      </c>
      <c r="P2154">
        <v>72</v>
      </c>
      <c r="Q2154" t="s">
        <v>4635</v>
      </c>
    </row>
    <row r="2155" spans="1:17" x14ac:dyDescent="0.3">
      <c r="A2155" t="s">
        <v>33</v>
      </c>
      <c r="B2155" t="str">
        <f>"002575"</f>
        <v>002575</v>
      </c>
      <c r="C2155" t="s">
        <v>4636</v>
      </c>
      <c r="D2155" t="s">
        <v>3234</v>
      </c>
      <c r="E2155">
        <v>80188</v>
      </c>
      <c r="F2155">
        <v>-9053317</v>
      </c>
      <c r="G2155">
        <v>20166295</v>
      </c>
      <c r="H2155">
        <v>-646891</v>
      </c>
      <c r="I2155">
        <v>-30951</v>
      </c>
      <c r="J2155">
        <v>9906070</v>
      </c>
      <c r="K2155">
        <v>27403219</v>
      </c>
      <c r="L2155">
        <v>24655193</v>
      </c>
      <c r="M2155">
        <v>-6387063</v>
      </c>
      <c r="N2155">
        <v>28734698</v>
      </c>
      <c r="O2155">
        <v>-13727799</v>
      </c>
      <c r="P2155">
        <v>57</v>
      </c>
      <c r="Q2155" t="s">
        <v>4637</v>
      </c>
    </row>
    <row r="2156" spans="1:17" x14ac:dyDescent="0.3">
      <c r="A2156" t="s">
        <v>33</v>
      </c>
      <c r="B2156" t="str">
        <f>"002590"</f>
        <v>002590</v>
      </c>
      <c r="C2156" t="s">
        <v>4638</v>
      </c>
      <c r="D2156" t="s">
        <v>858</v>
      </c>
      <c r="E2156">
        <v>-87793</v>
      </c>
      <c r="F2156">
        <v>-62485749</v>
      </c>
      <c r="G2156">
        <v>75124865</v>
      </c>
      <c r="H2156">
        <v>-37941763</v>
      </c>
      <c r="I2156">
        <v>58471053</v>
      </c>
      <c r="J2156">
        <v>2784481</v>
      </c>
      <c r="K2156">
        <v>22718543</v>
      </c>
      <c r="L2156">
        <v>34958010</v>
      </c>
      <c r="M2156">
        <v>528801</v>
      </c>
      <c r="N2156">
        <v>-6134803</v>
      </c>
      <c r="O2156">
        <v>-15900628</v>
      </c>
      <c r="P2156">
        <v>119</v>
      </c>
      <c r="Q2156" t="s">
        <v>4639</v>
      </c>
    </row>
    <row r="2157" spans="1:17" x14ac:dyDescent="0.3">
      <c r="A2157" t="s">
        <v>33</v>
      </c>
      <c r="B2157" t="str">
        <f>"301052"</f>
        <v>301052</v>
      </c>
      <c r="C2157" t="s">
        <v>4640</v>
      </c>
      <c r="D2157" t="s">
        <v>1501</v>
      </c>
      <c r="E2157">
        <v>-102964</v>
      </c>
      <c r="P2157">
        <v>16</v>
      </c>
      <c r="Q2157" t="s">
        <v>4641</v>
      </c>
    </row>
    <row r="2158" spans="1:17" x14ac:dyDescent="0.3">
      <c r="A2158" t="s">
        <v>33</v>
      </c>
      <c r="B2158" t="str">
        <f>"000996"</f>
        <v>000996</v>
      </c>
      <c r="C2158" t="s">
        <v>4642</v>
      </c>
      <c r="D2158" t="s">
        <v>2643</v>
      </c>
      <c r="E2158">
        <v>-140763</v>
      </c>
      <c r="F2158">
        <v>-2283991</v>
      </c>
      <c r="G2158">
        <v>-9086813</v>
      </c>
      <c r="H2158">
        <v>1291090</v>
      </c>
      <c r="I2158">
        <v>-36326424</v>
      </c>
      <c r="J2158">
        <v>-14258551</v>
      </c>
      <c r="K2158">
        <v>-3007092</v>
      </c>
      <c r="L2158">
        <v>-519309</v>
      </c>
      <c r="M2158">
        <v>-139242983</v>
      </c>
      <c r="N2158">
        <v>-2949974</v>
      </c>
      <c r="O2158">
        <v>2987108</v>
      </c>
      <c r="P2158">
        <v>70</v>
      </c>
      <c r="Q2158" t="s">
        <v>4643</v>
      </c>
    </row>
    <row r="2159" spans="1:17" x14ac:dyDescent="0.3">
      <c r="A2159" t="s">
        <v>33</v>
      </c>
      <c r="B2159" t="str">
        <f>"000698"</f>
        <v>000698</v>
      </c>
      <c r="C2159" t="s">
        <v>4644</v>
      </c>
      <c r="D2159" t="s">
        <v>46</v>
      </c>
      <c r="E2159">
        <v>-152560</v>
      </c>
      <c r="F2159">
        <v>785887245</v>
      </c>
      <c r="G2159">
        <v>-630906031</v>
      </c>
      <c r="H2159">
        <v>377311176</v>
      </c>
      <c r="I2159">
        <v>-250099500</v>
      </c>
      <c r="J2159">
        <v>118839518</v>
      </c>
      <c r="K2159">
        <v>513620747</v>
      </c>
      <c r="L2159">
        <v>-101081977</v>
      </c>
      <c r="M2159">
        <v>-258379758</v>
      </c>
      <c r="N2159">
        <v>-219723964</v>
      </c>
      <c r="O2159">
        <v>-138207815</v>
      </c>
      <c r="P2159">
        <v>166</v>
      </c>
      <c r="Q2159" t="s">
        <v>4645</v>
      </c>
    </row>
    <row r="2160" spans="1:17" x14ac:dyDescent="0.3">
      <c r="A2160" t="s">
        <v>33</v>
      </c>
      <c r="B2160" t="str">
        <f>"002808"</f>
        <v>002808</v>
      </c>
      <c r="C2160" t="s">
        <v>4646</v>
      </c>
      <c r="D2160" t="s">
        <v>2017</v>
      </c>
      <c r="E2160">
        <v>-170351</v>
      </c>
      <c r="F2160">
        <v>89523</v>
      </c>
      <c r="G2160">
        <v>16255345</v>
      </c>
      <c r="H2160">
        <v>3149146</v>
      </c>
      <c r="I2160">
        <v>-25366189</v>
      </c>
      <c r="J2160">
        <v>8046316</v>
      </c>
      <c r="K2160">
        <v>-4215494</v>
      </c>
      <c r="L2160">
        <v>1905595</v>
      </c>
      <c r="P2160">
        <v>73</v>
      </c>
      <c r="Q2160" t="s">
        <v>4647</v>
      </c>
    </row>
    <row r="2161" spans="1:17" x14ac:dyDescent="0.3">
      <c r="A2161" t="s">
        <v>33</v>
      </c>
      <c r="B2161" t="str">
        <f>"002425"</f>
        <v>002425</v>
      </c>
      <c r="C2161" t="s">
        <v>4648</v>
      </c>
      <c r="D2161" t="s">
        <v>751</v>
      </c>
      <c r="E2161">
        <v>-218620</v>
      </c>
      <c r="F2161">
        <v>39060222</v>
      </c>
      <c r="G2161">
        <v>-5257509</v>
      </c>
      <c r="H2161">
        <v>-1948277</v>
      </c>
      <c r="I2161">
        <v>47031879</v>
      </c>
      <c r="J2161">
        <v>-8948093</v>
      </c>
      <c r="K2161">
        <v>60293382</v>
      </c>
      <c r="L2161">
        <v>27594095</v>
      </c>
      <c r="M2161">
        <v>-2879184</v>
      </c>
      <c r="N2161">
        <v>28774792</v>
      </c>
      <c r="O2161">
        <v>-6061463</v>
      </c>
      <c r="P2161">
        <v>257</v>
      </c>
      <c r="Q2161" t="s">
        <v>4649</v>
      </c>
    </row>
    <row r="2162" spans="1:17" x14ac:dyDescent="0.3">
      <c r="A2162" t="s">
        <v>33</v>
      </c>
      <c r="B2162" t="str">
        <f>"300461"</f>
        <v>300461</v>
      </c>
      <c r="C2162" t="s">
        <v>4650</v>
      </c>
      <c r="D2162" t="s">
        <v>4171</v>
      </c>
      <c r="E2162">
        <v>-233534</v>
      </c>
      <c r="F2162">
        <v>16293371</v>
      </c>
      <c r="G2162">
        <v>25615877</v>
      </c>
      <c r="H2162">
        <v>14698872</v>
      </c>
      <c r="I2162">
        <v>-25353713</v>
      </c>
      <c r="J2162">
        <v>-20318251</v>
      </c>
      <c r="K2162">
        <v>6560141</v>
      </c>
      <c r="L2162">
        <v>5927739</v>
      </c>
      <c r="M2162">
        <v>5024092</v>
      </c>
      <c r="P2162">
        <v>153</v>
      </c>
      <c r="Q2162" t="s">
        <v>4651</v>
      </c>
    </row>
    <row r="2163" spans="1:17" x14ac:dyDescent="0.3">
      <c r="A2163" t="s">
        <v>17</v>
      </c>
      <c r="B2163" t="str">
        <f>"603559"</f>
        <v>603559</v>
      </c>
      <c r="C2163" t="s">
        <v>4652</v>
      </c>
      <c r="D2163" t="s">
        <v>4393</v>
      </c>
      <c r="E2163">
        <v>-245970</v>
      </c>
      <c r="F2163">
        <v>-46636968</v>
      </c>
      <c r="G2163">
        <v>-70710027</v>
      </c>
      <c r="H2163">
        <v>-46402950</v>
      </c>
      <c r="I2163">
        <v>-53143410</v>
      </c>
      <c r="J2163">
        <v>-77544510</v>
      </c>
      <c r="K2163">
        <v>-29580654</v>
      </c>
      <c r="P2163">
        <v>159</v>
      </c>
      <c r="Q2163" t="s">
        <v>4653</v>
      </c>
    </row>
    <row r="2164" spans="1:17" x14ac:dyDescent="0.3">
      <c r="A2164" t="s">
        <v>33</v>
      </c>
      <c r="B2164" t="str">
        <f>"000952"</f>
        <v>000952</v>
      </c>
      <c r="C2164" t="s">
        <v>4654</v>
      </c>
      <c r="D2164" t="s">
        <v>941</v>
      </c>
      <c r="E2164">
        <v>-329052</v>
      </c>
      <c r="F2164">
        <v>28496950</v>
      </c>
      <c r="G2164">
        <v>28404655</v>
      </c>
      <c r="H2164">
        <v>7119509</v>
      </c>
      <c r="I2164">
        <v>27145653</v>
      </c>
      <c r="J2164">
        <v>46492299</v>
      </c>
      <c r="K2164">
        <v>64800469</v>
      </c>
      <c r="L2164">
        <v>-54726759</v>
      </c>
      <c r="M2164">
        <v>172147065</v>
      </c>
      <c r="N2164">
        <v>54576382</v>
      </c>
      <c r="O2164">
        <v>24246463</v>
      </c>
      <c r="P2164">
        <v>169</v>
      </c>
      <c r="Q2164" t="s">
        <v>4655</v>
      </c>
    </row>
    <row r="2165" spans="1:17" x14ac:dyDescent="0.3">
      <c r="A2165" t="s">
        <v>17</v>
      </c>
      <c r="B2165" t="str">
        <f>"900957"</f>
        <v>900957</v>
      </c>
      <c r="C2165" t="s">
        <v>4656</v>
      </c>
      <c r="E2165">
        <v>-334785.19520000002</v>
      </c>
      <c r="F2165">
        <v>-217021.71479999999</v>
      </c>
      <c r="G2165">
        <v>1307609.7821</v>
      </c>
      <c r="H2165">
        <v>-231323.99</v>
      </c>
      <c r="I2165">
        <v>60217.6538</v>
      </c>
      <c r="J2165">
        <v>-445379.0748</v>
      </c>
      <c r="K2165">
        <v>296358.70740000001</v>
      </c>
      <c r="L2165">
        <v>7161770.8095000004</v>
      </c>
      <c r="M2165">
        <v>-665504.24639999995</v>
      </c>
      <c r="N2165">
        <v>-416531.47200000001</v>
      </c>
      <c r="O2165">
        <v>365009.89880000002</v>
      </c>
      <c r="P2165">
        <v>2</v>
      </c>
      <c r="Q2165" t="s">
        <v>4657</v>
      </c>
    </row>
    <row r="2166" spans="1:17" x14ac:dyDescent="0.3">
      <c r="A2166" t="s">
        <v>17</v>
      </c>
      <c r="B2166" t="str">
        <f>"603996"</f>
        <v>603996</v>
      </c>
      <c r="C2166" t="s">
        <v>4658</v>
      </c>
      <c r="D2166" t="s">
        <v>1514</v>
      </c>
      <c r="E2166">
        <v>-374935</v>
      </c>
      <c r="F2166">
        <v>1425480</v>
      </c>
      <c r="G2166">
        <v>12363167</v>
      </c>
      <c r="H2166">
        <v>171024150</v>
      </c>
      <c r="I2166">
        <v>-275459444</v>
      </c>
      <c r="J2166">
        <v>-188455922</v>
      </c>
      <c r="K2166">
        <v>-165458625</v>
      </c>
      <c r="L2166">
        <v>-122623200</v>
      </c>
      <c r="M2166">
        <v>-50046900</v>
      </c>
      <c r="P2166">
        <v>71</v>
      </c>
      <c r="Q2166" t="s">
        <v>4659</v>
      </c>
    </row>
    <row r="2167" spans="1:17" x14ac:dyDescent="0.3">
      <c r="A2167" t="s">
        <v>33</v>
      </c>
      <c r="B2167" t="str">
        <f>"002137"</f>
        <v>002137</v>
      </c>
      <c r="C2167" t="s">
        <v>4660</v>
      </c>
      <c r="D2167" t="s">
        <v>1125</v>
      </c>
      <c r="E2167">
        <v>-403865</v>
      </c>
      <c r="F2167">
        <v>5479017</v>
      </c>
      <c r="G2167">
        <v>37984723</v>
      </c>
      <c r="H2167">
        <v>15931085</v>
      </c>
      <c r="I2167">
        <v>-11919344</v>
      </c>
      <c r="J2167">
        <v>42543421</v>
      </c>
      <c r="K2167">
        <v>-1281608</v>
      </c>
      <c r="L2167">
        <v>19640478</v>
      </c>
      <c r="M2167">
        <v>-11166795</v>
      </c>
      <c r="N2167">
        <v>-24801249</v>
      </c>
      <c r="O2167">
        <v>24302671</v>
      </c>
      <c r="P2167">
        <v>148</v>
      </c>
      <c r="Q2167" t="s">
        <v>4661</v>
      </c>
    </row>
    <row r="2168" spans="1:17" x14ac:dyDescent="0.3">
      <c r="A2168" t="s">
        <v>33</v>
      </c>
      <c r="B2168" t="str">
        <f>"002348"</f>
        <v>002348</v>
      </c>
      <c r="C2168" t="s">
        <v>4662</v>
      </c>
      <c r="D2168" t="s">
        <v>3234</v>
      </c>
      <c r="E2168">
        <v>-413569</v>
      </c>
      <c r="F2168">
        <v>17339442</v>
      </c>
      <c r="G2168">
        <v>-22597480</v>
      </c>
      <c r="H2168">
        <v>-29899439</v>
      </c>
      <c r="I2168">
        <v>-56899531</v>
      </c>
      <c r="J2168">
        <v>-26743720</v>
      </c>
      <c r="K2168">
        <v>23439886</v>
      </c>
      <c r="L2168">
        <v>-5969962</v>
      </c>
      <c r="M2168">
        <v>9883143</v>
      </c>
      <c r="N2168">
        <v>-11491085</v>
      </c>
      <c r="O2168">
        <v>5185001</v>
      </c>
      <c r="P2168">
        <v>112</v>
      </c>
      <c r="Q2168" t="s">
        <v>4663</v>
      </c>
    </row>
    <row r="2169" spans="1:17" x14ac:dyDescent="0.3">
      <c r="A2169" t="s">
        <v>33</v>
      </c>
      <c r="B2169" t="str">
        <f>"300936"</f>
        <v>300936</v>
      </c>
      <c r="C2169" t="s">
        <v>4664</v>
      </c>
      <c r="D2169" t="s">
        <v>239</v>
      </c>
      <c r="E2169">
        <v>-437285</v>
      </c>
      <c r="F2169">
        <v>-19336620</v>
      </c>
      <c r="G2169">
        <v>9046184</v>
      </c>
      <c r="I2169">
        <v>-1720330</v>
      </c>
      <c r="P2169">
        <v>54</v>
      </c>
      <c r="Q2169" t="s">
        <v>4665</v>
      </c>
    </row>
    <row r="2170" spans="1:17" x14ac:dyDescent="0.3">
      <c r="A2170" t="s">
        <v>17</v>
      </c>
      <c r="B2170" t="str">
        <f>"603516"</f>
        <v>603516</v>
      </c>
      <c r="C2170" t="s">
        <v>4666</v>
      </c>
      <c r="D2170" t="s">
        <v>1571</v>
      </c>
      <c r="E2170">
        <v>-457758</v>
      </c>
      <c r="F2170">
        <v>-6843677</v>
      </c>
      <c r="G2170">
        <v>-1793986</v>
      </c>
      <c r="H2170">
        <v>-21079461</v>
      </c>
      <c r="I2170">
        <v>-3047273</v>
      </c>
      <c r="J2170">
        <v>-8442377</v>
      </c>
      <c r="P2170">
        <v>202</v>
      </c>
      <c r="Q2170" t="s">
        <v>4667</v>
      </c>
    </row>
    <row r="2171" spans="1:17" x14ac:dyDescent="0.3">
      <c r="A2171" t="s">
        <v>17</v>
      </c>
      <c r="B2171" t="str">
        <f>"601028"</f>
        <v>601028</v>
      </c>
      <c r="C2171" t="s">
        <v>4668</v>
      </c>
      <c r="D2171" t="s">
        <v>1592</v>
      </c>
      <c r="E2171">
        <v>-494940</v>
      </c>
      <c r="F2171">
        <v>3322540</v>
      </c>
      <c r="G2171">
        <v>31001761</v>
      </c>
      <c r="H2171">
        <v>-16565068</v>
      </c>
      <c r="I2171">
        <v>32187975</v>
      </c>
      <c r="J2171">
        <v>55272523</v>
      </c>
      <c r="K2171">
        <v>125845836</v>
      </c>
      <c r="L2171">
        <v>-13287895</v>
      </c>
      <c r="M2171">
        <v>-187570077</v>
      </c>
      <c r="N2171">
        <v>-265580959</v>
      </c>
      <c r="O2171">
        <v>75046707</v>
      </c>
      <c r="P2171">
        <v>87</v>
      </c>
      <c r="Q2171" t="s">
        <v>4669</v>
      </c>
    </row>
    <row r="2172" spans="1:17" x14ac:dyDescent="0.3">
      <c r="A2172" t="s">
        <v>17</v>
      </c>
      <c r="B2172" t="str">
        <f>"688661"</f>
        <v>688661</v>
      </c>
      <c r="C2172" t="s">
        <v>4670</v>
      </c>
      <c r="D2172" t="s">
        <v>226</v>
      </c>
      <c r="E2172">
        <v>-549901</v>
      </c>
      <c r="F2172">
        <v>29190651</v>
      </c>
      <c r="G2172">
        <v>7287334</v>
      </c>
      <c r="P2172">
        <v>64</v>
      </c>
      <c r="Q2172" t="s">
        <v>4671</v>
      </c>
    </row>
    <row r="2173" spans="1:17" x14ac:dyDescent="0.3">
      <c r="A2173" t="s">
        <v>17</v>
      </c>
      <c r="B2173" t="str">
        <f>"688279"</f>
        <v>688279</v>
      </c>
      <c r="C2173" t="s">
        <v>4672</v>
      </c>
      <c r="E2173">
        <v>-609361</v>
      </c>
      <c r="P2173">
        <v>6</v>
      </c>
      <c r="Q2173" t="s">
        <v>4673</v>
      </c>
    </row>
    <row r="2174" spans="1:17" x14ac:dyDescent="0.3">
      <c r="A2174" t="s">
        <v>17</v>
      </c>
      <c r="B2174" t="str">
        <f>"600883"</f>
        <v>600883</v>
      </c>
      <c r="C2174" t="s">
        <v>4674</v>
      </c>
      <c r="D2174" t="s">
        <v>260</v>
      </c>
      <c r="E2174">
        <v>-630995</v>
      </c>
      <c r="F2174">
        <v>-2420655</v>
      </c>
      <c r="G2174">
        <v>-4982738</v>
      </c>
      <c r="H2174">
        <v>-2593427</v>
      </c>
      <c r="I2174">
        <v>-582760</v>
      </c>
      <c r="J2174">
        <v>2526766</v>
      </c>
      <c r="K2174">
        <v>-6236225</v>
      </c>
      <c r="L2174">
        <v>1355257</v>
      </c>
      <c r="M2174">
        <v>872353</v>
      </c>
      <c r="N2174">
        <v>-1338375</v>
      </c>
      <c r="O2174">
        <v>-20938</v>
      </c>
      <c r="P2174">
        <v>78</v>
      </c>
      <c r="Q2174" t="s">
        <v>4675</v>
      </c>
    </row>
    <row r="2175" spans="1:17" x14ac:dyDescent="0.3">
      <c r="A2175" t="s">
        <v>17</v>
      </c>
      <c r="B2175" t="str">
        <f>"603986"</f>
        <v>603986</v>
      </c>
      <c r="C2175" t="s">
        <v>4676</v>
      </c>
      <c r="D2175" t="s">
        <v>1277</v>
      </c>
      <c r="E2175">
        <v>-654744</v>
      </c>
      <c r="F2175">
        <v>434461352</v>
      </c>
      <c r="G2175">
        <v>-70752525</v>
      </c>
      <c r="H2175">
        <v>34269773</v>
      </c>
      <c r="I2175">
        <v>36756641</v>
      </c>
      <c r="J2175">
        <v>-12763280</v>
      </c>
      <c r="K2175">
        <v>-31550800</v>
      </c>
      <c r="L2175">
        <v>4628800</v>
      </c>
      <c r="P2175">
        <v>2706</v>
      </c>
      <c r="Q2175" t="s">
        <v>4677</v>
      </c>
    </row>
    <row r="2176" spans="1:17" x14ac:dyDescent="0.3">
      <c r="A2176" t="s">
        <v>17</v>
      </c>
      <c r="B2176" t="str">
        <f>"600593"</f>
        <v>600593</v>
      </c>
      <c r="C2176" t="s">
        <v>4678</v>
      </c>
      <c r="D2176" t="s">
        <v>3669</v>
      </c>
      <c r="E2176">
        <v>-683304</v>
      </c>
      <c r="F2176">
        <v>-5380099</v>
      </c>
      <c r="G2176">
        <v>-19789794</v>
      </c>
      <c r="H2176">
        <v>-3167166</v>
      </c>
      <c r="I2176">
        <v>-34940368</v>
      </c>
      <c r="J2176">
        <v>-12000387</v>
      </c>
      <c r="K2176">
        <v>-10432634</v>
      </c>
      <c r="L2176">
        <v>7052610</v>
      </c>
      <c r="M2176">
        <v>-6749126</v>
      </c>
      <c r="N2176">
        <v>916159</v>
      </c>
      <c r="O2176">
        <v>6479534</v>
      </c>
      <c r="P2176">
        <v>123</v>
      </c>
      <c r="Q2176" t="s">
        <v>4679</v>
      </c>
    </row>
    <row r="2177" spans="1:17" x14ac:dyDescent="0.3">
      <c r="A2177" t="s">
        <v>33</v>
      </c>
      <c r="B2177" t="str">
        <f>"300103"</f>
        <v>300103</v>
      </c>
      <c r="C2177" t="s">
        <v>4680</v>
      </c>
      <c r="D2177" t="s">
        <v>1895</v>
      </c>
      <c r="E2177">
        <v>-687688</v>
      </c>
      <c r="F2177">
        <v>33129102</v>
      </c>
      <c r="G2177">
        <v>9349313</v>
      </c>
      <c r="H2177">
        <v>1824040</v>
      </c>
      <c r="I2177">
        <v>-16935811</v>
      </c>
      <c r="J2177">
        <v>-9974465</v>
      </c>
      <c r="K2177">
        <v>6553738</v>
      </c>
      <c r="L2177">
        <v>-20491543</v>
      </c>
      <c r="M2177">
        <v>-10469693</v>
      </c>
      <c r="N2177">
        <v>-9434703</v>
      </c>
      <c r="O2177">
        <v>11110697</v>
      </c>
      <c r="P2177">
        <v>53</v>
      </c>
      <c r="Q2177" t="s">
        <v>4681</v>
      </c>
    </row>
    <row r="2178" spans="1:17" x14ac:dyDescent="0.3">
      <c r="A2178" t="s">
        <v>33</v>
      </c>
      <c r="B2178" t="str">
        <f>"002504"</f>
        <v>002504</v>
      </c>
      <c r="C2178" t="s">
        <v>4682</v>
      </c>
      <c r="D2178" t="s">
        <v>1779</v>
      </c>
      <c r="E2178">
        <v>-697703</v>
      </c>
      <c r="F2178">
        <v>1049352</v>
      </c>
      <c r="G2178">
        <v>-29399917</v>
      </c>
      <c r="H2178">
        <v>-2090768</v>
      </c>
      <c r="I2178">
        <v>54060799</v>
      </c>
      <c r="J2178">
        <v>-507871037</v>
      </c>
      <c r="K2178">
        <v>205251873</v>
      </c>
      <c r="L2178">
        <v>-86153955</v>
      </c>
      <c r="M2178">
        <v>-6413683</v>
      </c>
      <c r="N2178">
        <v>-6524390</v>
      </c>
      <c r="O2178">
        <v>-18335260</v>
      </c>
      <c r="P2178">
        <v>66</v>
      </c>
      <c r="Q2178" t="s">
        <v>4683</v>
      </c>
    </row>
    <row r="2179" spans="1:17" x14ac:dyDescent="0.3">
      <c r="A2179" t="s">
        <v>33</v>
      </c>
      <c r="B2179" t="str">
        <f>"301122"</f>
        <v>301122</v>
      </c>
      <c r="C2179" t="s">
        <v>4684</v>
      </c>
      <c r="E2179">
        <v>-724545</v>
      </c>
      <c r="P2179">
        <v>14</v>
      </c>
      <c r="Q2179" t="s">
        <v>4685</v>
      </c>
    </row>
    <row r="2180" spans="1:17" x14ac:dyDescent="0.3">
      <c r="A2180" t="s">
        <v>33</v>
      </c>
      <c r="B2180" t="str">
        <f>"300210"</f>
        <v>300210</v>
      </c>
      <c r="C2180" t="s">
        <v>4686</v>
      </c>
      <c r="D2180" t="s">
        <v>1763</v>
      </c>
      <c r="E2180">
        <v>-754656</v>
      </c>
      <c r="F2180">
        <v>36816231</v>
      </c>
      <c r="G2180">
        <v>3354326</v>
      </c>
      <c r="H2180">
        <v>20885968</v>
      </c>
      <c r="I2180">
        <v>-64496618</v>
      </c>
      <c r="J2180">
        <v>58657706</v>
      </c>
      <c r="K2180">
        <v>-117530882</v>
      </c>
      <c r="L2180">
        <v>-57152252</v>
      </c>
      <c r="M2180">
        <v>-56050444</v>
      </c>
      <c r="N2180">
        <v>-37648589</v>
      </c>
      <c r="O2180">
        <v>3321047</v>
      </c>
      <c r="P2180">
        <v>50</v>
      </c>
      <c r="Q2180" t="s">
        <v>4687</v>
      </c>
    </row>
    <row r="2181" spans="1:17" x14ac:dyDescent="0.3">
      <c r="A2181" t="s">
        <v>33</v>
      </c>
      <c r="B2181" t="str">
        <f>"002052"</f>
        <v>002052</v>
      </c>
      <c r="C2181" t="s">
        <v>4688</v>
      </c>
      <c r="D2181" t="s">
        <v>3783</v>
      </c>
      <c r="E2181">
        <v>-778751</v>
      </c>
      <c r="F2181">
        <v>-5444419</v>
      </c>
      <c r="G2181">
        <v>-48597788</v>
      </c>
      <c r="H2181">
        <v>24034725</v>
      </c>
      <c r="I2181">
        <v>6253170</v>
      </c>
      <c r="J2181">
        <v>-47732114</v>
      </c>
      <c r="K2181">
        <v>90196567</v>
      </c>
      <c r="L2181">
        <v>73533389</v>
      </c>
      <c r="M2181">
        <v>-234786695</v>
      </c>
      <c r="N2181">
        <v>-161059350</v>
      </c>
      <c r="O2181">
        <v>11372357</v>
      </c>
      <c r="P2181">
        <v>76</v>
      </c>
      <c r="Q2181" t="s">
        <v>4689</v>
      </c>
    </row>
    <row r="2182" spans="1:17" x14ac:dyDescent="0.3">
      <c r="A2182" t="s">
        <v>17</v>
      </c>
      <c r="B2182" t="str">
        <f>"600555"</f>
        <v>600555</v>
      </c>
      <c r="C2182" t="s">
        <v>4690</v>
      </c>
      <c r="D2182" t="s">
        <v>4691</v>
      </c>
      <c r="E2182">
        <v>-790693</v>
      </c>
      <c r="F2182">
        <v>-14227484</v>
      </c>
      <c r="G2182">
        <v>-13215405</v>
      </c>
      <c r="H2182">
        <v>-14854333</v>
      </c>
      <c r="I2182">
        <v>-15372450</v>
      </c>
      <c r="J2182">
        <v>-49854008</v>
      </c>
      <c r="K2182">
        <v>-52867753</v>
      </c>
      <c r="L2182">
        <v>-97926025</v>
      </c>
      <c r="M2182">
        <v>-66230358</v>
      </c>
      <c r="N2182">
        <v>4591882</v>
      </c>
      <c r="O2182">
        <v>-19134465</v>
      </c>
      <c r="P2182">
        <v>76</v>
      </c>
      <c r="Q2182" t="s">
        <v>4692</v>
      </c>
    </row>
    <row r="2183" spans="1:17" x14ac:dyDescent="0.3">
      <c r="A2183" t="s">
        <v>17</v>
      </c>
      <c r="B2183" t="str">
        <f>"900929"</f>
        <v>900929</v>
      </c>
      <c r="C2183" t="s">
        <v>4693</v>
      </c>
      <c r="E2183">
        <v>-823748.4425</v>
      </c>
      <c r="F2183">
        <v>-1751232.9720000001</v>
      </c>
      <c r="G2183">
        <v>-1343685.0889000001</v>
      </c>
      <c r="H2183">
        <v>-9922616.2599999998</v>
      </c>
      <c r="I2183">
        <v>-2669604.7396</v>
      </c>
      <c r="J2183">
        <v>-888863.43480000005</v>
      </c>
      <c r="K2183">
        <v>-4114971.6307000001</v>
      </c>
      <c r="L2183">
        <v>-3736329.6502</v>
      </c>
      <c r="M2183">
        <v>-3416296.8215999999</v>
      </c>
      <c r="N2183">
        <v>-3212520.906</v>
      </c>
      <c r="O2183">
        <v>-6523005.8443999998</v>
      </c>
      <c r="P2183">
        <v>11</v>
      </c>
      <c r="Q2183" t="s">
        <v>4694</v>
      </c>
    </row>
    <row r="2184" spans="1:17" x14ac:dyDescent="0.3">
      <c r="A2184" t="s">
        <v>33</v>
      </c>
      <c r="B2184" t="str">
        <f>"000673"</f>
        <v>000673</v>
      </c>
      <c r="C2184" t="s">
        <v>4695</v>
      </c>
      <c r="D2184" t="s">
        <v>314</v>
      </c>
      <c r="E2184">
        <v>-849740</v>
      </c>
      <c r="F2184">
        <v>68000</v>
      </c>
      <c r="G2184">
        <v>5105201</v>
      </c>
      <c r="H2184">
        <v>9838457</v>
      </c>
      <c r="I2184">
        <v>-45521915</v>
      </c>
      <c r="J2184">
        <v>-18718389</v>
      </c>
      <c r="K2184">
        <v>-110600180</v>
      </c>
      <c r="L2184">
        <v>-503768</v>
      </c>
      <c r="M2184">
        <v>-898069</v>
      </c>
      <c r="N2184">
        <v>333032</v>
      </c>
      <c r="O2184">
        <v>94480</v>
      </c>
      <c r="P2184">
        <v>90</v>
      </c>
      <c r="Q2184" t="s">
        <v>4696</v>
      </c>
    </row>
    <row r="2185" spans="1:17" x14ac:dyDescent="0.3">
      <c r="A2185" t="s">
        <v>33</v>
      </c>
      <c r="B2185" t="str">
        <f>"000711"</f>
        <v>000711</v>
      </c>
      <c r="C2185" t="s">
        <v>4697</v>
      </c>
      <c r="D2185" t="s">
        <v>897</v>
      </c>
      <c r="E2185">
        <v>-973789</v>
      </c>
      <c r="F2185">
        <v>-30124848</v>
      </c>
      <c r="G2185">
        <v>-75736894</v>
      </c>
      <c r="H2185">
        <v>-256005707</v>
      </c>
      <c r="I2185">
        <v>-346480656</v>
      </c>
      <c r="J2185">
        <v>-76407582</v>
      </c>
      <c r="K2185">
        <v>-31927251</v>
      </c>
      <c r="L2185">
        <v>-1318424</v>
      </c>
      <c r="M2185">
        <v>30110397</v>
      </c>
      <c r="N2185">
        <v>-12240180</v>
      </c>
      <c r="O2185">
        <v>7900482</v>
      </c>
      <c r="P2185">
        <v>109</v>
      </c>
      <c r="Q2185" t="s">
        <v>4698</v>
      </c>
    </row>
    <row r="2186" spans="1:17" x14ac:dyDescent="0.3">
      <c r="A2186" t="s">
        <v>33</v>
      </c>
      <c r="B2186" t="str">
        <f>"301004"</f>
        <v>301004</v>
      </c>
      <c r="C2186" t="s">
        <v>4699</v>
      </c>
      <c r="D2186" t="s">
        <v>927</v>
      </c>
      <c r="E2186">
        <v>-1000138</v>
      </c>
      <c r="F2186">
        <v>28984646</v>
      </c>
      <c r="G2186">
        <v>21649930</v>
      </c>
      <c r="P2186">
        <v>25</v>
      </c>
      <c r="Q2186" t="s">
        <v>4700</v>
      </c>
    </row>
    <row r="2187" spans="1:17" x14ac:dyDescent="0.3">
      <c r="A2187" t="s">
        <v>17</v>
      </c>
      <c r="B2187" t="str">
        <f>"605378"</f>
        <v>605378</v>
      </c>
      <c r="C2187" t="s">
        <v>4701</v>
      </c>
      <c r="D2187" t="s">
        <v>1536</v>
      </c>
      <c r="E2187">
        <v>-1057333</v>
      </c>
      <c r="F2187">
        <v>-35314697</v>
      </c>
      <c r="G2187">
        <v>-7842299</v>
      </c>
      <c r="P2187">
        <v>32</v>
      </c>
      <c r="Q2187" t="s">
        <v>4702</v>
      </c>
    </row>
    <row r="2188" spans="1:17" x14ac:dyDescent="0.3">
      <c r="A2188" t="s">
        <v>33</v>
      </c>
      <c r="B2188" t="str">
        <f>"300417"</f>
        <v>300417</v>
      </c>
      <c r="C2188" t="s">
        <v>4703</v>
      </c>
      <c r="D2188" t="s">
        <v>2417</v>
      </c>
      <c r="E2188">
        <v>-1095034</v>
      </c>
      <c r="F2188">
        <v>-26236876</v>
      </c>
      <c r="G2188">
        <v>-14012476</v>
      </c>
      <c r="H2188">
        <v>35061337</v>
      </c>
      <c r="I2188">
        <v>-6766173</v>
      </c>
      <c r="J2188">
        <v>-4975651</v>
      </c>
      <c r="K2188">
        <v>-8636992</v>
      </c>
      <c r="L2188">
        <v>-16842411</v>
      </c>
      <c r="M2188">
        <v>-13097445</v>
      </c>
      <c r="P2188">
        <v>196</v>
      </c>
      <c r="Q2188" t="s">
        <v>4704</v>
      </c>
    </row>
    <row r="2189" spans="1:17" x14ac:dyDescent="0.3">
      <c r="A2189" t="s">
        <v>33</v>
      </c>
      <c r="B2189" t="str">
        <f>"300847"</f>
        <v>300847</v>
      </c>
      <c r="C2189" t="s">
        <v>4705</v>
      </c>
      <c r="D2189" t="s">
        <v>418</v>
      </c>
      <c r="E2189">
        <v>-1138690</v>
      </c>
      <c r="F2189">
        <v>-39650081</v>
      </c>
      <c r="G2189">
        <v>-20938688</v>
      </c>
      <c r="H2189">
        <v>-29194918</v>
      </c>
      <c r="P2189">
        <v>53</v>
      </c>
      <c r="Q2189" t="s">
        <v>4706</v>
      </c>
    </row>
    <row r="2190" spans="1:17" x14ac:dyDescent="0.3">
      <c r="A2190" t="s">
        <v>33</v>
      </c>
      <c r="B2190" t="str">
        <f>"003002"</f>
        <v>003002</v>
      </c>
      <c r="C2190" t="s">
        <v>4707</v>
      </c>
      <c r="D2190" t="s">
        <v>1474</v>
      </c>
      <c r="E2190">
        <v>-1150071</v>
      </c>
      <c r="F2190">
        <v>-11776956</v>
      </c>
      <c r="G2190">
        <v>-9672603</v>
      </c>
      <c r="P2190">
        <v>39</v>
      </c>
      <c r="Q2190" t="s">
        <v>4708</v>
      </c>
    </row>
    <row r="2191" spans="1:17" x14ac:dyDescent="0.3">
      <c r="A2191" t="s">
        <v>17</v>
      </c>
      <c r="B2191" t="str">
        <f>"688037"</f>
        <v>688037</v>
      </c>
      <c r="C2191" t="s">
        <v>4709</v>
      </c>
      <c r="D2191" t="s">
        <v>2201</v>
      </c>
      <c r="E2191">
        <v>-1281105</v>
      </c>
      <c r="F2191">
        <v>-123750155</v>
      </c>
      <c r="G2191">
        <v>-25917506</v>
      </c>
      <c r="H2191">
        <v>-20519718</v>
      </c>
      <c r="P2191">
        <v>168</v>
      </c>
      <c r="Q2191" t="s">
        <v>4710</v>
      </c>
    </row>
    <row r="2192" spans="1:17" x14ac:dyDescent="0.3">
      <c r="A2192" t="s">
        <v>17</v>
      </c>
      <c r="B2192" t="str">
        <f>"603126"</f>
        <v>603126</v>
      </c>
      <c r="C2192" t="s">
        <v>4711</v>
      </c>
      <c r="D2192" t="s">
        <v>897</v>
      </c>
      <c r="E2192">
        <v>-1283212</v>
      </c>
      <c r="F2192">
        <v>-166865294</v>
      </c>
      <c r="G2192">
        <v>-145084468</v>
      </c>
      <c r="H2192">
        <v>-184258287</v>
      </c>
      <c r="I2192">
        <v>-16216810</v>
      </c>
      <c r="J2192">
        <v>-7523071</v>
      </c>
      <c r="K2192">
        <v>87523215</v>
      </c>
      <c r="L2192">
        <v>-23109571</v>
      </c>
      <c r="M2192">
        <v>42269360</v>
      </c>
      <c r="N2192">
        <v>143873762</v>
      </c>
      <c r="P2192">
        <v>196</v>
      </c>
      <c r="Q2192" t="s">
        <v>4712</v>
      </c>
    </row>
    <row r="2193" spans="1:17" x14ac:dyDescent="0.3">
      <c r="A2193" t="s">
        <v>33</v>
      </c>
      <c r="B2193" t="str">
        <f>"000096"</f>
        <v>000096</v>
      </c>
      <c r="C2193" t="s">
        <v>4713</v>
      </c>
      <c r="D2193" t="s">
        <v>323</v>
      </c>
      <c r="E2193">
        <v>-1287803</v>
      </c>
      <c r="F2193">
        <v>-69737319</v>
      </c>
      <c r="G2193">
        <v>-89650881</v>
      </c>
      <c r="H2193">
        <v>-45610945</v>
      </c>
      <c r="I2193">
        <v>-24927285</v>
      </c>
      <c r="J2193">
        <v>15489469</v>
      </c>
      <c r="K2193">
        <v>-57250456</v>
      </c>
      <c r="L2193">
        <v>71334475</v>
      </c>
      <c r="M2193">
        <v>35300976</v>
      </c>
      <c r="N2193">
        <v>-70915673</v>
      </c>
      <c r="O2193">
        <v>-84358736</v>
      </c>
      <c r="P2193">
        <v>86</v>
      </c>
      <c r="Q2193" t="s">
        <v>4714</v>
      </c>
    </row>
    <row r="2194" spans="1:17" x14ac:dyDescent="0.3">
      <c r="A2194" t="s">
        <v>17</v>
      </c>
      <c r="B2194" t="str">
        <f>"688588"</f>
        <v>688588</v>
      </c>
      <c r="C2194" t="s">
        <v>4715</v>
      </c>
      <c r="D2194" t="s">
        <v>807</v>
      </c>
      <c r="E2194">
        <v>-1375426</v>
      </c>
      <c r="F2194">
        <v>-9323421</v>
      </c>
      <c r="G2194">
        <v>-10914744</v>
      </c>
      <c r="H2194">
        <v>1818002</v>
      </c>
      <c r="I2194">
        <v>-11782174</v>
      </c>
      <c r="P2194">
        <v>79</v>
      </c>
      <c r="Q2194" t="s">
        <v>4716</v>
      </c>
    </row>
    <row r="2195" spans="1:17" x14ac:dyDescent="0.3">
      <c r="A2195" t="s">
        <v>33</v>
      </c>
      <c r="B2195" t="str">
        <f>"002399"</f>
        <v>002399</v>
      </c>
      <c r="C2195" t="s">
        <v>4717</v>
      </c>
      <c r="D2195" t="s">
        <v>941</v>
      </c>
      <c r="E2195">
        <v>-1378827</v>
      </c>
      <c r="F2195">
        <v>419806687</v>
      </c>
      <c r="G2195">
        <v>-218059076</v>
      </c>
      <c r="H2195">
        <v>-138180573</v>
      </c>
      <c r="I2195">
        <v>-48225973</v>
      </c>
      <c r="J2195">
        <v>-63050809</v>
      </c>
      <c r="K2195">
        <v>57306776</v>
      </c>
      <c r="L2195">
        <v>257033105</v>
      </c>
      <c r="M2195">
        <v>140766096</v>
      </c>
      <c r="N2195">
        <v>48828624</v>
      </c>
      <c r="O2195">
        <v>489390759</v>
      </c>
      <c r="P2195">
        <v>285</v>
      </c>
      <c r="Q2195" t="s">
        <v>4718</v>
      </c>
    </row>
    <row r="2196" spans="1:17" x14ac:dyDescent="0.3">
      <c r="A2196" t="s">
        <v>17</v>
      </c>
      <c r="B2196" t="str">
        <f>"600615"</f>
        <v>600615</v>
      </c>
      <c r="C2196" t="s">
        <v>4719</v>
      </c>
      <c r="D2196" t="s">
        <v>720</v>
      </c>
      <c r="E2196">
        <v>-1385174</v>
      </c>
      <c r="F2196">
        <v>-11764428</v>
      </c>
      <c r="G2196">
        <v>-8669379</v>
      </c>
      <c r="H2196">
        <v>5706959</v>
      </c>
      <c r="I2196">
        <v>3796099</v>
      </c>
      <c r="J2196">
        <v>-92943848</v>
      </c>
      <c r="K2196">
        <v>-11063493</v>
      </c>
      <c r="L2196">
        <v>-7443257</v>
      </c>
      <c r="M2196">
        <v>-82689</v>
      </c>
      <c r="N2196">
        <v>-2974022</v>
      </c>
      <c r="O2196">
        <v>-10389982</v>
      </c>
      <c r="P2196">
        <v>66</v>
      </c>
      <c r="Q2196" t="s">
        <v>4720</v>
      </c>
    </row>
    <row r="2197" spans="1:17" x14ac:dyDescent="0.3">
      <c r="A2197" t="s">
        <v>17</v>
      </c>
      <c r="B2197" t="str">
        <f>"603037"</f>
        <v>603037</v>
      </c>
      <c r="C2197" t="s">
        <v>4721</v>
      </c>
      <c r="D2197" t="s">
        <v>858</v>
      </c>
      <c r="E2197">
        <v>-1385756</v>
      </c>
      <c r="F2197">
        <v>8760082</v>
      </c>
      <c r="G2197">
        <v>36376015</v>
      </c>
      <c r="H2197">
        <v>18386668</v>
      </c>
      <c r="I2197">
        <v>17681190</v>
      </c>
      <c r="J2197">
        <v>-22730723</v>
      </c>
      <c r="K2197">
        <v>9766235</v>
      </c>
      <c r="P2197">
        <v>230</v>
      </c>
      <c r="Q2197" t="s">
        <v>4722</v>
      </c>
    </row>
    <row r="2198" spans="1:17" x14ac:dyDescent="0.3">
      <c r="A2198" t="s">
        <v>33</v>
      </c>
      <c r="B2198" t="str">
        <f>"002989"</f>
        <v>002989</v>
      </c>
      <c r="C2198" t="s">
        <v>4723</v>
      </c>
      <c r="D2198" t="s">
        <v>1779</v>
      </c>
      <c r="E2198">
        <v>-1393648</v>
      </c>
      <c r="F2198">
        <v>-207374221</v>
      </c>
      <c r="G2198">
        <v>-187469174</v>
      </c>
      <c r="H2198">
        <v>-86810350</v>
      </c>
      <c r="P2198">
        <v>137</v>
      </c>
      <c r="Q2198" t="s">
        <v>4724</v>
      </c>
    </row>
    <row r="2199" spans="1:17" x14ac:dyDescent="0.3">
      <c r="A2199" t="s">
        <v>33</v>
      </c>
      <c r="B2199" t="str">
        <f>"002730"</f>
        <v>002730</v>
      </c>
      <c r="C2199" t="s">
        <v>4725</v>
      </c>
      <c r="D2199" t="s">
        <v>1132</v>
      </c>
      <c r="E2199">
        <v>-1555189</v>
      </c>
      <c r="F2199">
        <v>52195771</v>
      </c>
      <c r="G2199">
        <v>20555004</v>
      </c>
      <c r="H2199">
        <v>25326071</v>
      </c>
      <c r="I2199">
        <v>-26926632</v>
      </c>
      <c r="J2199">
        <v>29415698</v>
      </c>
      <c r="K2199">
        <v>52195728</v>
      </c>
      <c r="L2199">
        <v>36421888</v>
      </c>
      <c r="M2199">
        <v>1446672</v>
      </c>
      <c r="P2199">
        <v>82</v>
      </c>
      <c r="Q2199" t="s">
        <v>4726</v>
      </c>
    </row>
    <row r="2200" spans="1:17" x14ac:dyDescent="0.3">
      <c r="A2200" t="s">
        <v>33</v>
      </c>
      <c r="B2200" t="str">
        <f>"000835"</f>
        <v>000835</v>
      </c>
      <c r="C2200" t="s">
        <v>4727</v>
      </c>
      <c r="D2200" t="s">
        <v>751</v>
      </c>
      <c r="E2200">
        <v>-1595567</v>
      </c>
      <c r="F2200">
        <v>539049</v>
      </c>
      <c r="G2200">
        <v>1232117</v>
      </c>
      <c r="H2200">
        <v>-11187905</v>
      </c>
      <c r="I2200">
        <v>-22801792</v>
      </c>
      <c r="J2200">
        <v>-6995970</v>
      </c>
      <c r="K2200">
        <v>-14531719</v>
      </c>
      <c r="L2200">
        <v>5694901</v>
      </c>
      <c r="M2200">
        <v>-13320840</v>
      </c>
      <c r="N2200">
        <v>-34143540</v>
      </c>
      <c r="O2200">
        <v>39901131</v>
      </c>
      <c r="P2200">
        <v>69</v>
      </c>
      <c r="Q2200" t="s">
        <v>4728</v>
      </c>
    </row>
    <row r="2201" spans="1:17" x14ac:dyDescent="0.3">
      <c r="A2201" t="s">
        <v>33</v>
      </c>
      <c r="B2201" t="str">
        <f>"301000"</f>
        <v>301000</v>
      </c>
      <c r="C2201" t="s">
        <v>4729</v>
      </c>
      <c r="D2201" t="s">
        <v>1419</v>
      </c>
      <c r="E2201">
        <v>-1621569</v>
      </c>
      <c r="F2201">
        <v>4826058</v>
      </c>
      <c r="G2201">
        <v>4979412</v>
      </c>
      <c r="P2201">
        <v>25</v>
      </c>
      <c r="Q2201" t="s">
        <v>4730</v>
      </c>
    </row>
    <row r="2202" spans="1:17" x14ac:dyDescent="0.3">
      <c r="A2202" t="s">
        <v>33</v>
      </c>
      <c r="B2202" t="str">
        <f>"301135"</f>
        <v>301135</v>
      </c>
      <c r="C2202" t="s">
        <v>4731</v>
      </c>
      <c r="E2202">
        <v>-1626553</v>
      </c>
      <c r="F2202">
        <v>646648</v>
      </c>
      <c r="P2202">
        <v>1</v>
      </c>
      <c r="Q2202" t="s">
        <v>4732</v>
      </c>
    </row>
    <row r="2203" spans="1:17" x14ac:dyDescent="0.3">
      <c r="A2203" t="s">
        <v>17</v>
      </c>
      <c r="B2203" t="str">
        <f>"601798"</f>
        <v>601798</v>
      </c>
      <c r="C2203" t="s">
        <v>4733</v>
      </c>
      <c r="D2203" t="s">
        <v>1132</v>
      </c>
      <c r="E2203">
        <v>-1634800</v>
      </c>
      <c r="F2203">
        <v>-12232573</v>
      </c>
      <c r="G2203">
        <v>-31346854</v>
      </c>
      <c r="H2203">
        <v>-54802802</v>
      </c>
      <c r="I2203">
        <v>-42378546</v>
      </c>
      <c r="J2203">
        <v>-37444110</v>
      </c>
      <c r="K2203">
        <v>-39491471</v>
      </c>
      <c r="L2203">
        <v>18964132</v>
      </c>
      <c r="M2203">
        <v>-26119897</v>
      </c>
      <c r="N2203">
        <v>40959350</v>
      </c>
      <c r="O2203">
        <v>-56699310</v>
      </c>
      <c r="P2203">
        <v>77</v>
      </c>
      <c r="Q2203" t="s">
        <v>4734</v>
      </c>
    </row>
    <row r="2204" spans="1:17" x14ac:dyDescent="0.3">
      <c r="A2204" t="s">
        <v>17</v>
      </c>
      <c r="B2204" t="str">
        <f>"600857"</f>
        <v>600857</v>
      </c>
      <c r="C2204" t="s">
        <v>4735</v>
      </c>
      <c r="D2204" t="s">
        <v>989</v>
      </c>
      <c r="E2204">
        <v>-1637970</v>
      </c>
      <c r="F2204">
        <v>-6790260</v>
      </c>
      <c r="G2204">
        <v>-9341038</v>
      </c>
      <c r="H2204">
        <v>-6809518</v>
      </c>
      <c r="I2204">
        <v>-30613421</v>
      </c>
      <c r="J2204">
        <v>-51885026</v>
      </c>
      <c r="K2204">
        <v>-12135237</v>
      </c>
      <c r="L2204">
        <v>-22609477</v>
      </c>
      <c r="M2204">
        <v>-39047609</v>
      </c>
      <c r="N2204">
        <v>-21917947</v>
      </c>
      <c r="O2204">
        <v>-31628415</v>
      </c>
      <c r="P2204">
        <v>74</v>
      </c>
      <c r="Q2204" t="s">
        <v>4736</v>
      </c>
    </row>
    <row r="2205" spans="1:17" x14ac:dyDescent="0.3">
      <c r="A2205" t="s">
        <v>17</v>
      </c>
      <c r="B2205" t="str">
        <f>"603041"</f>
        <v>603041</v>
      </c>
      <c r="C2205" t="s">
        <v>4737</v>
      </c>
      <c r="D2205" t="s">
        <v>195</v>
      </c>
      <c r="E2205">
        <v>-1658667</v>
      </c>
      <c r="F2205">
        <v>7765809</v>
      </c>
      <c r="G2205">
        <v>13515355</v>
      </c>
      <c r="H2205">
        <v>9761204</v>
      </c>
      <c r="I2205">
        <v>-15343023</v>
      </c>
      <c r="J2205">
        <v>-1864109</v>
      </c>
      <c r="K2205">
        <v>2516724</v>
      </c>
      <c r="P2205">
        <v>98</v>
      </c>
      <c r="Q2205" t="s">
        <v>4738</v>
      </c>
    </row>
    <row r="2206" spans="1:17" x14ac:dyDescent="0.3">
      <c r="A2206" t="s">
        <v>33</v>
      </c>
      <c r="B2206" t="str">
        <f>"300705"</f>
        <v>300705</v>
      </c>
      <c r="C2206" t="s">
        <v>4739</v>
      </c>
      <c r="D2206" t="s">
        <v>590</v>
      </c>
      <c r="E2206">
        <v>-1848283</v>
      </c>
      <c r="F2206">
        <v>13000923</v>
      </c>
      <c r="G2206">
        <v>15442990</v>
      </c>
      <c r="H2206">
        <v>-20630363</v>
      </c>
      <c r="I2206">
        <v>-28635250</v>
      </c>
      <c r="J2206">
        <v>-4169254</v>
      </c>
      <c r="P2206">
        <v>167</v>
      </c>
      <c r="Q2206" t="s">
        <v>4740</v>
      </c>
    </row>
    <row r="2207" spans="1:17" x14ac:dyDescent="0.3">
      <c r="A2207" t="s">
        <v>33</v>
      </c>
      <c r="B2207" t="str">
        <f>"002613"</f>
        <v>002613</v>
      </c>
      <c r="C2207" t="s">
        <v>4741</v>
      </c>
      <c r="D2207" t="s">
        <v>1025</v>
      </c>
      <c r="E2207">
        <v>-1934611</v>
      </c>
      <c r="F2207">
        <v>22507670</v>
      </c>
      <c r="G2207">
        <v>-7781794</v>
      </c>
      <c r="H2207">
        <v>5583461</v>
      </c>
      <c r="I2207">
        <v>8209373</v>
      </c>
      <c r="J2207">
        <v>13025919</v>
      </c>
      <c r="K2207">
        <v>-2497493</v>
      </c>
      <c r="L2207">
        <v>-16581294</v>
      </c>
      <c r="M2207">
        <v>-9911460</v>
      </c>
      <c r="N2207">
        <v>-630543</v>
      </c>
      <c r="O2207">
        <v>-9287937</v>
      </c>
      <c r="P2207">
        <v>90</v>
      </c>
      <c r="Q2207" t="s">
        <v>4742</v>
      </c>
    </row>
    <row r="2208" spans="1:17" x14ac:dyDescent="0.3">
      <c r="A2208" t="s">
        <v>33</v>
      </c>
      <c r="B2208" t="str">
        <f>"300300"</f>
        <v>300300</v>
      </c>
      <c r="C2208" t="s">
        <v>4743</v>
      </c>
      <c r="D2208" t="s">
        <v>508</v>
      </c>
      <c r="E2208">
        <v>-1943283</v>
      </c>
      <c r="F2208">
        <v>-48709514</v>
      </c>
      <c r="G2208">
        <v>-16264253</v>
      </c>
      <c r="H2208">
        <v>-52238794</v>
      </c>
      <c r="I2208">
        <v>-7261357</v>
      </c>
      <c r="J2208">
        <v>16889818</v>
      </c>
      <c r="K2208">
        <v>-46211794</v>
      </c>
      <c r="L2208">
        <v>-39171953</v>
      </c>
      <c r="M2208">
        <v>-75390500</v>
      </c>
      <c r="N2208">
        <v>-28020697</v>
      </c>
      <c r="O2208">
        <v>-18738796</v>
      </c>
      <c r="P2208">
        <v>121</v>
      </c>
      <c r="Q2208" t="s">
        <v>4744</v>
      </c>
    </row>
    <row r="2209" spans="1:17" x14ac:dyDescent="0.3">
      <c r="A2209" t="s">
        <v>33</v>
      </c>
      <c r="B2209" t="str">
        <f>"000586"</f>
        <v>000586</v>
      </c>
      <c r="C2209" t="s">
        <v>4745</v>
      </c>
      <c r="D2209" t="s">
        <v>1302</v>
      </c>
      <c r="E2209">
        <v>-1959986</v>
      </c>
      <c r="F2209">
        <v>-13031559</v>
      </c>
      <c r="G2209">
        <v>-34702427</v>
      </c>
      <c r="H2209">
        <v>-21972274</v>
      </c>
      <c r="I2209">
        <v>-8446875</v>
      </c>
      <c r="J2209">
        <v>-53665568</v>
      </c>
      <c r="K2209">
        <v>-38505418</v>
      </c>
      <c r="L2209">
        <v>-35733791</v>
      </c>
      <c r="M2209">
        <v>-48819013</v>
      </c>
      <c r="N2209">
        <v>-34814797</v>
      </c>
      <c r="O2209">
        <v>-29699045</v>
      </c>
      <c r="P2209">
        <v>145</v>
      </c>
      <c r="Q2209" t="s">
        <v>4746</v>
      </c>
    </row>
    <row r="2210" spans="1:17" x14ac:dyDescent="0.3">
      <c r="A2210" t="s">
        <v>17</v>
      </c>
      <c r="B2210" t="str">
        <f>"600868"</f>
        <v>600868</v>
      </c>
      <c r="C2210" t="s">
        <v>4747</v>
      </c>
      <c r="D2210" t="s">
        <v>205</v>
      </c>
      <c r="E2210">
        <v>-1987411</v>
      </c>
      <c r="F2210">
        <v>6284909</v>
      </c>
      <c r="G2210">
        <v>18429404</v>
      </c>
      <c r="H2210">
        <v>10929744</v>
      </c>
      <c r="I2210">
        <v>6608146</v>
      </c>
      <c r="J2210">
        <v>20693692</v>
      </c>
      <c r="K2210">
        <v>43059678</v>
      </c>
      <c r="L2210">
        <v>1251502</v>
      </c>
      <c r="M2210">
        <v>9577310</v>
      </c>
      <c r="N2210">
        <v>12492121</v>
      </c>
      <c r="O2210">
        <v>23407250</v>
      </c>
      <c r="P2210">
        <v>125</v>
      </c>
      <c r="Q2210" t="s">
        <v>4748</v>
      </c>
    </row>
    <row r="2211" spans="1:17" x14ac:dyDescent="0.3">
      <c r="A2211" t="s">
        <v>17</v>
      </c>
      <c r="B2211" t="str">
        <f>"603121"</f>
        <v>603121</v>
      </c>
      <c r="C2211" t="s">
        <v>4749</v>
      </c>
      <c r="D2211" t="s">
        <v>858</v>
      </c>
      <c r="E2211">
        <v>-2044479</v>
      </c>
      <c r="F2211">
        <v>6223987</v>
      </c>
      <c r="G2211">
        <v>47269200</v>
      </c>
      <c r="H2211">
        <v>15874090</v>
      </c>
      <c r="I2211">
        <v>11675786</v>
      </c>
      <c r="P2211">
        <v>77</v>
      </c>
      <c r="Q2211" t="s">
        <v>4750</v>
      </c>
    </row>
    <row r="2212" spans="1:17" x14ac:dyDescent="0.3">
      <c r="A2212" t="s">
        <v>33</v>
      </c>
      <c r="B2212" t="str">
        <f>"300998"</f>
        <v>300998</v>
      </c>
      <c r="C2212" t="s">
        <v>4751</v>
      </c>
      <c r="D2212" t="s">
        <v>1419</v>
      </c>
      <c r="E2212">
        <v>-2054656</v>
      </c>
      <c r="F2212">
        <v>5901904</v>
      </c>
      <c r="P2212">
        <v>26</v>
      </c>
      <c r="Q2212" t="s">
        <v>4752</v>
      </c>
    </row>
    <row r="2213" spans="1:17" x14ac:dyDescent="0.3">
      <c r="A2213" t="s">
        <v>33</v>
      </c>
      <c r="B2213" t="str">
        <f>"300994"</f>
        <v>300994</v>
      </c>
      <c r="C2213" t="s">
        <v>4753</v>
      </c>
      <c r="D2213" t="s">
        <v>545</v>
      </c>
      <c r="E2213">
        <v>-2076954</v>
      </c>
      <c r="F2213">
        <v>-160041390</v>
      </c>
      <c r="G2213">
        <v>-57133517</v>
      </c>
      <c r="P2213">
        <v>21</v>
      </c>
      <c r="Q2213" t="s">
        <v>4754</v>
      </c>
    </row>
    <row r="2214" spans="1:17" x14ac:dyDescent="0.3">
      <c r="A2214" t="s">
        <v>33</v>
      </c>
      <c r="B2214" t="str">
        <f>"300076"</f>
        <v>300076</v>
      </c>
      <c r="C2214" t="s">
        <v>4755</v>
      </c>
      <c r="D2214" t="s">
        <v>102</v>
      </c>
      <c r="E2214">
        <v>-2079304</v>
      </c>
      <c r="F2214">
        <v>-137829952</v>
      </c>
      <c r="G2214">
        <v>19212095</v>
      </c>
      <c r="H2214">
        <v>-16175835</v>
      </c>
      <c r="I2214">
        <v>-24284164</v>
      </c>
      <c r="J2214">
        <v>-20190697</v>
      </c>
      <c r="K2214">
        <v>-11946177</v>
      </c>
      <c r="L2214">
        <v>-3670335</v>
      </c>
      <c r="M2214">
        <v>-9622448</v>
      </c>
      <c r="N2214">
        <v>-20780722</v>
      </c>
      <c r="O2214">
        <v>-25856812</v>
      </c>
      <c r="P2214">
        <v>93</v>
      </c>
      <c r="Q2214" t="s">
        <v>4756</v>
      </c>
    </row>
    <row r="2215" spans="1:17" x14ac:dyDescent="0.3">
      <c r="A2215" t="s">
        <v>17</v>
      </c>
      <c r="B2215" t="str">
        <f>"600139"</f>
        <v>600139</v>
      </c>
      <c r="C2215" t="s">
        <v>4757</v>
      </c>
      <c r="D2215" t="s">
        <v>180</v>
      </c>
      <c r="E2215">
        <v>-2130601</v>
      </c>
      <c r="F2215">
        <v>-171909631</v>
      </c>
      <c r="G2215">
        <v>19737040</v>
      </c>
      <c r="H2215">
        <v>-345814830</v>
      </c>
      <c r="I2215">
        <v>-6867175</v>
      </c>
      <c r="J2215">
        <v>21285424</v>
      </c>
      <c r="K2215">
        <v>119929190</v>
      </c>
      <c r="L2215">
        <v>-217810254</v>
      </c>
      <c r="M2215">
        <v>-38805749</v>
      </c>
      <c r="N2215">
        <v>46621586</v>
      </c>
      <c r="O2215">
        <v>69316951</v>
      </c>
      <c r="P2215">
        <v>90</v>
      </c>
      <c r="Q2215" t="s">
        <v>4758</v>
      </c>
    </row>
    <row r="2216" spans="1:17" x14ac:dyDescent="0.3">
      <c r="A2216" t="s">
        <v>33</v>
      </c>
      <c r="B2216" t="str">
        <f>"002207"</f>
        <v>002207</v>
      </c>
      <c r="C2216" t="s">
        <v>4759</v>
      </c>
      <c r="D2216" t="s">
        <v>348</v>
      </c>
      <c r="E2216">
        <v>-2132786</v>
      </c>
      <c r="F2216">
        <v>23302705</v>
      </c>
      <c r="G2216">
        <v>4150539</v>
      </c>
      <c r="H2216">
        <v>12477922</v>
      </c>
      <c r="I2216">
        <v>-19898401</v>
      </c>
      <c r="J2216">
        <v>-28098819</v>
      </c>
      <c r="K2216">
        <v>-54119433</v>
      </c>
      <c r="L2216">
        <v>50350139</v>
      </c>
      <c r="M2216">
        <v>-75586426</v>
      </c>
      <c r="N2216">
        <v>-638317</v>
      </c>
      <c r="O2216">
        <v>-32940767</v>
      </c>
      <c r="P2216">
        <v>73</v>
      </c>
      <c r="Q2216" t="s">
        <v>4760</v>
      </c>
    </row>
    <row r="2217" spans="1:17" x14ac:dyDescent="0.3">
      <c r="A2217" t="s">
        <v>33</v>
      </c>
      <c r="B2217" t="str">
        <f>"300220"</f>
        <v>300220</v>
      </c>
      <c r="C2217" t="s">
        <v>4761</v>
      </c>
      <c r="D2217" t="s">
        <v>3169</v>
      </c>
      <c r="E2217">
        <v>-2133455</v>
      </c>
      <c r="F2217">
        <v>-11915353</v>
      </c>
      <c r="G2217">
        <v>-6008957</v>
      </c>
      <c r="H2217">
        <v>534290</v>
      </c>
      <c r="I2217">
        <v>-7489952</v>
      </c>
      <c r="J2217">
        <v>-5189859</v>
      </c>
      <c r="K2217">
        <v>-10851121</v>
      </c>
      <c r="L2217">
        <v>-11638534</v>
      </c>
      <c r="M2217">
        <v>-27746453</v>
      </c>
      <c r="N2217">
        <v>-10625599</v>
      </c>
      <c r="O2217">
        <v>352499</v>
      </c>
      <c r="P2217">
        <v>91</v>
      </c>
      <c r="Q2217" t="s">
        <v>4762</v>
      </c>
    </row>
    <row r="2218" spans="1:17" x14ac:dyDescent="0.3">
      <c r="A2218" t="s">
        <v>17</v>
      </c>
      <c r="B2218" t="str">
        <f>"688789"</f>
        <v>688789</v>
      </c>
      <c r="C2218" t="s">
        <v>4763</v>
      </c>
      <c r="D2218" t="s">
        <v>2847</v>
      </c>
      <c r="E2218">
        <v>-2177817</v>
      </c>
      <c r="F2218">
        <v>-4222810</v>
      </c>
      <c r="G2218">
        <v>-30462761</v>
      </c>
      <c r="P2218">
        <v>43</v>
      </c>
      <c r="Q2218" t="s">
        <v>4764</v>
      </c>
    </row>
    <row r="2219" spans="1:17" x14ac:dyDescent="0.3">
      <c r="A2219" t="s">
        <v>17</v>
      </c>
      <c r="B2219" t="str">
        <f>"603229"</f>
        <v>603229</v>
      </c>
      <c r="C2219" t="s">
        <v>4765</v>
      </c>
      <c r="D2219" t="s">
        <v>941</v>
      </c>
      <c r="E2219">
        <v>-2327837</v>
      </c>
      <c r="F2219">
        <v>-1903713</v>
      </c>
      <c r="G2219">
        <v>16785431</v>
      </c>
      <c r="H2219">
        <v>24290993</v>
      </c>
      <c r="I2219">
        <v>6727385</v>
      </c>
      <c r="J2219">
        <v>14954602</v>
      </c>
      <c r="K2219">
        <v>-5825449</v>
      </c>
      <c r="P2219">
        <v>164</v>
      </c>
      <c r="Q2219" t="s">
        <v>4766</v>
      </c>
    </row>
    <row r="2220" spans="1:17" x14ac:dyDescent="0.3">
      <c r="A2220" t="s">
        <v>33</v>
      </c>
      <c r="B2220" t="str">
        <f>"301033"</f>
        <v>301033</v>
      </c>
      <c r="C2220" t="s">
        <v>4767</v>
      </c>
      <c r="D2220" t="s">
        <v>903</v>
      </c>
      <c r="E2220">
        <v>-2353329</v>
      </c>
      <c r="F2220">
        <v>5195742</v>
      </c>
      <c r="G2220">
        <v>-6563523</v>
      </c>
      <c r="P2220">
        <v>31</v>
      </c>
      <c r="Q2220" t="s">
        <v>4768</v>
      </c>
    </row>
    <row r="2221" spans="1:17" x14ac:dyDescent="0.3">
      <c r="A2221" t="s">
        <v>17</v>
      </c>
      <c r="B2221" t="str">
        <f>"603258"</f>
        <v>603258</v>
      </c>
      <c r="C2221" t="s">
        <v>4769</v>
      </c>
      <c r="D2221" t="s">
        <v>751</v>
      </c>
      <c r="E2221">
        <v>-2357877</v>
      </c>
      <c r="F2221">
        <v>65978650</v>
      </c>
      <c r="G2221">
        <v>145073878</v>
      </c>
      <c r="H2221">
        <v>25313212</v>
      </c>
      <c r="I2221">
        <v>-50705354</v>
      </c>
      <c r="J2221">
        <v>42206232</v>
      </c>
      <c r="K2221">
        <v>85428826</v>
      </c>
      <c r="P2221">
        <v>770</v>
      </c>
      <c r="Q2221" t="s">
        <v>4770</v>
      </c>
    </row>
    <row r="2222" spans="1:17" x14ac:dyDescent="0.3">
      <c r="A2222" t="s">
        <v>17</v>
      </c>
      <c r="B2222" t="str">
        <f>"605080"</f>
        <v>605080</v>
      </c>
      <c r="C2222" t="s">
        <v>4771</v>
      </c>
      <c r="D2222" t="s">
        <v>3234</v>
      </c>
      <c r="E2222">
        <v>-2374028</v>
      </c>
      <c r="F2222">
        <v>11039271</v>
      </c>
      <c r="G2222">
        <v>28210450</v>
      </c>
      <c r="P2222">
        <v>47</v>
      </c>
      <c r="Q2222" t="s">
        <v>4772</v>
      </c>
    </row>
    <row r="2223" spans="1:17" x14ac:dyDescent="0.3">
      <c r="A2223" t="s">
        <v>33</v>
      </c>
      <c r="B2223" t="str">
        <f>"300334"</f>
        <v>300334</v>
      </c>
      <c r="C2223" t="s">
        <v>4773</v>
      </c>
      <c r="D2223" t="s">
        <v>932</v>
      </c>
      <c r="E2223">
        <v>-2400292</v>
      </c>
      <c r="F2223">
        <v>3556123</v>
      </c>
      <c r="G2223">
        <v>56060159</v>
      </c>
      <c r="H2223">
        <v>-27450073</v>
      </c>
      <c r="I2223">
        <v>-17180446</v>
      </c>
      <c r="J2223">
        <v>-76420837</v>
      </c>
      <c r="K2223">
        <v>-81293336</v>
      </c>
      <c r="L2223">
        <v>-78790302</v>
      </c>
      <c r="M2223">
        <v>-110704613</v>
      </c>
      <c r="N2223">
        <v>-28439031</v>
      </c>
      <c r="O2223">
        <v>-45874706</v>
      </c>
      <c r="P2223">
        <v>80</v>
      </c>
      <c r="Q2223" t="s">
        <v>4774</v>
      </c>
    </row>
    <row r="2224" spans="1:17" x14ac:dyDescent="0.3">
      <c r="A2224" t="s">
        <v>33</v>
      </c>
      <c r="B2224" t="str">
        <f>"000920"</f>
        <v>000920</v>
      </c>
      <c r="C2224" t="s">
        <v>4775</v>
      </c>
      <c r="D2224" t="s">
        <v>932</v>
      </c>
      <c r="E2224">
        <v>-2405369</v>
      </c>
      <c r="F2224">
        <v>23994818</v>
      </c>
      <c r="G2224">
        <v>54868565</v>
      </c>
      <c r="H2224">
        <v>-21971406</v>
      </c>
      <c r="I2224">
        <v>-35970919</v>
      </c>
      <c r="J2224">
        <v>14824543</v>
      </c>
      <c r="K2224">
        <v>42927284</v>
      </c>
      <c r="L2224">
        <v>28597786</v>
      </c>
      <c r="M2224">
        <v>-38069597</v>
      </c>
      <c r="N2224">
        <v>-103205907</v>
      </c>
      <c r="O2224">
        <v>-143523127</v>
      </c>
      <c r="P2224">
        <v>122</v>
      </c>
      <c r="Q2224" t="s">
        <v>4776</v>
      </c>
    </row>
    <row r="2225" spans="1:17" x14ac:dyDescent="0.3">
      <c r="A2225" t="s">
        <v>33</v>
      </c>
      <c r="B2225" t="str">
        <f>"300915"</f>
        <v>300915</v>
      </c>
      <c r="C2225" t="s">
        <v>4777</v>
      </c>
      <c r="D2225" t="s">
        <v>918</v>
      </c>
      <c r="E2225">
        <v>-2405722</v>
      </c>
      <c r="F2225">
        <v>-42997077</v>
      </c>
      <c r="G2225">
        <v>-88109778</v>
      </c>
      <c r="P2225">
        <v>101</v>
      </c>
      <c r="Q2225" t="s">
        <v>4778</v>
      </c>
    </row>
    <row r="2226" spans="1:17" x14ac:dyDescent="0.3">
      <c r="A2226" t="s">
        <v>17</v>
      </c>
      <c r="B2226" t="str">
        <f>"688080"</f>
        <v>688080</v>
      </c>
      <c r="C2226" t="s">
        <v>4779</v>
      </c>
      <c r="D2226" t="s">
        <v>2475</v>
      </c>
      <c r="E2226">
        <v>-2450434</v>
      </c>
      <c r="F2226">
        <v>6817283</v>
      </c>
      <c r="G2226">
        <v>-3406271</v>
      </c>
      <c r="H2226">
        <v>-6616459</v>
      </c>
      <c r="P2226">
        <v>87</v>
      </c>
      <c r="Q2226" t="s">
        <v>4780</v>
      </c>
    </row>
    <row r="2227" spans="1:17" x14ac:dyDescent="0.3">
      <c r="A2227" t="s">
        <v>17</v>
      </c>
      <c r="B2227" t="str">
        <f>"688270"</f>
        <v>688270</v>
      </c>
      <c r="C2227" t="s">
        <v>4781</v>
      </c>
      <c r="E2227">
        <v>-2489239</v>
      </c>
      <c r="P2227">
        <v>12</v>
      </c>
      <c r="Q2227" t="s">
        <v>4782</v>
      </c>
    </row>
    <row r="2228" spans="1:17" x14ac:dyDescent="0.3">
      <c r="A2228" t="s">
        <v>33</v>
      </c>
      <c r="B2228" t="str">
        <f>"002398"</f>
        <v>002398</v>
      </c>
      <c r="C2228" t="s">
        <v>4783</v>
      </c>
      <c r="D2228" t="s">
        <v>2632</v>
      </c>
      <c r="E2228">
        <v>-2492867</v>
      </c>
      <c r="F2228">
        <v>-110194005</v>
      </c>
      <c r="G2228">
        <v>-119566136</v>
      </c>
      <c r="H2228">
        <v>-116900084</v>
      </c>
      <c r="I2228">
        <v>27453757</v>
      </c>
      <c r="J2228">
        <v>-13675631</v>
      </c>
      <c r="K2228">
        <v>-11254410</v>
      </c>
      <c r="L2228">
        <v>11472922</v>
      </c>
      <c r="M2228">
        <v>-25133201</v>
      </c>
      <c r="N2228">
        <v>-15468136</v>
      </c>
      <c r="O2228">
        <v>-14978622</v>
      </c>
      <c r="P2228">
        <v>217</v>
      </c>
      <c r="Q2228" t="s">
        <v>4784</v>
      </c>
    </row>
    <row r="2229" spans="1:17" x14ac:dyDescent="0.3">
      <c r="A2229" t="s">
        <v>17</v>
      </c>
      <c r="B2229" t="str">
        <f>"603856"</f>
        <v>603856</v>
      </c>
      <c r="C2229" t="s">
        <v>4785</v>
      </c>
      <c r="D2229" t="s">
        <v>1169</v>
      </c>
      <c r="E2229">
        <v>-2499505</v>
      </c>
      <c r="F2229">
        <v>-133686834</v>
      </c>
      <c r="G2229">
        <v>-19996740</v>
      </c>
      <c r="H2229">
        <v>35648452</v>
      </c>
      <c r="I2229">
        <v>-62830351</v>
      </c>
      <c r="J2229">
        <v>26119836</v>
      </c>
      <c r="P2229">
        <v>138</v>
      </c>
      <c r="Q2229" t="s">
        <v>4786</v>
      </c>
    </row>
    <row r="2230" spans="1:17" x14ac:dyDescent="0.3">
      <c r="A2230" t="s">
        <v>33</v>
      </c>
      <c r="B2230" t="str">
        <f>"300813"</f>
        <v>300813</v>
      </c>
      <c r="C2230" t="s">
        <v>4787</v>
      </c>
      <c r="D2230" t="s">
        <v>1895</v>
      </c>
      <c r="E2230">
        <v>-2502548</v>
      </c>
      <c r="F2230">
        <v>-11806522</v>
      </c>
      <c r="G2230">
        <v>16536884</v>
      </c>
      <c r="H2230">
        <v>-2816294</v>
      </c>
      <c r="P2230">
        <v>106</v>
      </c>
      <c r="Q2230" t="s">
        <v>4788</v>
      </c>
    </row>
    <row r="2231" spans="1:17" x14ac:dyDescent="0.3">
      <c r="A2231" t="s">
        <v>33</v>
      </c>
      <c r="B2231" t="str">
        <f>"002972"</f>
        <v>002972</v>
      </c>
      <c r="C2231" t="s">
        <v>4789</v>
      </c>
      <c r="D2231" t="s">
        <v>1703</v>
      </c>
      <c r="E2231">
        <v>-2616361</v>
      </c>
      <c r="F2231">
        <v>-20086648</v>
      </c>
      <c r="G2231">
        <v>-10694830</v>
      </c>
      <c r="H2231">
        <v>-14939314</v>
      </c>
      <c r="I2231">
        <v>-15689531</v>
      </c>
      <c r="P2231">
        <v>188</v>
      </c>
      <c r="Q2231" t="s">
        <v>4790</v>
      </c>
    </row>
    <row r="2232" spans="1:17" x14ac:dyDescent="0.3">
      <c r="A2232" t="s">
        <v>17</v>
      </c>
      <c r="B2232" t="str">
        <f>"603023"</f>
        <v>603023</v>
      </c>
      <c r="C2232" t="s">
        <v>4791</v>
      </c>
      <c r="D2232" t="s">
        <v>603</v>
      </c>
      <c r="E2232">
        <v>-2640566</v>
      </c>
      <c r="F2232">
        <v>5582908</v>
      </c>
      <c r="G2232">
        <v>555078</v>
      </c>
      <c r="H2232">
        <v>-1780312</v>
      </c>
      <c r="I2232">
        <v>-4015264</v>
      </c>
      <c r="J2232">
        <v>15632697</v>
      </c>
      <c r="K2232">
        <v>12212631</v>
      </c>
      <c r="L2232">
        <v>15298300</v>
      </c>
      <c r="M2232">
        <v>15458000</v>
      </c>
      <c r="P2232">
        <v>150</v>
      </c>
      <c r="Q2232" t="s">
        <v>4792</v>
      </c>
    </row>
    <row r="2233" spans="1:17" x14ac:dyDescent="0.3">
      <c r="A2233" t="s">
        <v>33</v>
      </c>
      <c r="B2233" t="str">
        <f>"300264"</f>
        <v>300264</v>
      </c>
      <c r="C2233" t="s">
        <v>4793</v>
      </c>
      <c r="D2233" t="s">
        <v>508</v>
      </c>
      <c r="E2233">
        <v>-2649953</v>
      </c>
      <c r="F2233">
        <v>-15797015</v>
      </c>
      <c r="G2233">
        <v>-11281722</v>
      </c>
      <c r="H2233">
        <v>-19487920</v>
      </c>
      <c r="I2233">
        <v>-56373474</v>
      </c>
      <c r="J2233">
        <v>-50893172</v>
      </c>
      <c r="K2233">
        <v>-14176026</v>
      </c>
      <c r="L2233">
        <v>-22574921</v>
      </c>
      <c r="M2233">
        <v>-15751441</v>
      </c>
      <c r="N2233">
        <v>-38585430</v>
      </c>
      <c r="O2233">
        <v>-34737078</v>
      </c>
      <c r="P2233">
        <v>132</v>
      </c>
      <c r="Q2233" t="s">
        <v>4794</v>
      </c>
    </row>
    <row r="2234" spans="1:17" x14ac:dyDescent="0.3">
      <c r="A2234" t="s">
        <v>33</v>
      </c>
      <c r="B2234" t="str">
        <f>"300736"</f>
        <v>300736</v>
      </c>
      <c r="C2234" t="s">
        <v>4795</v>
      </c>
      <c r="D2234" t="s">
        <v>499</v>
      </c>
      <c r="E2234">
        <v>-2673385</v>
      </c>
      <c r="F2234">
        <v>5223980</v>
      </c>
      <c r="G2234">
        <v>-15220952</v>
      </c>
      <c r="H2234">
        <v>-31058425</v>
      </c>
      <c r="I2234">
        <v>24028141</v>
      </c>
      <c r="J2234">
        <v>30514123</v>
      </c>
      <c r="P2234">
        <v>114</v>
      </c>
      <c r="Q2234" t="s">
        <v>4796</v>
      </c>
    </row>
    <row r="2235" spans="1:17" x14ac:dyDescent="0.3">
      <c r="A2235" t="s">
        <v>33</v>
      </c>
      <c r="B2235" t="str">
        <f>"002725"</f>
        <v>002725</v>
      </c>
      <c r="C2235" t="s">
        <v>4797</v>
      </c>
      <c r="D2235" t="s">
        <v>1618</v>
      </c>
      <c r="E2235">
        <v>-2715082</v>
      </c>
      <c r="F2235">
        <v>4646054</v>
      </c>
      <c r="G2235">
        <v>-37528344</v>
      </c>
      <c r="H2235">
        <v>15228451</v>
      </c>
      <c r="I2235">
        <v>-49083221</v>
      </c>
      <c r="J2235">
        <v>1908770</v>
      </c>
      <c r="K2235">
        <v>-9443209</v>
      </c>
      <c r="L2235">
        <v>35612680</v>
      </c>
      <c r="M2235">
        <v>15432745</v>
      </c>
      <c r="N2235">
        <v>28564440</v>
      </c>
      <c r="P2235">
        <v>135</v>
      </c>
      <c r="Q2235" t="s">
        <v>4798</v>
      </c>
    </row>
    <row r="2236" spans="1:17" x14ac:dyDescent="0.3">
      <c r="A2236" t="s">
        <v>33</v>
      </c>
      <c r="B2236" t="str">
        <f>"300620"</f>
        <v>300620</v>
      </c>
      <c r="C2236" t="s">
        <v>4799</v>
      </c>
      <c r="D2236" t="s">
        <v>461</v>
      </c>
      <c r="E2236">
        <v>-2796073</v>
      </c>
      <c r="F2236">
        <v>-1713462</v>
      </c>
      <c r="G2236">
        <v>13135381</v>
      </c>
      <c r="H2236">
        <v>4614687</v>
      </c>
      <c r="I2236">
        <v>9149477</v>
      </c>
      <c r="J2236">
        <v>4438606</v>
      </c>
      <c r="K2236">
        <v>4989185</v>
      </c>
      <c r="P2236">
        <v>245</v>
      </c>
      <c r="Q2236" t="s">
        <v>4800</v>
      </c>
    </row>
    <row r="2237" spans="1:17" x14ac:dyDescent="0.3">
      <c r="A2237" t="s">
        <v>33</v>
      </c>
      <c r="B2237" t="str">
        <f>"002887"</f>
        <v>002887</v>
      </c>
      <c r="C2237" t="s">
        <v>4801</v>
      </c>
      <c r="D2237" t="s">
        <v>2171</v>
      </c>
      <c r="E2237">
        <v>-2803079</v>
      </c>
      <c r="F2237">
        <v>26878910</v>
      </c>
      <c r="G2237">
        <v>20109112</v>
      </c>
      <c r="H2237">
        <v>-36112481</v>
      </c>
      <c r="I2237">
        <v>-46016404</v>
      </c>
      <c r="J2237">
        <v>9831201</v>
      </c>
      <c r="K2237">
        <v>-41390315</v>
      </c>
      <c r="P2237">
        <v>167</v>
      </c>
      <c r="Q2237" t="s">
        <v>4802</v>
      </c>
    </row>
    <row r="2238" spans="1:17" x14ac:dyDescent="0.3">
      <c r="A2238" t="s">
        <v>33</v>
      </c>
      <c r="B2238" t="str">
        <f>"300272"</f>
        <v>300272</v>
      </c>
      <c r="C2238" t="s">
        <v>4803</v>
      </c>
      <c r="D2238" t="s">
        <v>849</v>
      </c>
      <c r="E2238">
        <v>-2808939</v>
      </c>
      <c r="F2238">
        <v>28443512</v>
      </c>
      <c r="G2238">
        <v>-9012490</v>
      </c>
      <c r="H2238">
        <v>22970089</v>
      </c>
      <c r="I2238">
        <v>221977</v>
      </c>
      <c r="J2238">
        <v>-33324321</v>
      </c>
      <c r="K2238">
        <v>660206</v>
      </c>
      <c r="L2238">
        <v>603910</v>
      </c>
      <c r="M2238">
        <v>13981937</v>
      </c>
      <c r="N2238">
        <v>615748</v>
      </c>
      <c r="O2238">
        <v>-620644</v>
      </c>
      <c r="P2238">
        <v>131</v>
      </c>
      <c r="Q2238" t="s">
        <v>4804</v>
      </c>
    </row>
    <row r="2239" spans="1:17" x14ac:dyDescent="0.3">
      <c r="A2239" t="s">
        <v>33</v>
      </c>
      <c r="B2239" t="str">
        <f>"300703"</f>
        <v>300703</v>
      </c>
      <c r="C2239" t="s">
        <v>4805</v>
      </c>
      <c r="D2239" t="s">
        <v>4176</v>
      </c>
      <c r="E2239">
        <v>-2852578</v>
      </c>
      <c r="F2239">
        <v>-81578089</v>
      </c>
      <c r="G2239">
        <v>1074525</v>
      </c>
      <c r="H2239">
        <v>2273522</v>
      </c>
      <c r="I2239">
        <v>-48552042</v>
      </c>
      <c r="J2239">
        <v>18767707</v>
      </c>
      <c r="P2239">
        <v>109</v>
      </c>
      <c r="Q2239" t="s">
        <v>4806</v>
      </c>
    </row>
    <row r="2240" spans="1:17" x14ac:dyDescent="0.3">
      <c r="A2240" t="s">
        <v>33</v>
      </c>
      <c r="B2240" t="str">
        <f>"002329"</f>
        <v>002329</v>
      </c>
      <c r="C2240" t="s">
        <v>4807</v>
      </c>
      <c r="D2240" t="s">
        <v>918</v>
      </c>
      <c r="E2240">
        <v>-2887611</v>
      </c>
      <c r="F2240">
        <v>53225386</v>
      </c>
      <c r="G2240">
        <v>-80887191</v>
      </c>
      <c r="H2240">
        <v>-62175718</v>
      </c>
      <c r="I2240">
        <v>-40386314</v>
      </c>
      <c r="J2240">
        <v>160567779</v>
      </c>
      <c r="K2240">
        <v>-25630406</v>
      </c>
      <c r="L2240">
        <v>6151685</v>
      </c>
      <c r="M2240">
        <v>-22700724</v>
      </c>
      <c r="N2240">
        <v>32314654</v>
      </c>
      <c r="O2240">
        <v>-25596597</v>
      </c>
      <c r="P2240">
        <v>186</v>
      </c>
      <c r="Q2240" t="s">
        <v>4808</v>
      </c>
    </row>
    <row r="2241" spans="1:17" x14ac:dyDescent="0.3">
      <c r="A2241" t="s">
        <v>33</v>
      </c>
      <c r="B2241" t="str">
        <f>"300537"</f>
        <v>300537</v>
      </c>
      <c r="C2241" t="s">
        <v>4809</v>
      </c>
      <c r="D2241" t="s">
        <v>1330</v>
      </c>
      <c r="E2241">
        <v>-2925838</v>
      </c>
      <c r="F2241">
        <v>-15127616</v>
      </c>
      <c r="G2241">
        <v>34744984</v>
      </c>
      <c r="H2241">
        <v>-30509513</v>
      </c>
      <c r="I2241">
        <v>-13543666</v>
      </c>
      <c r="J2241">
        <v>6857589</v>
      </c>
      <c r="K2241">
        <v>4379778</v>
      </c>
      <c r="P2241">
        <v>225</v>
      </c>
      <c r="Q2241" t="s">
        <v>4810</v>
      </c>
    </row>
    <row r="2242" spans="1:17" x14ac:dyDescent="0.3">
      <c r="A2242" t="s">
        <v>17</v>
      </c>
      <c r="B2242" t="str">
        <f>"600226"</f>
        <v>600226</v>
      </c>
      <c r="C2242" t="s">
        <v>4811</v>
      </c>
      <c r="D2242" t="s">
        <v>751</v>
      </c>
      <c r="E2242">
        <v>-2931826</v>
      </c>
      <c r="F2242">
        <v>106999855</v>
      </c>
      <c r="G2242">
        <v>-23059046</v>
      </c>
      <c r="H2242">
        <v>-295738341</v>
      </c>
      <c r="I2242">
        <v>-109831367</v>
      </c>
      <c r="J2242">
        <v>-37453905</v>
      </c>
      <c r="K2242">
        <v>-59386864</v>
      </c>
      <c r="L2242">
        <v>9669036</v>
      </c>
      <c r="M2242">
        <v>-25863592</v>
      </c>
      <c r="N2242">
        <v>-54307585</v>
      </c>
      <c r="O2242">
        <v>34718707</v>
      </c>
      <c r="P2242">
        <v>109</v>
      </c>
      <c r="Q2242" t="s">
        <v>4812</v>
      </c>
    </row>
    <row r="2243" spans="1:17" x14ac:dyDescent="0.3">
      <c r="A2243" t="s">
        <v>17</v>
      </c>
      <c r="B2243" t="str">
        <f>"688067"</f>
        <v>688067</v>
      </c>
      <c r="C2243" t="s">
        <v>4813</v>
      </c>
      <c r="D2243" t="s">
        <v>221</v>
      </c>
      <c r="E2243">
        <v>-2965689</v>
      </c>
      <c r="F2243">
        <v>-10916337</v>
      </c>
      <c r="G2243">
        <v>1426673</v>
      </c>
      <c r="P2243">
        <v>35</v>
      </c>
      <c r="Q2243" t="s">
        <v>4814</v>
      </c>
    </row>
    <row r="2244" spans="1:17" x14ac:dyDescent="0.3">
      <c r="A2244" t="s">
        <v>17</v>
      </c>
      <c r="B2244" t="str">
        <f>"688359"</f>
        <v>688359</v>
      </c>
      <c r="C2244" t="s">
        <v>4815</v>
      </c>
      <c r="D2244" t="s">
        <v>1330</v>
      </c>
      <c r="E2244">
        <v>-2968068</v>
      </c>
      <c r="F2244">
        <v>-3866341</v>
      </c>
      <c r="G2244">
        <v>-3882948</v>
      </c>
      <c r="P2244">
        <v>23</v>
      </c>
      <c r="Q2244" t="s">
        <v>4816</v>
      </c>
    </row>
    <row r="2245" spans="1:17" x14ac:dyDescent="0.3">
      <c r="A2245" t="s">
        <v>33</v>
      </c>
      <c r="B2245" t="str">
        <f>"301089"</f>
        <v>301089</v>
      </c>
      <c r="C2245" t="s">
        <v>4817</v>
      </c>
      <c r="D2245" t="s">
        <v>941</v>
      </c>
      <c r="E2245">
        <v>-3072039</v>
      </c>
      <c r="P2245">
        <v>37</v>
      </c>
      <c r="Q2245" t="s">
        <v>4818</v>
      </c>
    </row>
    <row r="2246" spans="1:17" x14ac:dyDescent="0.3">
      <c r="A2246" t="s">
        <v>33</v>
      </c>
      <c r="B2246" t="str">
        <f>"301199"</f>
        <v>301199</v>
      </c>
      <c r="C2246" t="s">
        <v>4819</v>
      </c>
      <c r="D2246" t="s">
        <v>1142</v>
      </c>
      <c r="E2246">
        <v>-3081358</v>
      </c>
      <c r="P2246">
        <v>10</v>
      </c>
      <c r="Q2246" t="s">
        <v>4820</v>
      </c>
    </row>
    <row r="2247" spans="1:17" x14ac:dyDescent="0.3">
      <c r="A2247" t="s">
        <v>17</v>
      </c>
      <c r="B2247" t="str">
        <f>"688339"</f>
        <v>688339</v>
      </c>
      <c r="C2247" t="s">
        <v>4821</v>
      </c>
      <c r="D2247" t="s">
        <v>4822</v>
      </c>
      <c r="E2247">
        <v>-3130589</v>
      </c>
      <c r="F2247">
        <v>-42886679</v>
      </c>
      <c r="G2247">
        <v>-55903400</v>
      </c>
      <c r="H2247">
        <v>-85624393</v>
      </c>
      <c r="P2247">
        <v>153</v>
      </c>
      <c r="Q2247" t="s">
        <v>4823</v>
      </c>
    </row>
    <row r="2248" spans="1:17" x14ac:dyDescent="0.3">
      <c r="A2248" t="s">
        <v>33</v>
      </c>
      <c r="B2248" t="str">
        <f>"300549"</f>
        <v>300549</v>
      </c>
      <c r="C2248" t="s">
        <v>4824</v>
      </c>
      <c r="D2248" t="s">
        <v>1895</v>
      </c>
      <c r="E2248">
        <v>-3319531</v>
      </c>
      <c r="F2248">
        <v>-17074959</v>
      </c>
      <c r="G2248">
        <v>12985273</v>
      </c>
      <c r="H2248">
        <v>3185066</v>
      </c>
      <c r="I2248">
        <v>7582291</v>
      </c>
      <c r="J2248">
        <v>-8254627</v>
      </c>
      <c r="K2248">
        <v>15923306</v>
      </c>
      <c r="P2248">
        <v>92</v>
      </c>
      <c r="Q2248" t="s">
        <v>4825</v>
      </c>
    </row>
    <row r="2249" spans="1:17" x14ac:dyDescent="0.3">
      <c r="A2249" t="s">
        <v>17</v>
      </c>
      <c r="B2249" t="str">
        <f>"603838"</f>
        <v>603838</v>
      </c>
      <c r="C2249" t="s">
        <v>4826</v>
      </c>
      <c r="D2249" t="s">
        <v>927</v>
      </c>
      <c r="E2249">
        <v>-3372309</v>
      </c>
      <c r="F2249">
        <v>-6422336</v>
      </c>
      <c r="G2249">
        <v>14165233</v>
      </c>
      <c r="H2249">
        <v>-14002609</v>
      </c>
      <c r="I2249">
        <v>31728456</v>
      </c>
      <c r="J2249">
        <v>9597110</v>
      </c>
      <c r="K2249">
        <v>-13699711</v>
      </c>
      <c r="L2249">
        <v>-10901100</v>
      </c>
      <c r="M2249">
        <v>89195100</v>
      </c>
      <c r="P2249">
        <v>49</v>
      </c>
      <c r="Q2249" t="s">
        <v>4827</v>
      </c>
    </row>
    <row r="2250" spans="1:17" x14ac:dyDescent="0.3">
      <c r="A2250" t="s">
        <v>33</v>
      </c>
      <c r="B2250" t="str">
        <f>"002906"</f>
        <v>002906</v>
      </c>
      <c r="C2250" t="s">
        <v>4828</v>
      </c>
      <c r="D2250" t="s">
        <v>603</v>
      </c>
      <c r="E2250">
        <v>-3398419</v>
      </c>
      <c r="F2250">
        <v>-83323209</v>
      </c>
      <c r="G2250">
        <v>-23473434</v>
      </c>
      <c r="H2250">
        <v>-189768174</v>
      </c>
      <c r="I2250">
        <v>-210549498</v>
      </c>
      <c r="J2250">
        <v>-295843070</v>
      </c>
      <c r="P2250">
        <v>228</v>
      </c>
      <c r="Q2250" t="s">
        <v>4829</v>
      </c>
    </row>
    <row r="2251" spans="1:17" x14ac:dyDescent="0.3">
      <c r="A2251" t="s">
        <v>17</v>
      </c>
      <c r="B2251" t="str">
        <f>"600838"</f>
        <v>600838</v>
      </c>
      <c r="C2251" t="s">
        <v>4830</v>
      </c>
      <c r="D2251" t="s">
        <v>526</v>
      </c>
      <c r="E2251">
        <v>-3399755</v>
      </c>
      <c r="F2251">
        <v>-6423907</v>
      </c>
      <c r="G2251">
        <v>-3090828</v>
      </c>
      <c r="H2251">
        <v>-6016819</v>
      </c>
      <c r="I2251">
        <v>-7609173</v>
      </c>
      <c r="J2251">
        <v>-8527384</v>
      </c>
      <c r="K2251">
        <v>-8804836</v>
      </c>
      <c r="L2251">
        <v>-12608952</v>
      </c>
      <c r="M2251">
        <v>-12698149</v>
      </c>
      <c r="N2251">
        <v>-10404634</v>
      </c>
      <c r="O2251">
        <v>-29933706</v>
      </c>
      <c r="P2251">
        <v>79</v>
      </c>
      <c r="Q2251" t="s">
        <v>4831</v>
      </c>
    </row>
    <row r="2252" spans="1:17" x14ac:dyDescent="0.3">
      <c r="A2252" t="s">
        <v>17</v>
      </c>
      <c r="B2252" t="str">
        <f>"605298"</f>
        <v>605298</v>
      </c>
      <c r="C2252" t="s">
        <v>4832</v>
      </c>
      <c r="D2252" t="s">
        <v>1703</v>
      </c>
      <c r="E2252">
        <v>-3434762</v>
      </c>
      <c r="F2252">
        <v>-24739511</v>
      </c>
      <c r="G2252">
        <v>-9728548</v>
      </c>
      <c r="P2252">
        <v>46</v>
      </c>
      <c r="Q2252" t="s">
        <v>4833</v>
      </c>
    </row>
    <row r="2253" spans="1:17" x14ac:dyDescent="0.3">
      <c r="A2253" t="s">
        <v>17</v>
      </c>
      <c r="B2253" t="str">
        <f>"605305"</f>
        <v>605305</v>
      </c>
      <c r="C2253" t="s">
        <v>4834</v>
      </c>
      <c r="D2253" t="s">
        <v>320</v>
      </c>
      <c r="E2253">
        <v>-3500949</v>
      </c>
      <c r="F2253">
        <v>39287351</v>
      </c>
      <c r="G2253">
        <v>12046078</v>
      </c>
      <c r="P2253">
        <v>81</v>
      </c>
      <c r="Q2253" t="s">
        <v>4835</v>
      </c>
    </row>
    <row r="2254" spans="1:17" x14ac:dyDescent="0.3">
      <c r="A2254" t="s">
        <v>33</v>
      </c>
      <c r="B2254" t="str">
        <f>"000529"</f>
        <v>000529</v>
      </c>
      <c r="C2254" t="s">
        <v>4836</v>
      </c>
      <c r="D2254" t="s">
        <v>1054</v>
      </c>
      <c r="E2254">
        <v>-3601205</v>
      </c>
      <c r="F2254">
        <v>-113025706</v>
      </c>
      <c r="G2254">
        <v>-27173719</v>
      </c>
      <c r="H2254">
        <v>-72800382</v>
      </c>
      <c r="I2254">
        <v>-65460940</v>
      </c>
      <c r="J2254">
        <v>141074535</v>
      </c>
      <c r="K2254">
        <v>88713691</v>
      </c>
      <c r="L2254">
        <v>-29958576</v>
      </c>
      <c r="M2254">
        <v>-46507433</v>
      </c>
      <c r="N2254">
        <v>-96152498</v>
      </c>
      <c r="O2254">
        <v>-76745921</v>
      </c>
      <c r="P2254">
        <v>298</v>
      </c>
      <c r="Q2254" t="s">
        <v>4837</v>
      </c>
    </row>
    <row r="2255" spans="1:17" x14ac:dyDescent="0.3">
      <c r="A2255" t="s">
        <v>17</v>
      </c>
      <c r="B2255" t="str">
        <f>"603327"</f>
        <v>603327</v>
      </c>
      <c r="C2255" t="s">
        <v>4838</v>
      </c>
      <c r="D2255" t="s">
        <v>226</v>
      </c>
      <c r="E2255">
        <v>-3609018</v>
      </c>
      <c r="F2255">
        <v>189168308</v>
      </c>
      <c r="G2255">
        <v>100631785</v>
      </c>
      <c r="H2255">
        <v>49813752</v>
      </c>
      <c r="I2255">
        <v>-45176007</v>
      </c>
      <c r="P2255">
        <v>347</v>
      </c>
      <c r="Q2255" t="s">
        <v>4839</v>
      </c>
    </row>
    <row r="2256" spans="1:17" x14ac:dyDescent="0.3">
      <c r="A2256" t="s">
        <v>33</v>
      </c>
      <c r="B2256" t="str">
        <f>"300089"</f>
        <v>300089</v>
      </c>
      <c r="C2256" t="s">
        <v>4840</v>
      </c>
      <c r="D2256" t="s">
        <v>761</v>
      </c>
      <c r="E2256">
        <v>-3641498</v>
      </c>
      <c r="F2256">
        <v>-12369753</v>
      </c>
      <c r="G2256">
        <v>-17003987</v>
      </c>
      <c r="H2256">
        <v>-12377119</v>
      </c>
      <c r="I2256">
        <v>-21082542</v>
      </c>
      <c r="J2256">
        <v>-61771804</v>
      </c>
      <c r="K2256">
        <v>-8237366</v>
      </c>
      <c r="L2256">
        <v>-14675687</v>
      </c>
      <c r="M2256">
        <v>-15041543</v>
      </c>
      <c r="N2256">
        <v>10942070</v>
      </c>
      <c r="O2256">
        <v>26805195</v>
      </c>
      <c r="P2256">
        <v>101</v>
      </c>
      <c r="Q2256" t="s">
        <v>4841</v>
      </c>
    </row>
    <row r="2257" spans="1:17" x14ac:dyDescent="0.3">
      <c r="A2257" t="s">
        <v>33</v>
      </c>
      <c r="B2257" t="str">
        <f>"000995"</f>
        <v>000995</v>
      </c>
      <c r="C2257" t="s">
        <v>4842</v>
      </c>
      <c r="D2257" t="s">
        <v>229</v>
      </c>
      <c r="E2257">
        <v>-3643258</v>
      </c>
      <c r="F2257">
        <v>1871503</v>
      </c>
      <c r="G2257">
        <v>-16705948</v>
      </c>
      <c r="H2257">
        <v>396845</v>
      </c>
      <c r="I2257">
        <v>-394835</v>
      </c>
      <c r="J2257">
        <v>-2582313</v>
      </c>
      <c r="K2257">
        <v>-49470933</v>
      </c>
      <c r="L2257">
        <v>2098927</v>
      </c>
      <c r="M2257">
        <v>-17926712</v>
      </c>
      <c r="N2257">
        <v>-17402876</v>
      </c>
      <c r="O2257">
        <v>5719041</v>
      </c>
      <c r="P2257">
        <v>175</v>
      </c>
      <c r="Q2257" t="s">
        <v>4843</v>
      </c>
    </row>
    <row r="2258" spans="1:17" x14ac:dyDescent="0.3">
      <c r="A2258" t="s">
        <v>17</v>
      </c>
      <c r="B2258" t="str">
        <f>"688711"</f>
        <v>688711</v>
      </c>
      <c r="C2258" t="s">
        <v>4844</v>
      </c>
      <c r="D2258" t="s">
        <v>1274</v>
      </c>
      <c r="E2258">
        <v>-3664451</v>
      </c>
      <c r="P2258">
        <v>38</v>
      </c>
      <c r="Q2258" t="s">
        <v>4845</v>
      </c>
    </row>
    <row r="2259" spans="1:17" x14ac:dyDescent="0.3">
      <c r="A2259" t="s">
        <v>33</v>
      </c>
      <c r="B2259" t="str">
        <f>"301097"</f>
        <v>301097</v>
      </c>
      <c r="C2259" t="s">
        <v>4846</v>
      </c>
      <c r="E2259">
        <v>-3677645</v>
      </c>
      <c r="P2259">
        <v>2</v>
      </c>
      <c r="Q2259" t="s">
        <v>4847</v>
      </c>
    </row>
    <row r="2260" spans="1:17" x14ac:dyDescent="0.3">
      <c r="A2260" t="s">
        <v>33</v>
      </c>
      <c r="B2260" t="str">
        <f>"002935"</f>
        <v>002935</v>
      </c>
      <c r="C2260" t="s">
        <v>4848</v>
      </c>
      <c r="D2260" t="s">
        <v>617</v>
      </c>
      <c r="E2260">
        <v>-3710709</v>
      </c>
      <c r="F2260">
        <v>-119056905</v>
      </c>
      <c r="G2260">
        <v>-137448948</v>
      </c>
      <c r="H2260">
        <v>-99613653</v>
      </c>
      <c r="I2260">
        <v>-70450146</v>
      </c>
      <c r="P2260">
        <v>203</v>
      </c>
      <c r="Q2260" t="s">
        <v>4849</v>
      </c>
    </row>
    <row r="2261" spans="1:17" x14ac:dyDescent="0.3">
      <c r="A2261" t="s">
        <v>17</v>
      </c>
      <c r="B2261" t="str">
        <f>"688131"</f>
        <v>688131</v>
      </c>
      <c r="C2261" t="s">
        <v>4850</v>
      </c>
      <c r="D2261" t="s">
        <v>941</v>
      </c>
      <c r="E2261">
        <v>-3784513</v>
      </c>
      <c r="F2261">
        <v>51880979</v>
      </c>
      <c r="G2261">
        <v>-12716634</v>
      </c>
      <c r="P2261">
        <v>88</v>
      </c>
      <c r="Q2261" t="s">
        <v>4851</v>
      </c>
    </row>
    <row r="2262" spans="1:17" x14ac:dyDescent="0.3">
      <c r="A2262" t="s">
        <v>17</v>
      </c>
      <c r="B2262" t="str">
        <f>"688157"</f>
        <v>688157</v>
      </c>
      <c r="C2262" t="s">
        <v>4852</v>
      </c>
      <c r="D2262" t="s">
        <v>1341</v>
      </c>
      <c r="E2262">
        <v>-3839493</v>
      </c>
      <c r="F2262">
        <v>10755987</v>
      </c>
      <c r="G2262">
        <v>19109250</v>
      </c>
      <c r="H2262">
        <v>-27208889</v>
      </c>
      <c r="P2262">
        <v>100</v>
      </c>
      <c r="Q2262" t="s">
        <v>4853</v>
      </c>
    </row>
    <row r="2263" spans="1:17" x14ac:dyDescent="0.3">
      <c r="A2263" t="s">
        <v>33</v>
      </c>
      <c r="B2263" t="str">
        <f>"301226"</f>
        <v>301226</v>
      </c>
      <c r="C2263" t="s">
        <v>4854</v>
      </c>
      <c r="E2263">
        <v>-3847674</v>
      </c>
      <c r="P2263">
        <v>4</v>
      </c>
      <c r="Q2263" t="s">
        <v>4855</v>
      </c>
    </row>
    <row r="2264" spans="1:17" x14ac:dyDescent="0.3">
      <c r="A2264" t="s">
        <v>17</v>
      </c>
      <c r="B2264" t="str">
        <f>"605178"</f>
        <v>605178</v>
      </c>
      <c r="C2264" t="s">
        <v>4856</v>
      </c>
      <c r="D2264" t="s">
        <v>1779</v>
      </c>
      <c r="E2264">
        <v>-3862958</v>
      </c>
      <c r="F2264">
        <v>-143735742</v>
      </c>
      <c r="G2264">
        <v>-71492128</v>
      </c>
      <c r="H2264">
        <v>-208046353</v>
      </c>
      <c r="P2264">
        <v>49</v>
      </c>
      <c r="Q2264" t="s">
        <v>4857</v>
      </c>
    </row>
    <row r="2265" spans="1:17" x14ac:dyDescent="0.3">
      <c r="A2265" t="s">
        <v>33</v>
      </c>
      <c r="B2265" t="str">
        <f>"000788"</f>
        <v>000788</v>
      </c>
      <c r="C2265" t="s">
        <v>4858</v>
      </c>
      <c r="D2265" t="s">
        <v>590</v>
      </c>
      <c r="E2265">
        <v>-3878418</v>
      </c>
      <c r="F2265">
        <v>-15287951</v>
      </c>
      <c r="G2265">
        <v>-27921120</v>
      </c>
      <c r="H2265">
        <v>113334439</v>
      </c>
      <c r="I2265">
        <v>-96916123</v>
      </c>
      <c r="J2265">
        <v>-63306671</v>
      </c>
      <c r="K2265">
        <v>-159181698</v>
      </c>
      <c r="L2265">
        <v>103303854</v>
      </c>
      <c r="M2265">
        <v>-5400990</v>
      </c>
      <c r="N2265">
        <v>28252433</v>
      </c>
      <c r="O2265">
        <v>18253135</v>
      </c>
      <c r="P2265">
        <v>137</v>
      </c>
      <c r="Q2265" t="s">
        <v>4859</v>
      </c>
    </row>
    <row r="2266" spans="1:17" x14ac:dyDescent="0.3">
      <c r="A2266" t="s">
        <v>17</v>
      </c>
      <c r="B2266" t="str">
        <f>"605333"</f>
        <v>605333</v>
      </c>
      <c r="C2266" t="s">
        <v>4860</v>
      </c>
      <c r="D2266" t="s">
        <v>603</v>
      </c>
      <c r="E2266">
        <v>-3886891</v>
      </c>
      <c r="F2266">
        <v>-95573557</v>
      </c>
      <c r="G2266">
        <v>-11292606</v>
      </c>
      <c r="P2266">
        <v>85</v>
      </c>
      <c r="Q2266" t="s">
        <v>4861</v>
      </c>
    </row>
    <row r="2267" spans="1:17" x14ac:dyDescent="0.3">
      <c r="A2267" t="s">
        <v>33</v>
      </c>
      <c r="B2267" t="str">
        <f>"300631"</f>
        <v>300631</v>
      </c>
      <c r="C2267" t="s">
        <v>4862</v>
      </c>
      <c r="D2267" t="s">
        <v>1763</v>
      </c>
      <c r="E2267">
        <v>-3904397</v>
      </c>
      <c r="F2267">
        <v>26458612</v>
      </c>
      <c r="G2267">
        <v>2932443</v>
      </c>
      <c r="H2267">
        <v>-26379466</v>
      </c>
      <c r="I2267">
        <v>26738586</v>
      </c>
      <c r="J2267">
        <v>-37763881</v>
      </c>
      <c r="K2267">
        <v>3685200</v>
      </c>
      <c r="P2267">
        <v>135</v>
      </c>
      <c r="Q2267" t="s">
        <v>4863</v>
      </c>
    </row>
    <row r="2268" spans="1:17" x14ac:dyDescent="0.3">
      <c r="A2268" t="s">
        <v>17</v>
      </c>
      <c r="B2268" t="str">
        <f>"688686"</f>
        <v>688686</v>
      </c>
      <c r="C2268" t="s">
        <v>4864</v>
      </c>
      <c r="D2268" t="s">
        <v>4171</v>
      </c>
      <c r="E2268">
        <v>-3965552</v>
      </c>
      <c r="F2268">
        <v>45476809</v>
      </c>
      <c r="G2268">
        <v>9356600</v>
      </c>
      <c r="H2268">
        <v>28022200</v>
      </c>
      <c r="P2268">
        <v>117</v>
      </c>
      <c r="Q2268" t="s">
        <v>4865</v>
      </c>
    </row>
    <row r="2269" spans="1:17" x14ac:dyDescent="0.3">
      <c r="A2269" t="s">
        <v>17</v>
      </c>
      <c r="B2269" t="str">
        <f>"688580"</f>
        <v>688580</v>
      </c>
      <c r="C2269" t="s">
        <v>4866</v>
      </c>
      <c r="D2269" t="s">
        <v>111</v>
      </c>
      <c r="E2269">
        <v>-4026721</v>
      </c>
      <c r="F2269">
        <v>6173885</v>
      </c>
      <c r="G2269">
        <v>-30313832</v>
      </c>
      <c r="H2269">
        <v>6616612</v>
      </c>
      <c r="P2269">
        <v>246</v>
      </c>
      <c r="Q2269" t="s">
        <v>4867</v>
      </c>
    </row>
    <row r="2270" spans="1:17" x14ac:dyDescent="0.3">
      <c r="A2270" t="s">
        <v>33</v>
      </c>
      <c r="B2270" t="str">
        <f>"300635"</f>
        <v>300635</v>
      </c>
      <c r="C2270" t="s">
        <v>4868</v>
      </c>
      <c r="D2270" t="s">
        <v>4300</v>
      </c>
      <c r="E2270">
        <v>-4094599</v>
      </c>
      <c r="F2270">
        <v>-17389669</v>
      </c>
      <c r="G2270">
        <v>-74737701</v>
      </c>
      <c r="H2270">
        <v>-22297147</v>
      </c>
      <c r="I2270">
        <v>-24563647</v>
      </c>
      <c r="J2270">
        <v>-43548532</v>
      </c>
      <c r="K2270">
        <v>18737305</v>
      </c>
      <c r="P2270">
        <v>113</v>
      </c>
      <c r="Q2270" t="s">
        <v>4869</v>
      </c>
    </row>
    <row r="2271" spans="1:17" x14ac:dyDescent="0.3">
      <c r="A2271" t="s">
        <v>17</v>
      </c>
      <c r="B2271" t="str">
        <f>"603790"</f>
        <v>603790</v>
      </c>
      <c r="C2271" t="s">
        <v>4870</v>
      </c>
      <c r="D2271" t="s">
        <v>735</v>
      </c>
      <c r="E2271">
        <v>-4182601</v>
      </c>
      <c r="F2271">
        <v>-628252</v>
      </c>
      <c r="G2271">
        <v>-32655</v>
      </c>
      <c r="H2271">
        <v>36516180</v>
      </c>
      <c r="I2271">
        <v>-33522722</v>
      </c>
      <c r="P2271">
        <v>64</v>
      </c>
      <c r="Q2271" t="s">
        <v>4871</v>
      </c>
    </row>
    <row r="2272" spans="1:17" x14ac:dyDescent="0.3">
      <c r="A2272" t="s">
        <v>17</v>
      </c>
      <c r="B2272" t="str">
        <f>"688112"</f>
        <v>688112</v>
      </c>
      <c r="C2272" t="s">
        <v>4872</v>
      </c>
      <c r="D2272" t="s">
        <v>2417</v>
      </c>
      <c r="E2272">
        <v>-4186397</v>
      </c>
      <c r="P2272">
        <v>42</v>
      </c>
      <c r="Q2272" t="s">
        <v>4873</v>
      </c>
    </row>
    <row r="2273" spans="1:17" x14ac:dyDescent="0.3">
      <c r="A2273" t="s">
        <v>33</v>
      </c>
      <c r="B2273" t="str">
        <f>"002199"</f>
        <v>002199</v>
      </c>
      <c r="C2273" t="s">
        <v>4874</v>
      </c>
      <c r="D2273" t="s">
        <v>869</v>
      </c>
      <c r="E2273">
        <v>-4214911</v>
      </c>
      <c r="F2273">
        <v>8679904</v>
      </c>
      <c r="G2273">
        <v>10616085</v>
      </c>
      <c r="H2273">
        <v>6228227</v>
      </c>
      <c r="I2273">
        <v>1345918</v>
      </c>
      <c r="J2273">
        <v>3818495</v>
      </c>
      <c r="K2273">
        <v>-36629760</v>
      </c>
      <c r="L2273">
        <v>-11556671</v>
      </c>
      <c r="M2273">
        <v>-24698377</v>
      </c>
      <c r="N2273">
        <v>10014854</v>
      </c>
      <c r="O2273">
        <v>7742669</v>
      </c>
      <c r="P2273">
        <v>111</v>
      </c>
      <c r="Q2273" t="s">
        <v>4875</v>
      </c>
    </row>
    <row r="2274" spans="1:17" x14ac:dyDescent="0.3">
      <c r="A2274" t="s">
        <v>33</v>
      </c>
      <c r="B2274" t="str">
        <f>"301201"</f>
        <v>301201</v>
      </c>
      <c r="C2274" t="s">
        <v>4876</v>
      </c>
      <c r="D2274" t="s">
        <v>846</v>
      </c>
      <c r="E2274">
        <v>-4239687</v>
      </c>
      <c r="P2274">
        <v>18</v>
      </c>
      <c r="Q2274" t="s">
        <v>4877</v>
      </c>
    </row>
    <row r="2275" spans="1:17" x14ac:dyDescent="0.3">
      <c r="A2275" t="s">
        <v>17</v>
      </c>
      <c r="B2275" t="str">
        <f>"688597"</f>
        <v>688597</v>
      </c>
      <c r="C2275" t="s">
        <v>4878</v>
      </c>
      <c r="D2275" t="s">
        <v>2128</v>
      </c>
      <c r="E2275">
        <v>-4262033</v>
      </c>
      <c r="F2275">
        <v>25864446</v>
      </c>
      <c r="G2275">
        <v>-12319739</v>
      </c>
      <c r="P2275">
        <v>17</v>
      </c>
      <c r="Q2275" t="s">
        <v>4879</v>
      </c>
    </row>
    <row r="2276" spans="1:17" x14ac:dyDescent="0.3">
      <c r="A2276" t="s">
        <v>33</v>
      </c>
      <c r="B2276" t="str">
        <f>"300819"</f>
        <v>300819</v>
      </c>
      <c r="C2276" t="s">
        <v>4880</v>
      </c>
      <c r="D2276" t="s">
        <v>1292</v>
      </c>
      <c r="E2276">
        <v>-4303493</v>
      </c>
      <c r="F2276">
        <v>-11780362</v>
      </c>
      <c r="G2276">
        <v>-4133510</v>
      </c>
      <c r="H2276">
        <v>-21532421</v>
      </c>
      <c r="P2276">
        <v>50</v>
      </c>
      <c r="Q2276" t="s">
        <v>4881</v>
      </c>
    </row>
    <row r="2277" spans="1:17" x14ac:dyDescent="0.3">
      <c r="A2277" t="s">
        <v>33</v>
      </c>
      <c r="B2277" t="str">
        <f>"300411"</f>
        <v>300411</v>
      </c>
      <c r="C2277" t="s">
        <v>4882</v>
      </c>
      <c r="D2277" t="s">
        <v>1895</v>
      </c>
      <c r="E2277">
        <v>-4373676</v>
      </c>
      <c r="F2277">
        <v>-48838885</v>
      </c>
      <c r="G2277">
        <v>63773078</v>
      </c>
      <c r="H2277">
        <v>-9690321</v>
      </c>
      <c r="I2277">
        <v>-90201038</v>
      </c>
      <c r="J2277">
        <v>-19493038</v>
      </c>
      <c r="K2277">
        <v>-16996947</v>
      </c>
      <c r="L2277">
        <v>-28913903</v>
      </c>
      <c r="M2277">
        <v>-24569732</v>
      </c>
      <c r="P2277">
        <v>73</v>
      </c>
      <c r="Q2277" t="s">
        <v>4883</v>
      </c>
    </row>
    <row r="2278" spans="1:17" x14ac:dyDescent="0.3">
      <c r="A2278" t="s">
        <v>17</v>
      </c>
      <c r="B2278" t="str">
        <f>"600616"</f>
        <v>600616</v>
      </c>
      <c r="C2278" t="s">
        <v>4884</v>
      </c>
      <c r="D2278" t="s">
        <v>1172</v>
      </c>
      <c r="E2278">
        <v>-4505736</v>
      </c>
      <c r="F2278">
        <v>-10452196</v>
      </c>
      <c r="G2278">
        <v>-64135733</v>
      </c>
      <c r="H2278">
        <v>-62555227</v>
      </c>
      <c r="I2278">
        <v>-34786088</v>
      </c>
      <c r="J2278">
        <v>21775637</v>
      </c>
      <c r="K2278">
        <v>-17642721</v>
      </c>
      <c r="L2278">
        <v>562474</v>
      </c>
      <c r="M2278">
        <v>-61241338</v>
      </c>
      <c r="N2278">
        <v>26825410</v>
      </c>
      <c r="O2278">
        <v>13333479</v>
      </c>
      <c r="P2278">
        <v>180</v>
      </c>
      <c r="Q2278" t="s">
        <v>4885</v>
      </c>
    </row>
    <row r="2279" spans="1:17" x14ac:dyDescent="0.3">
      <c r="A2279" t="s">
        <v>17</v>
      </c>
      <c r="B2279" t="str">
        <f>"603138"</f>
        <v>603138</v>
      </c>
      <c r="C2279" t="s">
        <v>4886</v>
      </c>
      <c r="D2279" t="s">
        <v>508</v>
      </c>
      <c r="E2279">
        <v>-4535351</v>
      </c>
      <c r="F2279">
        <v>-31826682</v>
      </c>
      <c r="G2279">
        <v>-32192181</v>
      </c>
      <c r="H2279">
        <v>-32017888</v>
      </c>
      <c r="I2279">
        <v>-4545436</v>
      </c>
      <c r="J2279">
        <v>-36710198</v>
      </c>
      <c r="K2279">
        <v>-44041160</v>
      </c>
      <c r="P2279">
        <v>147</v>
      </c>
      <c r="Q2279" t="s">
        <v>4887</v>
      </c>
    </row>
    <row r="2280" spans="1:17" x14ac:dyDescent="0.3">
      <c r="A2280" t="s">
        <v>33</v>
      </c>
      <c r="B2280" t="str">
        <f>"002708"</f>
        <v>002708</v>
      </c>
      <c r="C2280" t="s">
        <v>4888</v>
      </c>
      <c r="D2280" t="s">
        <v>858</v>
      </c>
      <c r="E2280">
        <v>-4645583</v>
      </c>
      <c r="F2280">
        <v>-33761568</v>
      </c>
      <c r="G2280">
        <v>34870195</v>
      </c>
      <c r="H2280">
        <v>12414271</v>
      </c>
      <c r="I2280">
        <v>14579890</v>
      </c>
      <c r="J2280">
        <v>9170189</v>
      </c>
      <c r="K2280">
        <v>24438977</v>
      </c>
      <c r="L2280">
        <v>21885870</v>
      </c>
      <c r="M2280">
        <v>3773018</v>
      </c>
      <c r="N2280">
        <v>6160945</v>
      </c>
      <c r="P2280">
        <v>91</v>
      </c>
      <c r="Q2280" t="s">
        <v>4889</v>
      </c>
    </row>
    <row r="2281" spans="1:17" x14ac:dyDescent="0.3">
      <c r="A2281" t="s">
        <v>33</v>
      </c>
      <c r="B2281" t="str">
        <f>"300297"</f>
        <v>300297</v>
      </c>
      <c r="C2281" t="s">
        <v>4890</v>
      </c>
      <c r="D2281" t="s">
        <v>508</v>
      </c>
      <c r="E2281">
        <v>-4656652</v>
      </c>
      <c r="F2281">
        <v>9916637</v>
      </c>
      <c r="G2281">
        <v>-29635407</v>
      </c>
      <c r="H2281">
        <v>-408850615</v>
      </c>
      <c r="I2281">
        <v>-658319585</v>
      </c>
      <c r="J2281">
        <v>-560108259</v>
      </c>
      <c r="K2281">
        <v>-128983156</v>
      </c>
      <c r="L2281">
        <v>-154722451</v>
      </c>
      <c r="M2281">
        <v>-85985207</v>
      </c>
      <c r="N2281">
        <v>-63198217</v>
      </c>
      <c r="O2281">
        <v>-19885664</v>
      </c>
      <c r="P2281">
        <v>342</v>
      </c>
      <c r="Q2281" t="s">
        <v>4891</v>
      </c>
    </row>
    <row r="2282" spans="1:17" x14ac:dyDescent="0.3">
      <c r="A2282" t="s">
        <v>17</v>
      </c>
      <c r="B2282" t="str">
        <f>"600082"</f>
        <v>600082</v>
      </c>
      <c r="C2282" t="s">
        <v>4892</v>
      </c>
      <c r="D2282" t="s">
        <v>1135</v>
      </c>
      <c r="E2282">
        <v>-4670686</v>
      </c>
      <c r="F2282">
        <v>-46023792</v>
      </c>
      <c r="G2282">
        <v>1253732</v>
      </c>
      <c r="H2282">
        <v>26098029</v>
      </c>
      <c r="I2282">
        <v>-28597614</v>
      </c>
      <c r="J2282">
        <v>-5473090</v>
      </c>
      <c r="K2282">
        <v>-127264728</v>
      </c>
      <c r="L2282">
        <v>-112545422</v>
      </c>
      <c r="M2282">
        <v>-104308232</v>
      </c>
      <c r="N2282">
        <v>-66408891</v>
      </c>
      <c r="O2282">
        <v>-322931967</v>
      </c>
      <c r="P2282">
        <v>75</v>
      </c>
      <c r="Q2282" t="s">
        <v>4893</v>
      </c>
    </row>
    <row r="2283" spans="1:17" x14ac:dyDescent="0.3">
      <c r="A2283" t="s">
        <v>33</v>
      </c>
      <c r="B2283" t="str">
        <f>"002306"</f>
        <v>002306</v>
      </c>
      <c r="C2283" t="s">
        <v>4894</v>
      </c>
      <c r="D2283" t="s">
        <v>2535</v>
      </c>
      <c r="E2283">
        <v>-4717857</v>
      </c>
      <c r="F2283">
        <v>-22523418</v>
      </c>
      <c r="G2283">
        <v>-9684458</v>
      </c>
      <c r="H2283">
        <v>-8398042</v>
      </c>
      <c r="I2283">
        <v>-20203386</v>
      </c>
      <c r="J2283">
        <v>-10670383</v>
      </c>
      <c r="K2283">
        <v>-2982294</v>
      </c>
      <c r="L2283">
        <v>-11546351</v>
      </c>
      <c r="M2283">
        <v>106510406</v>
      </c>
      <c r="N2283">
        <v>-25005581</v>
      </c>
      <c r="O2283">
        <v>32843465</v>
      </c>
      <c r="P2283">
        <v>68</v>
      </c>
      <c r="Q2283" t="s">
        <v>4895</v>
      </c>
    </row>
    <row r="2284" spans="1:17" x14ac:dyDescent="0.3">
      <c r="A2284" t="s">
        <v>33</v>
      </c>
      <c r="B2284" t="str">
        <f>"002113"</f>
        <v>002113</v>
      </c>
      <c r="C2284" t="s">
        <v>4896</v>
      </c>
      <c r="D2284" t="s">
        <v>751</v>
      </c>
      <c r="E2284">
        <v>-4728508</v>
      </c>
      <c r="F2284">
        <v>-44797544</v>
      </c>
      <c r="G2284">
        <v>-47680718</v>
      </c>
      <c r="H2284">
        <v>9094155</v>
      </c>
      <c r="I2284">
        <v>62819579</v>
      </c>
      <c r="J2284">
        <v>-9194304</v>
      </c>
      <c r="K2284">
        <v>3523193</v>
      </c>
      <c r="L2284">
        <v>1893982</v>
      </c>
      <c r="M2284">
        <v>2360612</v>
      </c>
      <c r="N2284">
        <v>1372631</v>
      </c>
      <c r="O2284">
        <v>538385</v>
      </c>
      <c r="P2284">
        <v>77</v>
      </c>
      <c r="Q2284" t="s">
        <v>4897</v>
      </c>
    </row>
    <row r="2285" spans="1:17" x14ac:dyDescent="0.3">
      <c r="A2285" t="s">
        <v>17</v>
      </c>
      <c r="B2285" t="str">
        <f>"688206"</f>
        <v>688206</v>
      </c>
      <c r="C2285" t="s">
        <v>4898</v>
      </c>
      <c r="D2285" t="s">
        <v>2201</v>
      </c>
      <c r="E2285">
        <v>-4799855</v>
      </c>
      <c r="P2285">
        <v>26</v>
      </c>
      <c r="Q2285" t="s">
        <v>4899</v>
      </c>
    </row>
    <row r="2286" spans="1:17" x14ac:dyDescent="0.3">
      <c r="A2286" t="s">
        <v>17</v>
      </c>
      <c r="B2286" t="str">
        <f>"688499"</f>
        <v>688499</v>
      </c>
      <c r="C2286" t="s">
        <v>4900</v>
      </c>
      <c r="D2286" t="s">
        <v>1549</v>
      </c>
      <c r="E2286">
        <v>-4839371</v>
      </c>
      <c r="F2286">
        <v>49898622</v>
      </c>
      <c r="G2286">
        <v>3943309</v>
      </c>
      <c r="P2286">
        <v>65</v>
      </c>
      <c r="Q2286" t="s">
        <v>4901</v>
      </c>
    </row>
    <row r="2287" spans="1:17" x14ac:dyDescent="0.3">
      <c r="A2287" t="s">
        <v>33</v>
      </c>
      <c r="B2287" t="str">
        <f>"002691"</f>
        <v>002691</v>
      </c>
      <c r="C2287" t="s">
        <v>4902</v>
      </c>
      <c r="D2287" t="s">
        <v>1132</v>
      </c>
      <c r="E2287">
        <v>-4846694</v>
      </c>
      <c r="F2287">
        <v>-3601311</v>
      </c>
      <c r="G2287">
        <v>-6062105</v>
      </c>
      <c r="H2287">
        <v>8085205</v>
      </c>
      <c r="I2287">
        <v>-18148958</v>
      </c>
      <c r="J2287">
        <v>4047971</v>
      </c>
      <c r="K2287">
        <v>-28463172</v>
      </c>
      <c r="L2287">
        <v>-22228174</v>
      </c>
      <c r="M2287">
        <v>-4960019</v>
      </c>
      <c r="N2287">
        <v>-22254570</v>
      </c>
      <c r="O2287">
        <v>25317600</v>
      </c>
      <c r="P2287">
        <v>54</v>
      </c>
      <c r="Q2287" t="s">
        <v>4903</v>
      </c>
    </row>
    <row r="2288" spans="1:17" x14ac:dyDescent="0.3">
      <c r="A2288" t="s">
        <v>33</v>
      </c>
      <c r="B2288" t="str">
        <f>"300899"</f>
        <v>300899</v>
      </c>
      <c r="C2288" t="s">
        <v>4904</v>
      </c>
      <c r="D2288" t="s">
        <v>932</v>
      </c>
      <c r="E2288">
        <v>-4848648</v>
      </c>
      <c r="F2288">
        <v>5312511</v>
      </c>
      <c r="G2288">
        <v>-21579420</v>
      </c>
      <c r="P2288">
        <v>58</v>
      </c>
      <c r="Q2288" t="s">
        <v>4905</v>
      </c>
    </row>
    <row r="2289" spans="1:17" x14ac:dyDescent="0.3">
      <c r="A2289" t="s">
        <v>33</v>
      </c>
      <c r="B2289" t="str">
        <f>"301187"</f>
        <v>301187</v>
      </c>
      <c r="C2289" t="s">
        <v>4906</v>
      </c>
      <c r="E2289">
        <v>-4903627</v>
      </c>
      <c r="G2289">
        <v>-5054761</v>
      </c>
      <c r="P2289">
        <v>1</v>
      </c>
      <c r="Q2289" t="s">
        <v>4907</v>
      </c>
    </row>
    <row r="2290" spans="1:17" x14ac:dyDescent="0.3">
      <c r="A2290" t="s">
        <v>33</v>
      </c>
      <c r="B2290" t="str">
        <f>"002301"</f>
        <v>002301</v>
      </c>
      <c r="C2290" t="s">
        <v>4908</v>
      </c>
      <c r="D2290" t="s">
        <v>4176</v>
      </c>
      <c r="E2290">
        <v>-5002262</v>
      </c>
      <c r="F2290">
        <v>64411610</v>
      </c>
      <c r="G2290">
        <v>-404665475</v>
      </c>
      <c r="H2290">
        <v>-685430354</v>
      </c>
      <c r="I2290">
        <v>-225415198</v>
      </c>
      <c r="J2290">
        <v>-254833415</v>
      </c>
      <c r="K2290">
        <v>-13652725</v>
      </c>
      <c r="L2290">
        <v>-89006993</v>
      </c>
      <c r="M2290">
        <v>-51202434</v>
      </c>
      <c r="N2290">
        <v>-78463790</v>
      </c>
      <c r="O2290">
        <v>-59043615</v>
      </c>
      <c r="P2290">
        <v>202</v>
      </c>
      <c r="Q2290" t="s">
        <v>4909</v>
      </c>
    </row>
    <row r="2291" spans="1:17" x14ac:dyDescent="0.3">
      <c r="A2291" t="s">
        <v>17</v>
      </c>
      <c r="B2291" t="str">
        <f>"603648"</f>
        <v>603648</v>
      </c>
      <c r="C2291" t="s">
        <v>4910</v>
      </c>
      <c r="D2291" t="s">
        <v>1010</v>
      </c>
      <c r="E2291">
        <v>-5020789</v>
      </c>
      <c r="F2291">
        <v>15985278</v>
      </c>
      <c r="G2291">
        <v>41665598</v>
      </c>
      <c r="H2291">
        <v>16393749</v>
      </c>
      <c r="I2291">
        <v>-103356628</v>
      </c>
      <c r="J2291">
        <v>105299521</v>
      </c>
      <c r="P2291">
        <v>72</v>
      </c>
      <c r="Q2291" t="s">
        <v>4911</v>
      </c>
    </row>
    <row r="2292" spans="1:17" x14ac:dyDescent="0.3">
      <c r="A2292" t="s">
        <v>33</v>
      </c>
      <c r="B2292" t="str">
        <f>"000409"</f>
        <v>000409</v>
      </c>
      <c r="C2292" t="s">
        <v>4912</v>
      </c>
      <c r="D2292" t="s">
        <v>523</v>
      </c>
      <c r="E2292">
        <v>-5036261</v>
      </c>
      <c r="F2292">
        <v>-34085563</v>
      </c>
      <c r="G2292">
        <v>-113272448</v>
      </c>
      <c r="H2292">
        <v>16880084</v>
      </c>
      <c r="I2292">
        <v>-14291044</v>
      </c>
      <c r="J2292">
        <v>256848</v>
      </c>
      <c r="K2292">
        <v>-51098028</v>
      </c>
      <c r="L2292">
        <v>-31147964</v>
      </c>
      <c r="M2292">
        <v>-40132789</v>
      </c>
      <c r="N2292">
        <v>-37365940</v>
      </c>
      <c r="O2292">
        <v>4388245</v>
      </c>
      <c r="P2292">
        <v>75</v>
      </c>
      <c r="Q2292" t="s">
        <v>4913</v>
      </c>
    </row>
    <row r="2293" spans="1:17" x14ac:dyDescent="0.3">
      <c r="A2293" t="s">
        <v>33</v>
      </c>
      <c r="B2293" t="str">
        <f>"002248"</f>
        <v>002248</v>
      </c>
      <c r="C2293" t="s">
        <v>4914</v>
      </c>
      <c r="D2293" t="s">
        <v>1910</v>
      </c>
      <c r="E2293">
        <v>-5039453</v>
      </c>
      <c r="F2293">
        <v>11060898</v>
      </c>
      <c r="G2293">
        <v>-4709766</v>
      </c>
      <c r="H2293">
        <v>-6718896</v>
      </c>
      <c r="I2293">
        <v>-23896826</v>
      </c>
      <c r="J2293">
        <v>-3780264</v>
      </c>
      <c r="K2293">
        <v>-9868879</v>
      </c>
      <c r="L2293">
        <v>-1165919</v>
      </c>
      <c r="M2293">
        <v>1430206</v>
      </c>
      <c r="N2293">
        <v>21121760</v>
      </c>
      <c r="O2293">
        <v>-68016830</v>
      </c>
      <c r="P2293">
        <v>109</v>
      </c>
      <c r="Q2293" t="s">
        <v>4915</v>
      </c>
    </row>
    <row r="2294" spans="1:17" x14ac:dyDescent="0.3">
      <c r="A2294" t="s">
        <v>33</v>
      </c>
      <c r="B2294" t="str">
        <f>"000585"</f>
        <v>000585</v>
      </c>
      <c r="C2294" t="s">
        <v>4916</v>
      </c>
      <c r="D2294" t="s">
        <v>298</v>
      </c>
      <c r="E2294">
        <v>-5039833</v>
      </c>
      <c r="F2294">
        <v>-7430408</v>
      </c>
      <c r="G2294">
        <v>-1886869</v>
      </c>
      <c r="H2294">
        <v>-7141230</v>
      </c>
      <c r="I2294">
        <v>-4194230</v>
      </c>
      <c r="J2294">
        <v>35078255</v>
      </c>
      <c r="K2294">
        <v>-20743776</v>
      </c>
      <c r="L2294">
        <v>-22130564</v>
      </c>
      <c r="M2294">
        <v>-31925141</v>
      </c>
      <c r="N2294">
        <v>-20034825</v>
      </c>
      <c r="O2294">
        <v>12767546</v>
      </c>
      <c r="P2294">
        <v>73</v>
      </c>
      <c r="Q2294" t="s">
        <v>4917</v>
      </c>
    </row>
    <row r="2295" spans="1:17" x14ac:dyDescent="0.3">
      <c r="A2295" t="s">
        <v>33</v>
      </c>
      <c r="B2295" t="str">
        <f>"002770"</f>
        <v>002770</v>
      </c>
      <c r="C2295" t="s">
        <v>4918</v>
      </c>
      <c r="D2295" t="s">
        <v>918</v>
      </c>
      <c r="E2295">
        <v>-5044149</v>
      </c>
      <c r="F2295">
        <v>439847</v>
      </c>
      <c r="G2295">
        <v>526196</v>
      </c>
      <c r="H2295">
        <v>114836497</v>
      </c>
      <c r="I2295">
        <v>89109168</v>
      </c>
      <c r="J2295">
        <v>86925635</v>
      </c>
      <c r="K2295">
        <v>-44293820</v>
      </c>
      <c r="L2295">
        <v>48961560</v>
      </c>
      <c r="M2295">
        <v>23299436</v>
      </c>
      <c r="P2295">
        <v>163</v>
      </c>
      <c r="Q2295" t="s">
        <v>4919</v>
      </c>
    </row>
    <row r="2296" spans="1:17" x14ac:dyDescent="0.3">
      <c r="A2296" t="s">
        <v>33</v>
      </c>
      <c r="B2296" t="str">
        <f>"000985"</f>
        <v>000985</v>
      </c>
      <c r="C2296" t="s">
        <v>4920</v>
      </c>
      <c r="D2296" t="s">
        <v>732</v>
      </c>
      <c r="E2296">
        <v>-5052681</v>
      </c>
      <c r="F2296">
        <v>21787017</v>
      </c>
      <c r="G2296">
        <v>-42263402</v>
      </c>
      <c r="H2296">
        <v>16237186</v>
      </c>
      <c r="I2296">
        <v>6433976</v>
      </c>
      <c r="J2296">
        <v>20251533</v>
      </c>
      <c r="K2296">
        <v>2457237</v>
      </c>
      <c r="L2296">
        <v>3566853</v>
      </c>
      <c r="M2296">
        <v>52005123</v>
      </c>
      <c r="N2296">
        <v>-26415440</v>
      </c>
      <c r="O2296">
        <v>-19267921</v>
      </c>
      <c r="P2296">
        <v>82</v>
      </c>
      <c r="Q2296" t="s">
        <v>4921</v>
      </c>
    </row>
    <row r="2297" spans="1:17" x14ac:dyDescent="0.3">
      <c r="A2297" t="s">
        <v>33</v>
      </c>
      <c r="B2297" t="str">
        <f>"002826"</f>
        <v>002826</v>
      </c>
      <c r="C2297" t="s">
        <v>4922</v>
      </c>
      <c r="D2297" t="s">
        <v>590</v>
      </c>
      <c r="E2297">
        <v>-5190203</v>
      </c>
      <c r="F2297">
        <v>-9808758</v>
      </c>
      <c r="G2297">
        <v>-13919475</v>
      </c>
      <c r="H2297">
        <v>-7265933</v>
      </c>
      <c r="I2297">
        <v>-21537556</v>
      </c>
      <c r="J2297">
        <v>23260131</v>
      </c>
      <c r="K2297">
        <v>-8122270</v>
      </c>
      <c r="P2297">
        <v>127</v>
      </c>
      <c r="Q2297" t="s">
        <v>4923</v>
      </c>
    </row>
    <row r="2298" spans="1:17" x14ac:dyDescent="0.3">
      <c r="A2298" t="s">
        <v>33</v>
      </c>
      <c r="B2298" t="str">
        <f>"002467"</f>
        <v>002467</v>
      </c>
      <c r="C2298" t="s">
        <v>4924</v>
      </c>
      <c r="D2298" t="s">
        <v>1566</v>
      </c>
      <c r="E2298">
        <v>-5198259</v>
      </c>
      <c r="F2298">
        <v>27696382</v>
      </c>
      <c r="G2298">
        <v>25114823</v>
      </c>
      <c r="H2298">
        <v>41078464</v>
      </c>
      <c r="I2298">
        <v>6087501</v>
      </c>
      <c r="J2298">
        <v>20418525</v>
      </c>
      <c r="K2298">
        <v>8362830</v>
      </c>
      <c r="L2298">
        <v>26784633</v>
      </c>
      <c r="M2298">
        <v>32269330</v>
      </c>
      <c r="N2298">
        <v>45453086</v>
      </c>
      <c r="O2298">
        <v>7543229</v>
      </c>
      <c r="P2298">
        <v>200</v>
      </c>
      <c r="Q2298" t="s">
        <v>4925</v>
      </c>
    </row>
    <row r="2299" spans="1:17" x14ac:dyDescent="0.3">
      <c r="A2299" t="s">
        <v>33</v>
      </c>
      <c r="B2299" t="str">
        <f>"300851"</f>
        <v>300851</v>
      </c>
      <c r="C2299" t="s">
        <v>4926</v>
      </c>
      <c r="D2299" t="s">
        <v>1703</v>
      </c>
      <c r="E2299">
        <v>-5203225</v>
      </c>
      <c r="F2299">
        <v>4654920</v>
      </c>
      <c r="G2299">
        <v>-57583729</v>
      </c>
      <c r="H2299">
        <v>-23797604</v>
      </c>
      <c r="P2299">
        <v>45</v>
      </c>
      <c r="Q2299" t="s">
        <v>4927</v>
      </c>
    </row>
    <row r="2300" spans="1:17" x14ac:dyDescent="0.3">
      <c r="A2300" t="s">
        <v>33</v>
      </c>
      <c r="B2300" t="str">
        <f>"300370"</f>
        <v>300370</v>
      </c>
      <c r="C2300" t="s">
        <v>4928</v>
      </c>
      <c r="D2300" t="s">
        <v>2417</v>
      </c>
      <c r="E2300">
        <v>-5224094</v>
      </c>
      <c r="F2300">
        <v>-17526109</v>
      </c>
      <c r="G2300">
        <v>-16414006</v>
      </c>
      <c r="H2300">
        <v>-4846525</v>
      </c>
      <c r="I2300">
        <v>-144465342</v>
      </c>
      <c r="J2300">
        <v>-126213375</v>
      </c>
      <c r="K2300">
        <v>-18840524</v>
      </c>
      <c r="L2300">
        <v>-44770531</v>
      </c>
      <c r="M2300">
        <v>-67173368</v>
      </c>
      <c r="N2300">
        <v>-75244939</v>
      </c>
      <c r="P2300">
        <v>103</v>
      </c>
      <c r="Q2300" t="s">
        <v>4929</v>
      </c>
    </row>
    <row r="2301" spans="1:17" x14ac:dyDescent="0.3">
      <c r="A2301" t="s">
        <v>33</v>
      </c>
      <c r="B2301" t="str">
        <f>"000150"</f>
        <v>000150</v>
      </c>
      <c r="C2301" t="s">
        <v>4930</v>
      </c>
      <c r="D2301" t="s">
        <v>520</v>
      </c>
      <c r="E2301">
        <v>-5318493</v>
      </c>
      <c r="F2301">
        <v>-15914075</v>
      </c>
      <c r="G2301">
        <v>-306330651</v>
      </c>
      <c r="H2301">
        <v>53479648</v>
      </c>
      <c r="I2301">
        <v>268171531</v>
      </c>
      <c r="J2301">
        <v>-337454883</v>
      </c>
      <c r="K2301">
        <v>-452474212</v>
      </c>
      <c r="L2301">
        <v>77540866</v>
      </c>
      <c r="M2301">
        <v>-40257843</v>
      </c>
      <c r="N2301">
        <v>-244352448</v>
      </c>
      <c r="O2301">
        <v>174672</v>
      </c>
      <c r="P2301">
        <v>184</v>
      </c>
      <c r="Q2301" t="s">
        <v>4931</v>
      </c>
    </row>
    <row r="2302" spans="1:17" x14ac:dyDescent="0.3">
      <c r="A2302" t="s">
        <v>17</v>
      </c>
      <c r="B2302" t="str">
        <f>"603628"</f>
        <v>603628</v>
      </c>
      <c r="C2302" t="s">
        <v>4932</v>
      </c>
      <c r="D2302" t="s">
        <v>800</v>
      </c>
      <c r="E2302">
        <v>-5321012</v>
      </c>
      <c r="F2302">
        <v>-35279950</v>
      </c>
      <c r="G2302">
        <v>37954358</v>
      </c>
      <c r="H2302">
        <v>17440417</v>
      </c>
      <c r="I2302">
        <v>-55916931</v>
      </c>
      <c r="J2302">
        <v>-63557673</v>
      </c>
      <c r="K2302">
        <v>-43982609</v>
      </c>
      <c r="P2302">
        <v>80</v>
      </c>
      <c r="Q2302" t="s">
        <v>4933</v>
      </c>
    </row>
    <row r="2303" spans="1:17" x14ac:dyDescent="0.3">
      <c r="A2303" t="s">
        <v>17</v>
      </c>
      <c r="B2303" t="str">
        <f>"603030"</f>
        <v>603030</v>
      </c>
      <c r="C2303" t="s">
        <v>4934</v>
      </c>
      <c r="D2303" t="s">
        <v>1779</v>
      </c>
      <c r="E2303">
        <v>-5325960</v>
      </c>
      <c r="F2303">
        <v>-317376564</v>
      </c>
      <c r="G2303">
        <v>-199898700</v>
      </c>
      <c r="H2303">
        <v>-334691604</v>
      </c>
      <c r="I2303">
        <v>-420295180</v>
      </c>
      <c r="J2303">
        <v>-78027353</v>
      </c>
      <c r="K2303">
        <v>-125493006</v>
      </c>
      <c r="L2303">
        <v>-140347353</v>
      </c>
      <c r="M2303">
        <v>-129569548</v>
      </c>
      <c r="P2303">
        <v>126</v>
      </c>
      <c r="Q2303" t="s">
        <v>4935</v>
      </c>
    </row>
    <row r="2304" spans="1:17" x14ac:dyDescent="0.3">
      <c r="A2304" t="s">
        <v>33</v>
      </c>
      <c r="B2304" t="str">
        <f>"002880"</f>
        <v>002880</v>
      </c>
      <c r="C2304" t="s">
        <v>4936</v>
      </c>
      <c r="D2304" t="s">
        <v>954</v>
      </c>
      <c r="E2304">
        <v>-5378158</v>
      </c>
      <c r="F2304">
        <v>20961701</v>
      </c>
      <c r="G2304">
        <v>59296568</v>
      </c>
      <c r="H2304">
        <v>-15508316</v>
      </c>
      <c r="I2304">
        <v>-46795671</v>
      </c>
      <c r="J2304">
        <v>-2720007</v>
      </c>
      <c r="P2304">
        <v>214</v>
      </c>
      <c r="Q2304" t="s">
        <v>4937</v>
      </c>
    </row>
    <row r="2305" spans="1:17" x14ac:dyDescent="0.3">
      <c r="A2305" t="s">
        <v>33</v>
      </c>
      <c r="B2305" t="str">
        <f>"000976"</f>
        <v>000976</v>
      </c>
      <c r="C2305" t="s">
        <v>4938</v>
      </c>
      <c r="D2305" t="s">
        <v>1703</v>
      </c>
      <c r="E2305">
        <v>-5457573</v>
      </c>
      <c r="F2305">
        <v>-237258300</v>
      </c>
      <c r="G2305">
        <v>-168533467</v>
      </c>
      <c r="H2305">
        <v>-107730512</v>
      </c>
      <c r="I2305">
        <v>-167298460</v>
      </c>
      <c r="J2305">
        <v>-139414641</v>
      </c>
      <c r="K2305">
        <v>-369584260</v>
      </c>
      <c r="L2305">
        <v>-51967022</v>
      </c>
      <c r="M2305">
        <v>-54928030</v>
      </c>
      <c r="N2305">
        <v>-91507219</v>
      </c>
      <c r="O2305">
        <v>-102696414</v>
      </c>
      <c r="P2305">
        <v>146</v>
      </c>
      <c r="Q2305" t="s">
        <v>4939</v>
      </c>
    </row>
    <row r="2306" spans="1:17" x14ac:dyDescent="0.3">
      <c r="A2306" t="s">
        <v>17</v>
      </c>
      <c r="B2306" t="str">
        <f>"600756"</f>
        <v>600756</v>
      </c>
      <c r="C2306" t="s">
        <v>4940</v>
      </c>
      <c r="D2306" t="s">
        <v>508</v>
      </c>
      <c r="E2306">
        <v>-5471893</v>
      </c>
      <c r="F2306">
        <v>-133194674</v>
      </c>
      <c r="G2306">
        <v>-132134839</v>
      </c>
      <c r="H2306">
        <v>-219349236</v>
      </c>
      <c r="I2306">
        <v>-87973690</v>
      </c>
      <c r="J2306">
        <v>-108172630</v>
      </c>
      <c r="K2306">
        <v>-101668644</v>
      </c>
      <c r="L2306">
        <v>-142057653</v>
      </c>
      <c r="M2306">
        <v>-60427918</v>
      </c>
      <c r="N2306">
        <v>-40308686</v>
      </c>
      <c r="O2306">
        <v>-28005563</v>
      </c>
      <c r="P2306">
        <v>265</v>
      </c>
      <c r="Q2306" t="s">
        <v>4941</v>
      </c>
    </row>
    <row r="2307" spans="1:17" x14ac:dyDescent="0.3">
      <c r="A2307" t="s">
        <v>33</v>
      </c>
      <c r="B2307" t="str">
        <f>"300281"</f>
        <v>300281</v>
      </c>
      <c r="C2307" t="s">
        <v>4942</v>
      </c>
      <c r="D2307" t="s">
        <v>1895</v>
      </c>
      <c r="E2307">
        <v>-5475743</v>
      </c>
      <c r="F2307">
        <v>7641603</v>
      </c>
      <c r="G2307">
        <v>2382050</v>
      </c>
      <c r="H2307">
        <v>-3389889</v>
      </c>
      <c r="I2307">
        <v>26310503</v>
      </c>
      <c r="J2307">
        <v>247933</v>
      </c>
      <c r="K2307">
        <v>-29045661</v>
      </c>
      <c r="L2307">
        <v>-24256247</v>
      </c>
      <c r="M2307">
        <v>-32713959</v>
      </c>
      <c r="N2307">
        <v>-20676898</v>
      </c>
      <c r="O2307">
        <v>-46590726</v>
      </c>
      <c r="P2307">
        <v>48</v>
      </c>
      <c r="Q2307" t="s">
        <v>4943</v>
      </c>
    </row>
    <row r="2308" spans="1:17" x14ac:dyDescent="0.3">
      <c r="A2308" t="s">
        <v>17</v>
      </c>
      <c r="B2308" t="str">
        <f>"688618"</f>
        <v>688618</v>
      </c>
      <c r="C2308" t="s">
        <v>4944</v>
      </c>
      <c r="D2308" t="s">
        <v>461</v>
      </c>
      <c r="E2308">
        <v>-5525826</v>
      </c>
      <c r="F2308">
        <v>8304577</v>
      </c>
      <c r="G2308">
        <v>1816900</v>
      </c>
      <c r="H2308">
        <v>468900</v>
      </c>
      <c r="P2308">
        <v>41</v>
      </c>
      <c r="Q2308" t="s">
        <v>4945</v>
      </c>
    </row>
    <row r="2309" spans="1:17" x14ac:dyDescent="0.3">
      <c r="A2309" t="s">
        <v>17</v>
      </c>
      <c r="B2309" t="str">
        <f>"600671"</f>
        <v>600671</v>
      </c>
      <c r="C2309" t="s">
        <v>4946</v>
      </c>
      <c r="D2309" t="s">
        <v>533</v>
      </c>
      <c r="E2309">
        <v>-5534309</v>
      </c>
      <c r="F2309">
        <v>-1311785</v>
      </c>
      <c r="G2309">
        <v>-326268</v>
      </c>
      <c r="H2309">
        <v>38750738</v>
      </c>
      <c r="I2309">
        <v>34276082</v>
      </c>
      <c r="J2309">
        <v>-10103981</v>
      </c>
      <c r="K2309">
        <v>-1015044</v>
      </c>
      <c r="L2309">
        <v>-5625090</v>
      </c>
      <c r="M2309">
        <v>916793</v>
      </c>
      <c r="N2309">
        <v>-3906229</v>
      </c>
      <c r="O2309">
        <v>-21026252</v>
      </c>
      <c r="P2309">
        <v>104</v>
      </c>
      <c r="Q2309" t="s">
        <v>4947</v>
      </c>
    </row>
    <row r="2310" spans="1:17" x14ac:dyDescent="0.3">
      <c r="A2310" t="s">
        <v>33</v>
      </c>
      <c r="B2310" t="str">
        <f>"300337"</f>
        <v>300337</v>
      </c>
      <c r="C2310" t="s">
        <v>4948</v>
      </c>
      <c r="D2310" t="s">
        <v>140</v>
      </c>
      <c r="E2310">
        <v>-5561717</v>
      </c>
      <c r="F2310">
        <v>-25864383</v>
      </c>
      <c r="G2310">
        <v>-66367747</v>
      </c>
      <c r="H2310">
        <v>-31325171</v>
      </c>
      <c r="I2310">
        <v>-22287742</v>
      </c>
      <c r="J2310">
        <v>-69805429</v>
      </c>
      <c r="K2310">
        <v>-105800783</v>
      </c>
      <c r="L2310">
        <v>-112428426</v>
      </c>
      <c r="M2310">
        <v>2241702</v>
      </c>
      <c r="N2310">
        <v>-68964113</v>
      </c>
      <c r="O2310">
        <v>-32905189</v>
      </c>
      <c r="P2310">
        <v>142</v>
      </c>
      <c r="Q2310" t="s">
        <v>4949</v>
      </c>
    </row>
    <row r="2311" spans="1:17" x14ac:dyDescent="0.3">
      <c r="A2311" t="s">
        <v>33</v>
      </c>
      <c r="B2311" t="str">
        <f>"300467"</f>
        <v>300467</v>
      </c>
      <c r="C2311" t="s">
        <v>4950</v>
      </c>
      <c r="D2311" t="s">
        <v>751</v>
      </c>
      <c r="E2311">
        <v>-5590205</v>
      </c>
      <c r="F2311">
        <v>52033776</v>
      </c>
      <c r="G2311">
        <v>46076079</v>
      </c>
      <c r="H2311">
        <v>78072341</v>
      </c>
      <c r="I2311">
        <v>66918802</v>
      </c>
      <c r="J2311">
        <v>-13818155</v>
      </c>
      <c r="K2311">
        <v>8729649</v>
      </c>
      <c r="L2311">
        <v>11272192</v>
      </c>
      <c r="M2311">
        <v>17082231</v>
      </c>
      <c r="P2311">
        <v>187</v>
      </c>
      <c r="Q2311" t="s">
        <v>4951</v>
      </c>
    </row>
    <row r="2312" spans="1:17" x14ac:dyDescent="0.3">
      <c r="A2312" t="s">
        <v>33</v>
      </c>
      <c r="B2312" t="str">
        <f>"002563"</f>
        <v>002563</v>
      </c>
      <c r="C2312" t="s">
        <v>4952</v>
      </c>
      <c r="D2312" t="s">
        <v>581</v>
      </c>
      <c r="E2312">
        <v>-5615382</v>
      </c>
      <c r="F2312">
        <v>746313944</v>
      </c>
      <c r="G2312">
        <v>-241544959</v>
      </c>
      <c r="H2312">
        <v>-33337126</v>
      </c>
      <c r="I2312">
        <v>377381657</v>
      </c>
      <c r="J2312">
        <v>-42077280</v>
      </c>
      <c r="K2312">
        <v>143990757</v>
      </c>
      <c r="L2312">
        <v>416795399</v>
      </c>
      <c r="M2312">
        <v>158372628</v>
      </c>
      <c r="N2312">
        <v>348771380</v>
      </c>
      <c r="O2312">
        <v>-17419461</v>
      </c>
      <c r="P2312">
        <v>904</v>
      </c>
      <c r="Q2312" t="s">
        <v>4953</v>
      </c>
    </row>
    <row r="2313" spans="1:17" x14ac:dyDescent="0.3">
      <c r="A2313" t="s">
        <v>33</v>
      </c>
      <c r="B2313" t="str">
        <f>"002175"</f>
        <v>002175</v>
      </c>
      <c r="C2313" t="s">
        <v>4954</v>
      </c>
      <c r="D2313" t="s">
        <v>523</v>
      </c>
      <c r="E2313">
        <v>-5643504</v>
      </c>
      <c r="F2313">
        <v>-19586926</v>
      </c>
      <c r="G2313">
        <v>-6272317</v>
      </c>
      <c r="H2313">
        <v>-10187614</v>
      </c>
      <c r="I2313">
        <v>-24235860</v>
      </c>
      <c r="J2313">
        <v>18655982</v>
      </c>
      <c r="K2313">
        <v>812029</v>
      </c>
      <c r="L2313">
        <v>-21731818</v>
      </c>
      <c r="M2313">
        <v>395111</v>
      </c>
      <c r="N2313">
        <v>-1723111</v>
      </c>
      <c r="O2313">
        <v>-4449720</v>
      </c>
      <c r="P2313">
        <v>79</v>
      </c>
      <c r="Q2313" t="s">
        <v>4955</v>
      </c>
    </row>
    <row r="2314" spans="1:17" x14ac:dyDescent="0.3">
      <c r="A2314" t="s">
        <v>33</v>
      </c>
      <c r="B2314" t="str">
        <f>"300492"</f>
        <v>300492</v>
      </c>
      <c r="C2314" t="s">
        <v>4956</v>
      </c>
      <c r="D2314" t="s">
        <v>4300</v>
      </c>
      <c r="E2314">
        <v>-5657567</v>
      </c>
      <c r="F2314">
        <v>-2556449</v>
      </c>
      <c r="G2314">
        <v>-16962227</v>
      </c>
      <c r="H2314">
        <v>-14895083</v>
      </c>
      <c r="I2314">
        <v>7142438</v>
      </c>
      <c r="J2314">
        <v>-9991189</v>
      </c>
      <c r="K2314">
        <v>-17145927</v>
      </c>
      <c r="L2314">
        <v>-10719396</v>
      </c>
      <c r="M2314">
        <v>-25118185</v>
      </c>
      <c r="P2314">
        <v>94</v>
      </c>
      <c r="Q2314" t="s">
        <v>4957</v>
      </c>
    </row>
    <row r="2315" spans="1:17" x14ac:dyDescent="0.3">
      <c r="A2315" t="s">
        <v>17</v>
      </c>
      <c r="B2315" t="str">
        <f>"603088"</f>
        <v>603088</v>
      </c>
      <c r="C2315" t="s">
        <v>4958</v>
      </c>
      <c r="D2315" t="s">
        <v>1910</v>
      </c>
      <c r="E2315">
        <v>-5682037</v>
      </c>
      <c r="F2315">
        <v>-828184</v>
      </c>
      <c r="G2315">
        <v>27661821</v>
      </c>
      <c r="H2315">
        <v>-28537162</v>
      </c>
      <c r="I2315">
        <v>-3807816</v>
      </c>
      <c r="J2315">
        <v>10408623</v>
      </c>
      <c r="K2315">
        <v>8309392</v>
      </c>
      <c r="L2315">
        <v>-19975166</v>
      </c>
      <c r="M2315">
        <v>349084</v>
      </c>
      <c r="P2315">
        <v>106</v>
      </c>
      <c r="Q2315" t="s">
        <v>4959</v>
      </c>
    </row>
    <row r="2316" spans="1:17" x14ac:dyDescent="0.3">
      <c r="A2316" t="s">
        <v>33</v>
      </c>
      <c r="B2316" t="str">
        <f>"300521"</f>
        <v>300521</v>
      </c>
      <c r="C2316" t="s">
        <v>4960</v>
      </c>
      <c r="D2316" t="s">
        <v>2269</v>
      </c>
      <c r="E2316">
        <v>-5734136</v>
      </c>
      <c r="F2316">
        <v>114588</v>
      </c>
      <c r="G2316">
        <v>-3324005</v>
      </c>
      <c r="H2316">
        <v>-20589062</v>
      </c>
      <c r="I2316">
        <v>431272</v>
      </c>
      <c r="J2316">
        <v>6387767</v>
      </c>
      <c r="K2316">
        <v>662465</v>
      </c>
      <c r="L2316">
        <v>-1578516</v>
      </c>
      <c r="P2316">
        <v>57</v>
      </c>
      <c r="Q2316" t="s">
        <v>4961</v>
      </c>
    </row>
    <row r="2317" spans="1:17" x14ac:dyDescent="0.3">
      <c r="A2317" t="s">
        <v>17</v>
      </c>
      <c r="B2317" t="str">
        <f>"600306"</f>
        <v>600306</v>
      </c>
      <c r="C2317" t="s">
        <v>4962</v>
      </c>
      <c r="D2317" t="s">
        <v>989</v>
      </c>
      <c r="E2317">
        <v>-5745799</v>
      </c>
      <c r="F2317">
        <v>21706949</v>
      </c>
      <c r="G2317">
        <v>4926947</v>
      </c>
      <c r="H2317">
        <v>-5074505</v>
      </c>
      <c r="I2317">
        <v>890099</v>
      </c>
      <c r="J2317">
        <v>15094393</v>
      </c>
      <c r="K2317">
        <v>12774837</v>
      </c>
      <c r="L2317">
        <v>-80178136</v>
      </c>
      <c r="M2317">
        <v>7874449</v>
      </c>
      <c r="N2317">
        <v>73149410</v>
      </c>
      <c r="O2317">
        <v>85773737</v>
      </c>
      <c r="P2317">
        <v>71</v>
      </c>
      <c r="Q2317" t="s">
        <v>4963</v>
      </c>
    </row>
    <row r="2318" spans="1:17" x14ac:dyDescent="0.3">
      <c r="A2318" t="s">
        <v>33</v>
      </c>
      <c r="B2318" t="str">
        <f>"301212"</f>
        <v>301212</v>
      </c>
      <c r="C2318" t="s">
        <v>4964</v>
      </c>
      <c r="E2318">
        <v>-5788405</v>
      </c>
      <c r="F2318">
        <v>34293394</v>
      </c>
      <c r="P2318">
        <v>3</v>
      </c>
      <c r="Q2318" t="s">
        <v>4965</v>
      </c>
    </row>
    <row r="2319" spans="1:17" x14ac:dyDescent="0.3">
      <c r="A2319" t="s">
        <v>17</v>
      </c>
      <c r="B2319" t="str">
        <f>"688218"</f>
        <v>688218</v>
      </c>
      <c r="C2319" t="s">
        <v>4966</v>
      </c>
      <c r="D2319" t="s">
        <v>1142</v>
      </c>
      <c r="E2319">
        <v>-5789792</v>
      </c>
      <c r="F2319">
        <v>-39907667</v>
      </c>
      <c r="G2319">
        <v>9562642</v>
      </c>
      <c r="H2319">
        <v>-33449714</v>
      </c>
      <c r="I2319">
        <v>-45003146</v>
      </c>
      <c r="P2319">
        <v>47</v>
      </c>
      <c r="Q2319" t="s">
        <v>4967</v>
      </c>
    </row>
    <row r="2320" spans="1:17" x14ac:dyDescent="0.3">
      <c r="A2320" t="s">
        <v>17</v>
      </c>
      <c r="B2320" t="str">
        <f>"688222"</f>
        <v>688222</v>
      </c>
      <c r="C2320" t="s">
        <v>4968</v>
      </c>
      <c r="D2320" t="s">
        <v>846</v>
      </c>
      <c r="E2320">
        <v>-5800254</v>
      </c>
      <c r="F2320">
        <v>14094599</v>
      </c>
      <c r="G2320">
        <v>-1897163</v>
      </c>
      <c r="H2320">
        <v>44898575</v>
      </c>
      <c r="P2320">
        <v>128</v>
      </c>
      <c r="Q2320" t="s">
        <v>4969</v>
      </c>
    </row>
    <row r="2321" spans="1:17" x14ac:dyDescent="0.3">
      <c r="A2321" t="s">
        <v>17</v>
      </c>
      <c r="B2321" t="str">
        <f>"603421"</f>
        <v>603421</v>
      </c>
      <c r="C2321" t="s">
        <v>4970</v>
      </c>
      <c r="D2321" t="s">
        <v>461</v>
      </c>
      <c r="E2321">
        <v>-5850868</v>
      </c>
      <c r="F2321">
        <v>33103716</v>
      </c>
      <c r="G2321">
        <v>32563753</v>
      </c>
      <c r="H2321">
        <v>-29230496</v>
      </c>
      <c r="I2321">
        <v>-51872993</v>
      </c>
      <c r="J2321">
        <v>-52640857</v>
      </c>
      <c r="K2321">
        <v>-66767716</v>
      </c>
      <c r="P2321">
        <v>138</v>
      </c>
      <c r="Q2321" t="s">
        <v>4971</v>
      </c>
    </row>
    <row r="2322" spans="1:17" x14ac:dyDescent="0.3">
      <c r="A2322" t="s">
        <v>17</v>
      </c>
      <c r="B2322" t="str">
        <f>"688698"</f>
        <v>688698</v>
      </c>
      <c r="C2322" t="s">
        <v>4972</v>
      </c>
      <c r="D2322" t="s">
        <v>2148</v>
      </c>
      <c r="E2322">
        <v>-5920851</v>
      </c>
      <c r="F2322">
        <v>-21100864</v>
      </c>
      <c r="G2322">
        <v>-6464353</v>
      </c>
      <c r="P2322">
        <v>74</v>
      </c>
      <c r="Q2322" t="s">
        <v>4973</v>
      </c>
    </row>
    <row r="2323" spans="1:17" x14ac:dyDescent="0.3">
      <c r="A2323" t="s">
        <v>33</v>
      </c>
      <c r="B2323" t="str">
        <f>"002438"</f>
        <v>002438</v>
      </c>
      <c r="C2323" t="s">
        <v>4974</v>
      </c>
      <c r="D2323" t="s">
        <v>164</v>
      </c>
      <c r="E2323">
        <v>-5956864</v>
      </c>
      <c r="F2323">
        <v>31719054</v>
      </c>
      <c r="G2323">
        <v>-14705464</v>
      </c>
      <c r="H2323">
        <v>-53102062</v>
      </c>
      <c r="I2323">
        <v>-51160916</v>
      </c>
      <c r="J2323">
        <v>-17028778</v>
      </c>
      <c r="K2323">
        <v>10547671</v>
      </c>
      <c r="L2323">
        <v>-41823588</v>
      </c>
      <c r="M2323">
        <v>-36549240</v>
      </c>
      <c r="N2323">
        <v>-25828618</v>
      </c>
      <c r="O2323">
        <v>-35321596</v>
      </c>
      <c r="P2323">
        <v>185</v>
      </c>
      <c r="Q2323" t="s">
        <v>4975</v>
      </c>
    </row>
    <row r="2324" spans="1:17" x14ac:dyDescent="0.3">
      <c r="A2324" t="s">
        <v>17</v>
      </c>
      <c r="B2324" t="str">
        <f>"601118"</f>
        <v>601118</v>
      </c>
      <c r="C2324" t="s">
        <v>4976</v>
      </c>
      <c r="D2324" t="s">
        <v>1886</v>
      </c>
      <c r="E2324">
        <v>-5970691</v>
      </c>
      <c r="F2324">
        <v>-472217381</v>
      </c>
      <c r="G2324">
        <v>-780846747</v>
      </c>
      <c r="H2324">
        <v>261024145</v>
      </c>
      <c r="I2324">
        <v>-207015175</v>
      </c>
      <c r="J2324">
        <v>-519695009</v>
      </c>
      <c r="K2324">
        <v>227019368</v>
      </c>
      <c r="L2324">
        <v>125366539</v>
      </c>
      <c r="M2324">
        <v>-547409021</v>
      </c>
      <c r="N2324">
        <v>345393113</v>
      </c>
      <c r="O2324">
        <v>423214393</v>
      </c>
      <c r="P2324">
        <v>199</v>
      </c>
      <c r="Q2324" t="s">
        <v>4977</v>
      </c>
    </row>
    <row r="2325" spans="1:17" x14ac:dyDescent="0.3">
      <c r="A2325" t="s">
        <v>17</v>
      </c>
      <c r="B2325" t="str">
        <f>"688258"</f>
        <v>688258</v>
      </c>
      <c r="C2325" t="s">
        <v>4978</v>
      </c>
      <c r="D2325" t="s">
        <v>508</v>
      </c>
      <c r="E2325">
        <v>-5990507</v>
      </c>
      <c r="F2325">
        <v>8999312</v>
      </c>
      <c r="G2325">
        <v>5325388</v>
      </c>
      <c r="H2325">
        <v>-8910843</v>
      </c>
      <c r="P2325">
        <v>2718</v>
      </c>
      <c r="Q2325" t="s">
        <v>4979</v>
      </c>
    </row>
    <row r="2326" spans="1:17" x14ac:dyDescent="0.3">
      <c r="A2326" t="s">
        <v>33</v>
      </c>
      <c r="B2326" t="str">
        <f>"301019"</f>
        <v>301019</v>
      </c>
      <c r="C2326" t="s">
        <v>4980</v>
      </c>
      <c r="D2326" t="s">
        <v>1483</v>
      </c>
      <c r="E2326">
        <v>-6000872</v>
      </c>
      <c r="F2326">
        <v>7485080</v>
      </c>
      <c r="G2326">
        <v>-26803026</v>
      </c>
      <c r="P2326">
        <v>39</v>
      </c>
      <c r="Q2326" t="s">
        <v>4981</v>
      </c>
    </row>
    <row r="2327" spans="1:17" x14ac:dyDescent="0.3">
      <c r="A2327" t="s">
        <v>33</v>
      </c>
      <c r="B2327" t="str">
        <f>"300948"</f>
        <v>300948</v>
      </c>
      <c r="C2327" t="s">
        <v>4982</v>
      </c>
      <c r="D2327" t="s">
        <v>2330</v>
      </c>
      <c r="E2327">
        <v>-6058789</v>
      </c>
      <c r="F2327">
        <v>-33982753</v>
      </c>
      <c r="G2327">
        <v>-26990592</v>
      </c>
      <c r="P2327">
        <v>38</v>
      </c>
      <c r="Q2327" t="s">
        <v>4983</v>
      </c>
    </row>
    <row r="2328" spans="1:17" x14ac:dyDescent="0.3">
      <c r="A2328" t="s">
        <v>17</v>
      </c>
      <c r="B2328" t="str">
        <f>"603662"</f>
        <v>603662</v>
      </c>
      <c r="C2328" t="s">
        <v>4984</v>
      </c>
      <c r="D2328" t="s">
        <v>2417</v>
      </c>
      <c r="E2328">
        <v>-6071824</v>
      </c>
      <c r="F2328">
        <v>-44239153</v>
      </c>
      <c r="G2328">
        <v>44153918</v>
      </c>
      <c r="H2328">
        <v>-16208300</v>
      </c>
      <c r="I2328">
        <v>1747500</v>
      </c>
      <c r="P2328">
        <v>125</v>
      </c>
      <c r="Q2328" t="s">
        <v>4985</v>
      </c>
    </row>
    <row r="2329" spans="1:17" x14ac:dyDescent="0.3">
      <c r="A2329" t="s">
        <v>33</v>
      </c>
      <c r="B2329" t="str">
        <f>"002086"</f>
        <v>002086</v>
      </c>
      <c r="C2329" t="s">
        <v>4986</v>
      </c>
      <c r="D2329" t="s">
        <v>1490</v>
      </c>
      <c r="E2329">
        <v>-6099102</v>
      </c>
      <c r="F2329">
        <v>9851430</v>
      </c>
      <c r="G2329">
        <v>-794924206</v>
      </c>
      <c r="H2329">
        <v>875979620</v>
      </c>
      <c r="I2329">
        <v>-11346669</v>
      </c>
      <c r="J2329">
        <v>-15728324</v>
      </c>
      <c r="K2329">
        <v>-16803926</v>
      </c>
      <c r="L2329">
        <v>53518281</v>
      </c>
      <c r="M2329">
        <v>-39781811</v>
      </c>
      <c r="N2329">
        <v>21190413</v>
      </c>
      <c r="O2329">
        <v>21125062</v>
      </c>
      <c r="P2329">
        <v>70</v>
      </c>
      <c r="Q2329" t="s">
        <v>4987</v>
      </c>
    </row>
    <row r="2330" spans="1:17" x14ac:dyDescent="0.3">
      <c r="A2330" t="s">
        <v>17</v>
      </c>
      <c r="B2330" t="str">
        <f>"603963"</f>
        <v>603963</v>
      </c>
      <c r="C2330" t="s">
        <v>4988</v>
      </c>
      <c r="D2330" t="s">
        <v>533</v>
      </c>
      <c r="E2330">
        <v>-6173988</v>
      </c>
      <c r="F2330">
        <v>-1901447</v>
      </c>
      <c r="G2330">
        <v>-9793332</v>
      </c>
      <c r="H2330">
        <v>-667412</v>
      </c>
      <c r="I2330">
        <v>21464253</v>
      </c>
      <c r="J2330">
        <v>7181321</v>
      </c>
      <c r="P2330">
        <v>109</v>
      </c>
      <c r="Q2330" t="s">
        <v>4989</v>
      </c>
    </row>
    <row r="2331" spans="1:17" x14ac:dyDescent="0.3">
      <c r="A2331" t="s">
        <v>17</v>
      </c>
      <c r="B2331" t="str">
        <f>"603110"</f>
        <v>603110</v>
      </c>
      <c r="C2331" t="s">
        <v>4990</v>
      </c>
      <c r="D2331" t="s">
        <v>1341</v>
      </c>
      <c r="E2331">
        <v>-6213442</v>
      </c>
      <c r="F2331">
        <v>3056706</v>
      </c>
      <c r="G2331">
        <v>-6834228</v>
      </c>
      <c r="H2331">
        <v>-3504406</v>
      </c>
      <c r="I2331">
        <v>10318196</v>
      </c>
      <c r="J2331">
        <v>15658274</v>
      </c>
      <c r="P2331">
        <v>71</v>
      </c>
      <c r="Q2331" t="s">
        <v>4991</v>
      </c>
    </row>
    <row r="2332" spans="1:17" x14ac:dyDescent="0.3">
      <c r="A2332" t="s">
        <v>17</v>
      </c>
      <c r="B2332" t="str">
        <f>"600862"</f>
        <v>600862</v>
      </c>
      <c r="C2332" t="s">
        <v>4992</v>
      </c>
      <c r="D2332" t="s">
        <v>2262</v>
      </c>
      <c r="E2332">
        <v>-6214146</v>
      </c>
      <c r="F2332">
        <v>-231677628</v>
      </c>
      <c r="G2332">
        <v>-224090884</v>
      </c>
      <c r="H2332">
        <v>-75547285</v>
      </c>
      <c r="I2332">
        <v>-2851192</v>
      </c>
      <c r="J2332">
        <v>55441135</v>
      </c>
      <c r="K2332">
        <v>-108883930</v>
      </c>
      <c r="L2332">
        <v>-75017185</v>
      </c>
      <c r="M2332">
        <v>-12020351</v>
      </c>
      <c r="N2332">
        <v>249633029</v>
      </c>
      <c r="O2332">
        <v>-182960123</v>
      </c>
      <c r="P2332">
        <v>457</v>
      </c>
      <c r="Q2332" t="s">
        <v>4993</v>
      </c>
    </row>
    <row r="2333" spans="1:17" x14ac:dyDescent="0.3">
      <c r="A2333" t="s">
        <v>33</v>
      </c>
      <c r="B2333" t="str">
        <f>"000606"</f>
        <v>000606</v>
      </c>
      <c r="C2333" t="s">
        <v>4994</v>
      </c>
      <c r="D2333" t="s">
        <v>508</v>
      </c>
      <c r="E2333">
        <v>-6257155</v>
      </c>
      <c r="F2333">
        <v>-101984655</v>
      </c>
      <c r="G2333">
        <v>-45847455</v>
      </c>
      <c r="H2333">
        <v>2906903</v>
      </c>
      <c r="I2333">
        <v>-46678266</v>
      </c>
      <c r="J2333">
        <v>-73582212</v>
      </c>
      <c r="K2333">
        <v>-19309085</v>
      </c>
      <c r="L2333">
        <v>-3165930</v>
      </c>
      <c r="M2333">
        <v>-3992210</v>
      </c>
      <c r="N2333">
        <v>-10855110</v>
      </c>
      <c r="O2333">
        <v>-2911631</v>
      </c>
      <c r="P2333">
        <v>99</v>
      </c>
      <c r="Q2333" t="s">
        <v>4995</v>
      </c>
    </row>
    <row r="2334" spans="1:17" x14ac:dyDescent="0.3">
      <c r="A2334" t="s">
        <v>33</v>
      </c>
      <c r="B2334" t="str">
        <f>"300980"</f>
        <v>300980</v>
      </c>
      <c r="C2334" t="s">
        <v>4996</v>
      </c>
      <c r="D2334" t="s">
        <v>1483</v>
      </c>
      <c r="E2334">
        <v>-6259172</v>
      </c>
      <c r="F2334">
        <v>-52366463</v>
      </c>
      <c r="G2334">
        <v>13715000</v>
      </c>
      <c r="P2334">
        <v>77</v>
      </c>
      <c r="Q2334" t="s">
        <v>4997</v>
      </c>
    </row>
    <row r="2335" spans="1:17" x14ac:dyDescent="0.3">
      <c r="A2335" t="s">
        <v>33</v>
      </c>
      <c r="B2335" t="str">
        <f>"300585"</f>
        <v>300585</v>
      </c>
      <c r="C2335" t="s">
        <v>4998</v>
      </c>
      <c r="D2335" t="s">
        <v>858</v>
      </c>
      <c r="E2335">
        <v>-6359888</v>
      </c>
      <c r="F2335">
        <v>-6540530</v>
      </c>
      <c r="G2335">
        <v>10599039</v>
      </c>
      <c r="H2335">
        <v>31770577</v>
      </c>
      <c r="I2335">
        <v>7165561</v>
      </c>
      <c r="J2335">
        <v>-8160515</v>
      </c>
      <c r="K2335">
        <v>6382842</v>
      </c>
      <c r="P2335">
        <v>92</v>
      </c>
      <c r="Q2335" t="s">
        <v>4999</v>
      </c>
    </row>
    <row r="2336" spans="1:17" x14ac:dyDescent="0.3">
      <c r="A2336" t="s">
        <v>17</v>
      </c>
      <c r="B2336" t="str">
        <f>"688681"</f>
        <v>688681</v>
      </c>
      <c r="C2336" t="s">
        <v>5000</v>
      </c>
      <c r="D2336" t="s">
        <v>1182</v>
      </c>
      <c r="E2336">
        <v>-6413336</v>
      </c>
      <c r="F2336">
        <v>-21376703</v>
      </c>
      <c r="G2336">
        <v>-17985189</v>
      </c>
      <c r="P2336">
        <v>31</v>
      </c>
      <c r="Q2336" t="s">
        <v>5001</v>
      </c>
    </row>
    <row r="2337" spans="1:17" x14ac:dyDescent="0.3">
      <c r="A2337" t="s">
        <v>33</v>
      </c>
      <c r="B2337" t="str">
        <f>"000007"</f>
        <v>000007</v>
      </c>
      <c r="C2337" t="s">
        <v>5002</v>
      </c>
      <c r="D2337" t="s">
        <v>394</v>
      </c>
      <c r="E2337">
        <v>-6497765</v>
      </c>
      <c r="F2337">
        <v>5829955</v>
      </c>
      <c r="G2337">
        <v>-12657690</v>
      </c>
      <c r="H2337">
        <v>14067132</v>
      </c>
      <c r="I2337">
        <v>-4429840</v>
      </c>
      <c r="J2337">
        <v>-25795709</v>
      </c>
      <c r="K2337">
        <v>-6945085</v>
      </c>
      <c r="L2337">
        <v>-16494816</v>
      </c>
      <c r="M2337">
        <v>-81354976</v>
      </c>
      <c r="N2337">
        <v>4267223</v>
      </c>
      <c r="O2337">
        <v>-73969638</v>
      </c>
      <c r="P2337">
        <v>93</v>
      </c>
      <c r="Q2337" t="s">
        <v>5003</v>
      </c>
    </row>
    <row r="2338" spans="1:17" x14ac:dyDescent="0.3">
      <c r="A2338" t="s">
        <v>33</v>
      </c>
      <c r="B2338" t="str">
        <f>"002088"</f>
        <v>002088</v>
      </c>
      <c r="C2338" t="s">
        <v>5004</v>
      </c>
      <c r="D2338" t="s">
        <v>5005</v>
      </c>
      <c r="E2338">
        <v>-6499503</v>
      </c>
      <c r="F2338">
        <v>71895449</v>
      </c>
      <c r="G2338">
        <v>4826687</v>
      </c>
      <c r="H2338">
        <v>16550556</v>
      </c>
      <c r="I2338">
        <v>-3364822</v>
      </c>
      <c r="J2338">
        <v>46288156</v>
      </c>
      <c r="K2338">
        <v>60064802</v>
      </c>
      <c r="L2338">
        <v>31837152</v>
      </c>
      <c r="M2338">
        <v>21030469</v>
      </c>
      <c r="N2338">
        <v>16357219</v>
      </c>
      <c r="O2338">
        <v>12628374</v>
      </c>
      <c r="P2338">
        <v>407</v>
      </c>
      <c r="Q2338" t="s">
        <v>5006</v>
      </c>
    </row>
    <row r="2339" spans="1:17" x14ac:dyDescent="0.3">
      <c r="A2339" t="s">
        <v>33</v>
      </c>
      <c r="B2339" t="str">
        <f>"002265"</f>
        <v>002265</v>
      </c>
      <c r="C2339" t="s">
        <v>5007</v>
      </c>
      <c r="D2339" t="s">
        <v>858</v>
      </c>
      <c r="E2339">
        <v>-6521860</v>
      </c>
      <c r="F2339">
        <v>-13837373</v>
      </c>
      <c r="G2339">
        <v>-25304063</v>
      </c>
      <c r="H2339">
        <v>11799130</v>
      </c>
      <c r="I2339">
        <v>63663598</v>
      </c>
      <c r="J2339">
        <v>30923838</v>
      </c>
      <c r="K2339">
        <v>7208924</v>
      </c>
      <c r="L2339">
        <v>-8465454</v>
      </c>
      <c r="M2339">
        <v>-2715305</v>
      </c>
      <c r="N2339">
        <v>-13693105</v>
      </c>
      <c r="O2339">
        <v>-21697184</v>
      </c>
      <c r="P2339">
        <v>86</v>
      </c>
      <c r="Q2339" t="s">
        <v>5008</v>
      </c>
    </row>
    <row r="2340" spans="1:17" x14ac:dyDescent="0.3">
      <c r="A2340" t="s">
        <v>17</v>
      </c>
      <c r="B2340" t="str">
        <f>"600861"</f>
        <v>600861</v>
      </c>
      <c r="C2340" t="s">
        <v>5009</v>
      </c>
      <c r="D2340" t="s">
        <v>526</v>
      </c>
      <c r="E2340">
        <v>-6541228</v>
      </c>
      <c r="F2340">
        <v>36935735</v>
      </c>
      <c r="G2340">
        <v>-30319795</v>
      </c>
      <c r="H2340">
        <v>29174294</v>
      </c>
      <c r="I2340">
        <v>36351776</v>
      </c>
      <c r="J2340">
        <v>138636919</v>
      </c>
      <c r="K2340">
        <v>30599753</v>
      </c>
      <c r="L2340">
        <v>-75675766</v>
      </c>
      <c r="M2340">
        <v>322412611</v>
      </c>
      <c r="N2340">
        <v>-111669669</v>
      </c>
      <c r="O2340">
        <v>-30511856</v>
      </c>
      <c r="P2340">
        <v>72</v>
      </c>
      <c r="Q2340" t="s">
        <v>5010</v>
      </c>
    </row>
    <row r="2341" spans="1:17" x14ac:dyDescent="0.3">
      <c r="A2341" t="s">
        <v>17</v>
      </c>
      <c r="B2341" t="str">
        <f>"600467"</f>
        <v>600467</v>
      </c>
      <c r="C2341" t="s">
        <v>5011</v>
      </c>
      <c r="D2341" t="s">
        <v>1490</v>
      </c>
      <c r="E2341">
        <v>-6666451</v>
      </c>
      <c r="F2341">
        <v>42017126</v>
      </c>
      <c r="G2341">
        <v>11609905</v>
      </c>
      <c r="H2341">
        <v>-103046533</v>
      </c>
      <c r="I2341">
        <v>6691686</v>
      </c>
      <c r="J2341">
        <v>26427856</v>
      </c>
      <c r="K2341">
        <v>54309906</v>
      </c>
      <c r="L2341">
        <v>-50580876</v>
      </c>
      <c r="M2341">
        <v>-66818195</v>
      </c>
      <c r="N2341">
        <v>-55616039</v>
      </c>
      <c r="O2341">
        <v>-47538015</v>
      </c>
      <c r="P2341">
        <v>119</v>
      </c>
      <c r="Q2341" t="s">
        <v>5012</v>
      </c>
    </row>
    <row r="2342" spans="1:17" x14ac:dyDescent="0.3">
      <c r="A2342" t="s">
        <v>17</v>
      </c>
      <c r="B2342" t="str">
        <f>"688700"</f>
        <v>688700</v>
      </c>
      <c r="C2342" t="s">
        <v>5013</v>
      </c>
      <c r="D2342" t="s">
        <v>1895</v>
      </c>
      <c r="E2342">
        <v>-6678513</v>
      </c>
      <c r="F2342">
        <v>10516830</v>
      </c>
      <c r="G2342">
        <v>-12937771</v>
      </c>
      <c r="P2342">
        <v>34</v>
      </c>
      <c r="Q2342" t="s">
        <v>5014</v>
      </c>
    </row>
    <row r="2343" spans="1:17" x14ac:dyDescent="0.3">
      <c r="A2343" t="s">
        <v>33</v>
      </c>
      <c r="B2343" t="str">
        <f>"002700"</f>
        <v>002700</v>
      </c>
      <c r="C2343" t="s">
        <v>5015</v>
      </c>
      <c r="D2343" t="s">
        <v>649</v>
      </c>
      <c r="E2343">
        <v>-6701604</v>
      </c>
      <c r="F2343">
        <v>9289480</v>
      </c>
      <c r="G2343">
        <v>73982968</v>
      </c>
      <c r="H2343">
        <v>-4123723</v>
      </c>
      <c r="I2343">
        <v>-329366036</v>
      </c>
      <c r="J2343">
        <v>18075262</v>
      </c>
      <c r="K2343">
        <v>19529446</v>
      </c>
      <c r="L2343">
        <v>20185251</v>
      </c>
      <c r="M2343">
        <v>33377381</v>
      </c>
      <c r="N2343">
        <v>22367600</v>
      </c>
      <c r="O2343">
        <v>-2451584</v>
      </c>
      <c r="P2343">
        <v>53</v>
      </c>
      <c r="Q2343" t="s">
        <v>5016</v>
      </c>
    </row>
    <row r="2344" spans="1:17" x14ac:dyDescent="0.3">
      <c r="A2344" t="s">
        <v>33</v>
      </c>
      <c r="B2344" t="str">
        <f>"300046"</f>
        <v>300046</v>
      </c>
      <c r="C2344" t="s">
        <v>5017</v>
      </c>
      <c r="D2344" t="s">
        <v>1274</v>
      </c>
      <c r="E2344">
        <v>-6743982</v>
      </c>
      <c r="F2344">
        <v>-13161073</v>
      </c>
      <c r="G2344">
        <v>5823530</v>
      </c>
      <c r="H2344">
        <v>15408566</v>
      </c>
      <c r="I2344">
        <v>1662949</v>
      </c>
      <c r="J2344">
        <v>35746158</v>
      </c>
      <c r="K2344">
        <v>14272853</v>
      </c>
      <c r="L2344">
        <v>-943616</v>
      </c>
      <c r="M2344">
        <v>19767062</v>
      </c>
      <c r="N2344">
        <v>14450538</v>
      </c>
      <c r="O2344">
        <v>36262799</v>
      </c>
      <c r="P2344">
        <v>225</v>
      </c>
      <c r="Q2344" t="s">
        <v>5018</v>
      </c>
    </row>
    <row r="2345" spans="1:17" x14ac:dyDescent="0.3">
      <c r="A2345" t="s">
        <v>33</v>
      </c>
      <c r="B2345" t="str">
        <f>"300299"</f>
        <v>300299</v>
      </c>
      <c r="C2345" t="s">
        <v>5019</v>
      </c>
      <c r="D2345" t="s">
        <v>751</v>
      </c>
      <c r="E2345">
        <v>-6795646</v>
      </c>
      <c r="F2345">
        <v>1304481</v>
      </c>
      <c r="G2345">
        <v>30896951</v>
      </c>
      <c r="H2345">
        <v>-19831261</v>
      </c>
      <c r="I2345">
        <v>-40691347</v>
      </c>
      <c r="J2345">
        <v>3756911</v>
      </c>
      <c r="K2345">
        <v>-8413066</v>
      </c>
      <c r="L2345">
        <v>2705900</v>
      </c>
      <c r="M2345">
        <v>-11635310</v>
      </c>
      <c r="N2345">
        <v>-11234715</v>
      </c>
      <c r="O2345">
        <v>-30242333</v>
      </c>
      <c r="P2345">
        <v>187</v>
      </c>
      <c r="Q2345" t="s">
        <v>5020</v>
      </c>
    </row>
    <row r="2346" spans="1:17" x14ac:dyDescent="0.3">
      <c r="A2346" t="s">
        <v>17</v>
      </c>
      <c r="B2346" t="str">
        <f>"688683"</f>
        <v>688683</v>
      </c>
      <c r="C2346" t="s">
        <v>5021</v>
      </c>
      <c r="D2346" t="s">
        <v>226</v>
      </c>
      <c r="E2346">
        <v>-6815123</v>
      </c>
      <c r="F2346">
        <v>-1254831</v>
      </c>
      <c r="G2346">
        <v>12704723</v>
      </c>
      <c r="P2346">
        <v>18</v>
      </c>
      <c r="Q2346" t="s">
        <v>5022</v>
      </c>
    </row>
    <row r="2347" spans="1:17" x14ac:dyDescent="0.3">
      <c r="A2347" t="s">
        <v>33</v>
      </c>
      <c r="B2347" t="str">
        <f>"300816"</f>
        <v>300816</v>
      </c>
      <c r="C2347" t="s">
        <v>5023</v>
      </c>
      <c r="D2347" t="s">
        <v>1419</v>
      </c>
      <c r="E2347">
        <v>-6845346</v>
      </c>
      <c r="F2347">
        <v>39198755</v>
      </c>
      <c r="G2347">
        <v>-31840607</v>
      </c>
      <c r="H2347">
        <v>4067923</v>
      </c>
      <c r="P2347">
        <v>150</v>
      </c>
      <c r="Q2347" t="s">
        <v>5024</v>
      </c>
    </row>
    <row r="2348" spans="1:17" x14ac:dyDescent="0.3">
      <c r="A2348" t="s">
        <v>17</v>
      </c>
      <c r="B2348" t="str">
        <f>"600289"</f>
        <v>600289</v>
      </c>
      <c r="C2348" t="s">
        <v>5025</v>
      </c>
      <c r="D2348" t="s">
        <v>4393</v>
      </c>
      <c r="E2348">
        <v>-6957293</v>
      </c>
      <c r="F2348">
        <v>-154448844</v>
      </c>
      <c r="G2348">
        <v>-91796265</v>
      </c>
      <c r="H2348">
        <v>-81727714</v>
      </c>
      <c r="I2348">
        <v>-109534535</v>
      </c>
      <c r="J2348">
        <v>-152085696</v>
      </c>
      <c r="K2348">
        <v>-155878257</v>
      </c>
      <c r="L2348">
        <v>-61365258</v>
      </c>
      <c r="M2348">
        <v>-55458576</v>
      </c>
      <c r="N2348">
        <v>-131624577</v>
      </c>
      <c r="O2348">
        <v>-15322358</v>
      </c>
      <c r="P2348">
        <v>74</v>
      </c>
      <c r="Q2348" t="s">
        <v>5026</v>
      </c>
    </row>
    <row r="2349" spans="1:17" x14ac:dyDescent="0.3">
      <c r="A2349" t="s">
        <v>17</v>
      </c>
      <c r="B2349" t="str">
        <f>"600774"</f>
        <v>600774</v>
      </c>
      <c r="C2349" t="s">
        <v>5027</v>
      </c>
      <c r="D2349" t="s">
        <v>526</v>
      </c>
      <c r="E2349">
        <v>-7030251</v>
      </c>
      <c r="F2349">
        <v>37189789</v>
      </c>
      <c r="G2349">
        <v>-10809960</v>
      </c>
      <c r="H2349">
        <v>-9124743</v>
      </c>
      <c r="I2349">
        <v>12379988</v>
      </c>
      <c r="J2349">
        <v>5554104</v>
      </c>
      <c r="K2349">
        <v>10857098</v>
      </c>
      <c r="L2349">
        <v>-6335757</v>
      </c>
      <c r="M2349">
        <v>-510565</v>
      </c>
      <c r="N2349">
        <v>-1298040</v>
      </c>
      <c r="O2349">
        <v>1218226</v>
      </c>
      <c r="P2349">
        <v>84</v>
      </c>
      <c r="Q2349" t="s">
        <v>5028</v>
      </c>
    </row>
    <row r="2350" spans="1:17" x14ac:dyDescent="0.3">
      <c r="A2350" t="s">
        <v>33</v>
      </c>
      <c r="B2350" t="str">
        <f>"002729"</f>
        <v>002729</v>
      </c>
      <c r="C2350" t="s">
        <v>5029</v>
      </c>
      <c r="D2350" t="s">
        <v>499</v>
      </c>
      <c r="E2350">
        <v>-7076525</v>
      </c>
      <c r="F2350">
        <v>-2945119</v>
      </c>
      <c r="G2350">
        <v>14373482</v>
      </c>
      <c r="H2350">
        <v>12508691</v>
      </c>
      <c r="I2350">
        <v>-6283933</v>
      </c>
      <c r="J2350">
        <v>9298676</v>
      </c>
      <c r="K2350">
        <v>3781937</v>
      </c>
      <c r="L2350">
        <v>1698734</v>
      </c>
      <c r="M2350">
        <v>14283903</v>
      </c>
      <c r="P2350">
        <v>71</v>
      </c>
      <c r="Q2350" t="s">
        <v>5030</v>
      </c>
    </row>
    <row r="2351" spans="1:17" x14ac:dyDescent="0.3">
      <c r="A2351" t="s">
        <v>17</v>
      </c>
      <c r="B2351" t="str">
        <f>"600530"</f>
        <v>600530</v>
      </c>
      <c r="C2351" t="s">
        <v>5031</v>
      </c>
      <c r="D2351" t="s">
        <v>1772</v>
      </c>
      <c r="E2351">
        <v>-7096727</v>
      </c>
      <c r="F2351">
        <v>2698588</v>
      </c>
      <c r="G2351">
        <v>-9242134</v>
      </c>
      <c r="H2351">
        <v>-20650457</v>
      </c>
      <c r="I2351">
        <v>-8606886</v>
      </c>
      <c r="J2351">
        <v>-9086094</v>
      </c>
      <c r="K2351">
        <v>-29252743</v>
      </c>
      <c r="L2351">
        <v>-8920034</v>
      </c>
      <c r="M2351">
        <v>-80699208</v>
      </c>
      <c r="N2351">
        <v>-45617789</v>
      </c>
      <c r="O2351">
        <v>-16073291</v>
      </c>
      <c r="P2351">
        <v>86</v>
      </c>
      <c r="Q2351" t="s">
        <v>5032</v>
      </c>
    </row>
    <row r="2352" spans="1:17" x14ac:dyDescent="0.3">
      <c r="A2352" t="s">
        <v>17</v>
      </c>
      <c r="B2352" t="str">
        <f>"688550"</f>
        <v>688550</v>
      </c>
      <c r="C2352" t="s">
        <v>5033</v>
      </c>
      <c r="D2352" t="s">
        <v>1330</v>
      </c>
      <c r="E2352">
        <v>-7126239</v>
      </c>
      <c r="F2352">
        <v>56347359</v>
      </c>
      <c r="G2352">
        <v>29195094</v>
      </c>
      <c r="H2352">
        <v>21387700</v>
      </c>
      <c r="P2352">
        <v>54</v>
      </c>
      <c r="Q2352" t="s">
        <v>5034</v>
      </c>
    </row>
    <row r="2353" spans="1:17" x14ac:dyDescent="0.3">
      <c r="A2353" t="s">
        <v>33</v>
      </c>
      <c r="B2353" t="str">
        <f>"002820"</f>
        <v>002820</v>
      </c>
      <c r="C2353" t="s">
        <v>5035</v>
      </c>
      <c r="D2353" t="s">
        <v>1356</v>
      </c>
      <c r="E2353">
        <v>-7127554</v>
      </c>
      <c r="F2353">
        <v>29122316</v>
      </c>
      <c r="G2353">
        <v>20958453</v>
      </c>
      <c r="H2353">
        <v>33001876</v>
      </c>
      <c r="I2353">
        <v>27781722</v>
      </c>
      <c r="J2353">
        <v>40240796</v>
      </c>
      <c r="K2353">
        <v>39423425</v>
      </c>
      <c r="P2353">
        <v>146</v>
      </c>
      <c r="Q2353" t="s">
        <v>5036</v>
      </c>
    </row>
    <row r="2354" spans="1:17" x14ac:dyDescent="0.3">
      <c r="A2354" t="s">
        <v>33</v>
      </c>
      <c r="B2354" t="str">
        <f>"002922"</f>
        <v>002922</v>
      </c>
      <c r="C2354" t="s">
        <v>5037</v>
      </c>
      <c r="D2354" t="s">
        <v>499</v>
      </c>
      <c r="E2354">
        <v>-7138991</v>
      </c>
      <c r="F2354">
        <v>-57274563</v>
      </c>
      <c r="G2354">
        <v>-86412</v>
      </c>
      <c r="H2354">
        <v>-5740872</v>
      </c>
      <c r="I2354">
        <v>13579162</v>
      </c>
      <c r="J2354">
        <v>7050623</v>
      </c>
      <c r="P2354">
        <v>170</v>
      </c>
      <c r="Q2354" t="s">
        <v>5038</v>
      </c>
    </row>
    <row r="2355" spans="1:17" x14ac:dyDescent="0.3">
      <c r="A2355" t="s">
        <v>33</v>
      </c>
      <c r="B2355" t="str">
        <f>"300535"</f>
        <v>300535</v>
      </c>
      <c r="C2355" t="s">
        <v>5039</v>
      </c>
      <c r="D2355" t="s">
        <v>418</v>
      </c>
      <c r="E2355">
        <v>-7155321</v>
      </c>
      <c r="F2355">
        <v>-732468</v>
      </c>
      <c r="G2355">
        <v>6858684</v>
      </c>
      <c r="H2355">
        <v>15803782</v>
      </c>
      <c r="I2355">
        <v>10199306</v>
      </c>
      <c r="J2355">
        <v>319592</v>
      </c>
      <c r="K2355">
        <v>504414</v>
      </c>
      <c r="L2355">
        <v>3779631</v>
      </c>
      <c r="P2355">
        <v>73</v>
      </c>
      <c r="Q2355" t="s">
        <v>5040</v>
      </c>
    </row>
    <row r="2356" spans="1:17" x14ac:dyDescent="0.3">
      <c r="A2356" t="s">
        <v>33</v>
      </c>
      <c r="B2356" t="str">
        <f>"000546"</f>
        <v>000546</v>
      </c>
      <c r="C2356" t="s">
        <v>5041</v>
      </c>
      <c r="D2356" t="s">
        <v>260</v>
      </c>
      <c r="E2356">
        <v>-7230004</v>
      </c>
      <c r="F2356">
        <v>134145455</v>
      </c>
      <c r="G2356">
        <v>-27750666</v>
      </c>
      <c r="H2356">
        <v>192455274</v>
      </c>
      <c r="I2356">
        <v>-26959705</v>
      </c>
      <c r="J2356">
        <v>-84769045</v>
      </c>
      <c r="K2356">
        <v>-136724899</v>
      </c>
      <c r="L2356">
        <v>-5627910</v>
      </c>
      <c r="M2356">
        <v>10861295</v>
      </c>
      <c r="N2356">
        <v>-25667335</v>
      </c>
      <c r="O2356">
        <v>-7979136</v>
      </c>
      <c r="P2356">
        <v>181</v>
      </c>
      <c r="Q2356" t="s">
        <v>5042</v>
      </c>
    </row>
    <row r="2357" spans="1:17" x14ac:dyDescent="0.3">
      <c r="A2357" t="s">
        <v>33</v>
      </c>
      <c r="B2357" t="str">
        <f>"002315"</f>
        <v>002315</v>
      </c>
      <c r="C2357" t="s">
        <v>5043</v>
      </c>
      <c r="D2357" t="s">
        <v>2878</v>
      </c>
      <c r="E2357">
        <v>-7339213</v>
      </c>
      <c r="F2357">
        <v>-9272571</v>
      </c>
      <c r="G2357">
        <v>-20464994</v>
      </c>
      <c r="H2357">
        <v>-156524934</v>
      </c>
      <c r="I2357">
        <v>-109324483</v>
      </c>
      <c r="J2357">
        <v>-61718117</v>
      </c>
      <c r="K2357">
        <v>-35076319</v>
      </c>
      <c r="L2357">
        <v>-35583386</v>
      </c>
      <c r="M2357">
        <v>-28142192</v>
      </c>
      <c r="N2357">
        <v>-16820463</v>
      </c>
      <c r="O2357">
        <v>-8903914</v>
      </c>
      <c r="P2357">
        <v>221</v>
      </c>
      <c r="Q2357" t="s">
        <v>5044</v>
      </c>
    </row>
    <row r="2358" spans="1:17" x14ac:dyDescent="0.3">
      <c r="A2358" t="s">
        <v>33</v>
      </c>
      <c r="B2358" t="str">
        <f>"000518"</f>
        <v>000518</v>
      </c>
      <c r="C2358" t="s">
        <v>5045</v>
      </c>
      <c r="D2358" t="s">
        <v>756</v>
      </c>
      <c r="E2358">
        <v>-7374283</v>
      </c>
      <c r="F2358">
        <v>-16678791</v>
      </c>
      <c r="G2358">
        <v>34016509</v>
      </c>
      <c r="H2358">
        <v>-13726807</v>
      </c>
      <c r="I2358">
        <v>5674907</v>
      </c>
      <c r="J2358">
        <v>-27697209</v>
      </c>
      <c r="K2358">
        <v>45122041</v>
      </c>
      <c r="L2358">
        <v>740056</v>
      </c>
      <c r="M2358">
        <v>-591347</v>
      </c>
      <c r="N2358">
        <v>-7903351</v>
      </c>
      <c r="O2358">
        <v>-13784664</v>
      </c>
      <c r="P2358">
        <v>171</v>
      </c>
      <c r="Q2358" t="s">
        <v>5046</v>
      </c>
    </row>
    <row r="2359" spans="1:17" x14ac:dyDescent="0.3">
      <c r="A2359" t="s">
        <v>17</v>
      </c>
      <c r="B2359" t="str">
        <f>"600866"</f>
        <v>600866</v>
      </c>
      <c r="C2359" t="s">
        <v>5047</v>
      </c>
      <c r="D2359" t="s">
        <v>1028</v>
      </c>
      <c r="E2359">
        <v>-7392673</v>
      </c>
      <c r="F2359">
        <v>14120009</v>
      </c>
      <c r="G2359">
        <v>33680926</v>
      </c>
      <c r="H2359">
        <v>63886612</v>
      </c>
      <c r="I2359">
        <v>10963828</v>
      </c>
      <c r="J2359">
        <v>-11512201</v>
      </c>
      <c r="K2359">
        <v>1398303</v>
      </c>
      <c r="L2359">
        <v>14768877</v>
      </c>
      <c r="M2359">
        <v>-58779667</v>
      </c>
      <c r="N2359">
        <v>-5980255</v>
      </c>
      <c r="O2359">
        <v>-50956633</v>
      </c>
      <c r="P2359">
        <v>143</v>
      </c>
      <c r="Q2359" t="s">
        <v>5048</v>
      </c>
    </row>
    <row r="2360" spans="1:17" x14ac:dyDescent="0.3">
      <c r="A2360" t="s">
        <v>33</v>
      </c>
      <c r="B2360" t="str">
        <f>"300553"</f>
        <v>300553</v>
      </c>
      <c r="C2360" t="s">
        <v>5049</v>
      </c>
      <c r="D2360" t="s">
        <v>2417</v>
      </c>
      <c r="E2360">
        <v>-7397816</v>
      </c>
      <c r="F2360">
        <v>-12189346</v>
      </c>
      <c r="G2360">
        <v>-12542070</v>
      </c>
      <c r="H2360">
        <v>203303</v>
      </c>
      <c r="I2360">
        <v>-3740390</v>
      </c>
      <c r="J2360">
        <v>371123</v>
      </c>
      <c r="K2360">
        <v>1087194</v>
      </c>
      <c r="P2360">
        <v>72</v>
      </c>
      <c r="Q2360" t="s">
        <v>5050</v>
      </c>
    </row>
    <row r="2361" spans="1:17" x14ac:dyDescent="0.3">
      <c r="A2361" t="s">
        <v>33</v>
      </c>
      <c r="B2361" t="str">
        <f>"300441"</f>
        <v>300441</v>
      </c>
      <c r="C2361" t="s">
        <v>5051</v>
      </c>
      <c r="D2361" t="s">
        <v>1033</v>
      </c>
      <c r="E2361">
        <v>-7430937</v>
      </c>
      <c r="F2361">
        <v>103158619</v>
      </c>
      <c r="G2361">
        <v>38854611</v>
      </c>
      <c r="H2361">
        <v>21954958</v>
      </c>
      <c r="I2361">
        <v>18051933</v>
      </c>
      <c r="J2361">
        <v>17969734</v>
      </c>
      <c r="K2361">
        <v>12477876</v>
      </c>
      <c r="L2361">
        <v>-5209702</v>
      </c>
      <c r="M2361">
        <v>8438760</v>
      </c>
      <c r="P2361">
        <v>96</v>
      </c>
      <c r="Q2361" t="s">
        <v>5052</v>
      </c>
    </row>
    <row r="2362" spans="1:17" x14ac:dyDescent="0.3">
      <c r="A2362" t="s">
        <v>33</v>
      </c>
      <c r="B2362" t="str">
        <f>"002231"</f>
        <v>002231</v>
      </c>
      <c r="C2362" t="s">
        <v>5053</v>
      </c>
      <c r="D2362" t="s">
        <v>617</v>
      </c>
      <c r="E2362">
        <v>-7532413</v>
      </c>
      <c r="F2362">
        <v>43057909</v>
      </c>
      <c r="G2362">
        <v>-51245089</v>
      </c>
      <c r="H2362">
        <v>-73544255</v>
      </c>
      <c r="I2362">
        <v>21660326</v>
      </c>
      <c r="J2362">
        <v>-66251662</v>
      </c>
      <c r="K2362">
        <v>-65124551</v>
      </c>
      <c r="L2362">
        <v>778551</v>
      </c>
      <c r="M2362">
        <v>-45963455</v>
      </c>
      <c r="N2362">
        <v>-79873284</v>
      </c>
      <c r="O2362">
        <v>-50360923</v>
      </c>
      <c r="P2362">
        <v>155</v>
      </c>
      <c r="Q2362" t="s">
        <v>5054</v>
      </c>
    </row>
    <row r="2363" spans="1:17" x14ac:dyDescent="0.3">
      <c r="A2363" t="s">
        <v>17</v>
      </c>
      <c r="B2363" t="str">
        <f>"600421"</f>
        <v>600421</v>
      </c>
      <c r="C2363" t="s">
        <v>5055</v>
      </c>
      <c r="D2363" t="s">
        <v>164</v>
      </c>
      <c r="E2363">
        <v>-7539086</v>
      </c>
      <c r="F2363">
        <v>-9801928</v>
      </c>
      <c r="G2363">
        <v>-21474230</v>
      </c>
      <c r="H2363">
        <v>-3464497</v>
      </c>
      <c r="I2363">
        <v>-220998</v>
      </c>
      <c r="J2363">
        <v>1177087</v>
      </c>
      <c r="K2363">
        <v>-1290000</v>
      </c>
      <c r="L2363">
        <v>-8945052</v>
      </c>
      <c r="M2363">
        <v>4485925</v>
      </c>
      <c r="N2363">
        <v>-99041323</v>
      </c>
      <c r="O2363">
        <v>258997</v>
      </c>
      <c r="P2363">
        <v>44</v>
      </c>
      <c r="Q2363" t="s">
        <v>5056</v>
      </c>
    </row>
    <row r="2364" spans="1:17" x14ac:dyDescent="0.3">
      <c r="A2364" t="s">
        <v>17</v>
      </c>
      <c r="B2364" t="str">
        <f>"600936"</f>
        <v>600936</v>
      </c>
      <c r="C2364" t="s">
        <v>5057</v>
      </c>
      <c r="D2364" t="s">
        <v>1074</v>
      </c>
      <c r="E2364">
        <v>-7544460</v>
      </c>
      <c r="F2364">
        <v>-60659753</v>
      </c>
      <c r="G2364">
        <v>17934980</v>
      </c>
      <c r="H2364">
        <v>4631246</v>
      </c>
      <c r="I2364">
        <v>66786428</v>
      </c>
      <c r="J2364">
        <v>3182166</v>
      </c>
      <c r="K2364">
        <v>32092942</v>
      </c>
      <c r="L2364">
        <v>71054581</v>
      </c>
      <c r="P2364">
        <v>80</v>
      </c>
      <c r="Q2364" t="s">
        <v>5058</v>
      </c>
    </row>
    <row r="2365" spans="1:17" x14ac:dyDescent="0.3">
      <c r="A2365" t="s">
        <v>17</v>
      </c>
      <c r="B2365" t="str">
        <f>"688116"</f>
        <v>688116</v>
      </c>
      <c r="C2365" t="s">
        <v>5059</v>
      </c>
      <c r="D2365" t="s">
        <v>795</v>
      </c>
      <c r="E2365">
        <v>-7560233</v>
      </c>
      <c r="F2365">
        <v>19647350</v>
      </c>
      <c r="G2365">
        <v>8208987</v>
      </c>
      <c r="H2365">
        <v>49147324</v>
      </c>
      <c r="P2365">
        <v>197</v>
      </c>
      <c r="Q2365" t="s">
        <v>5060</v>
      </c>
    </row>
    <row r="2366" spans="1:17" x14ac:dyDescent="0.3">
      <c r="A2366" t="s">
        <v>33</v>
      </c>
      <c r="B2366" t="str">
        <f>"300878"</f>
        <v>300878</v>
      </c>
      <c r="C2366" t="s">
        <v>5061</v>
      </c>
      <c r="D2366" t="s">
        <v>533</v>
      </c>
      <c r="E2366">
        <v>-7753792</v>
      </c>
      <c r="F2366">
        <v>-45004163</v>
      </c>
      <c r="G2366">
        <v>-1481407</v>
      </c>
      <c r="P2366">
        <v>132</v>
      </c>
      <c r="Q2366" t="s">
        <v>5062</v>
      </c>
    </row>
    <row r="2367" spans="1:17" x14ac:dyDescent="0.3">
      <c r="A2367" t="s">
        <v>33</v>
      </c>
      <c r="B2367" t="str">
        <f>"002552"</f>
        <v>002552</v>
      </c>
      <c r="C2367" t="s">
        <v>5063</v>
      </c>
      <c r="D2367" t="s">
        <v>164</v>
      </c>
      <c r="E2367">
        <v>-7758825</v>
      </c>
      <c r="F2367">
        <v>27844792</v>
      </c>
      <c r="G2367">
        <v>-1842009</v>
      </c>
      <c r="H2367">
        <v>-10203466</v>
      </c>
      <c r="I2367">
        <v>-2964189</v>
      </c>
      <c r="J2367">
        <v>-2481785</v>
      </c>
      <c r="K2367">
        <v>28505482</v>
      </c>
      <c r="L2367">
        <v>12362126</v>
      </c>
      <c r="M2367">
        <v>-10353514</v>
      </c>
      <c r="N2367">
        <v>-1481372</v>
      </c>
      <c r="O2367">
        <v>6796192</v>
      </c>
      <c r="P2367">
        <v>83</v>
      </c>
      <c r="Q2367" t="s">
        <v>5064</v>
      </c>
    </row>
    <row r="2368" spans="1:17" x14ac:dyDescent="0.3">
      <c r="A2368" t="s">
        <v>33</v>
      </c>
      <c r="B2368" t="str">
        <f>"002900"</f>
        <v>002900</v>
      </c>
      <c r="C2368" t="s">
        <v>5065</v>
      </c>
      <c r="D2368" t="s">
        <v>590</v>
      </c>
      <c r="E2368">
        <v>-7765584</v>
      </c>
      <c r="F2368">
        <v>-53689536</v>
      </c>
      <c r="G2368">
        <v>-69947180</v>
      </c>
      <c r="H2368">
        <v>-14006863</v>
      </c>
      <c r="I2368">
        <v>70026727</v>
      </c>
      <c r="J2368">
        <v>-16246679</v>
      </c>
      <c r="P2368">
        <v>196</v>
      </c>
      <c r="Q2368" t="s">
        <v>5066</v>
      </c>
    </row>
    <row r="2369" spans="1:17" x14ac:dyDescent="0.3">
      <c r="A2369" t="s">
        <v>33</v>
      </c>
      <c r="B2369" t="str">
        <f>"000589"</f>
        <v>000589</v>
      </c>
      <c r="C2369" t="s">
        <v>5067</v>
      </c>
      <c r="D2369" t="s">
        <v>1618</v>
      </c>
      <c r="E2369">
        <v>-7781779</v>
      </c>
      <c r="F2369">
        <v>120483420</v>
      </c>
      <c r="G2369">
        <v>590948107</v>
      </c>
      <c r="H2369">
        <v>919579620</v>
      </c>
      <c r="I2369">
        <v>358871199</v>
      </c>
      <c r="J2369">
        <v>33758749</v>
      </c>
      <c r="K2369">
        <v>-181588347</v>
      </c>
      <c r="L2369">
        <v>227246303</v>
      </c>
      <c r="M2369">
        <v>113400026</v>
      </c>
      <c r="N2369">
        <v>163940709</v>
      </c>
      <c r="O2369">
        <v>157140782</v>
      </c>
      <c r="P2369">
        <v>208</v>
      </c>
      <c r="Q2369" t="s">
        <v>5068</v>
      </c>
    </row>
    <row r="2370" spans="1:17" x14ac:dyDescent="0.3">
      <c r="A2370" t="s">
        <v>33</v>
      </c>
      <c r="B2370" t="str">
        <f>"300162"</f>
        <v>300162</v>
      </c>
      <c r="C2370" t="s">
        <v>5069</v>
      </c>
      <c r="D2370" t="s">
        <v>1299</v>
      </c>
      <c r="E2370">
        <v>-7828708</v>
      </c>
      <c r="F2370">
        <v>-34711883</v>
      </c>
      <c r="G2370">
        <v>-107227817</v>
      </c>
      <c r="H2370">
        <v>-20780596</v>
      </c>
      <c r="I2370">
        <v>-32012833</v>
      </c>
      <c r="J2370">
        <v>-5648344</v>
      </c>
      <c r="K2370">
        <v>-4093108</v>
      </c>
      <c r="L2370">
        <v>-17581842</v>
      </c>
      <c r="M2370">
        <v>-9436475</v>
      </c>
      <c r="N2370">
        <v>-18838341</v>
      </c>
      <c r="O2370">
        <v>2055580</v>
      </c>
      <c r="P2370">
        <v>76</v>
      </c>
      <c r="Q2370" t="s">
        <v>5070</v>
      </c>
    </row>
    <row r="2371" spans="1:17" x14ac:dyDescent="0.3">
      <c r="A2371" t="s">
        <v>33</v>
      </c>
      <c r="B2371" t="str">
        <f>"300606"</f>
        <v>300606</v>
      </c>
      <c r="C2371" t="s">
        <v>5071</v>
      </c>
      <c r="D2371" t="s">
        <v>1219</v>
      </c>
      <c r="E2371">
        <v>-7876610</v>
      </c>
      <c r="F2371">
        <v>-11814220</v>
      </c>
      <c r="G2371">
        <v>61005402</v>
      </c>
      <c r="H2371">
        <v>1730632</v>
      </c>
      <c r="I2371">
        <v>-21598461</v>
      </c>
      <c r="J2371">
        <v>6124122</v>
      </c>
      <c r="K2371">
        <v>7924293</v>
      </c>
      <c r="P2371">
        <v>92</v>
      </c>
      <c r="Q2371" t="s">
        <v>5072</v>
      </c>
    </row>
    <row r="2372" spans="1:17" x14ac:dyDescent="0.3">
      <c r="A2372" t="s">
        <v>33</v>
      </c>
      <c r="B2372" t="str">
        <f>"002499"</f>
        <v>002499</v>
      </c>
      <c r="C2372" t="s">
        <v>5073</v>
      </c>
      <c r="D2372" t="s">
        <v>1007</v>
      </c>
      <c r="E2372">
        <v>-7976043</v>
      </c>
      <c r="F2372">
        <v>-80660</v>
      </c>
      <c r="G2372">
        <v>-4689536</v>
      </c>
      <c r="H2372">
        <v>-11376913</v>
      </c>
      <c r="I2372">
        <v>-87356545</v>
      </c>
      <c r="J2372">
        <v>-95014021</v>
      </c>
      <c r="K2372">
        <v>17142155</v>
      </c>
      <c r="L2372">
        <v>-18331757</v>
      </c>
      <c r="M2372">
        <v>803870</v>
      </c>
      <c r="N2372">
        <v>5035902</v>
      </c>
      <c r="O2372">
        <v>10451330</v>
      </c>
      <c r="P2372">
        <v>51</v>
      </c>
      <c r="Q2372" t="s">
        <v>5074</v>
      </c>
    </row>
    <row r="2373" spans="1:17" x14ac:dyDescent="0.3">
      <c r="A2373" t="s">
        <v>17</v>
      </c>
      <c r="B2373" t="str">
        <f>"600397"</f>
        <v>600397</v>
      </c>
      <c r="C2373" t="s">
        <v>5075</v>
      </c>
      <c r="D2373" t="s">
        <v>77</v>
      </c>
      <c r="E2373">
        <v>-8091687</v>
      </c>
      <c r="F2373">
        <v>26487080</v>
      </c>
      <c r="G2373">
        <v>-177338332</v>
      </c>
      <c r="H2373">
        <v>-54116636</v>
      </c>
      <c r="I2373">
        <v>-273041256</v>
      </c>
      <c r="J2373">
        <v>-105589747</v>
      </c>
      <c r="K2373">
        <v>-319777923</v>
      </c>
      <c r="L2373">
        <v>-142220622</v>
      </c>
      <c r="M2373">
        <v>-166843869</v>
      </c>
      <c r="N2373">
        <v>-96857195</v>
      </c>
      <c r="O2373">
        <v>206369356</v>
      </c>
      <c r="P2373">
        <v>91</v>
      </c>
      <c r="Q2373" t="s">
        <v>5076</v>
      </c>
    </row>
    <row r="2374" spans="1:17" x14ac:dyDescent="0.3">
      <c r="A2374" t="s">
        <v>33</v>
      </c>
      <c r="B2374" t="str">
        <f>"000611"</f>
        <v>000611</v>
      </c>
      <c r="C2374" t="s">
        <v>5077</v>
      </c>
      <c r="D2374" t="s">
        <v>77</v>
      </c>
      <c r="E2374">
        <v>-8110216</v>
      </c>
      <c r="F2374">
        <v>18846995</v>
      </c>
      <c r="G2374">
        <v>1292110</v>
      </c>
      <c r="H2374">
        <v>1159551</v>
      </c>
      <c r="I2374">
        <v>4698569</v>
      </c>
      <c r="J2374">
        <v>-45347945</v>
      </c>
      <c r="K2374">
        <v>1095555</v>
      </c>
      <c r="L2374">
        <v>-2630527</v>
      </c>
      <c r="M2374">
        <v>-14813712</v>
      </c>
      <c r="N2374">
        <v>56732210</v>
      </c>
      <c r="O2374">
        <v>11574096</v>
      </c>
      <c r="P2374">
        <v>68</v>
      </c>
      <c r="Q2374" t="s">
        <v>5078</v>
      </c>
    </row>
    <row r="2375" spans="1:17" x14ac:dyDescent="0.3">
      <c r="A2375" t="s">
        <v>17</v>
      </c>
      <c r="B2375" t="str">
        <f>"688163"</f>
        <v>688163</v>
      </c>
      <c r="C2375" t="s">
        <v>5079</v>
      </c>
      <c r="E2375">
        <v>-8212503</v>
      </c>
      <c r="P2375">
        <v>12</v>
      </c>
      <c r="Q2375" t="s">
        <v>5080</v>
      </c>
    </row>
    <row r="2376" spans="1:17" x14ac:dyDescent="0.3">
      <c r="A2376" t="s">
        <v>17</v>
      </c>
      <c r="B2376" t="str">
        <f>"603991"</f>
        <v>603991</v>
      </c>
      <c r="C2376" t="s">
        <v>5081</v>
      </c>
      <c r="D2376" t="s">
        <v>1483</v>
      </c>
      <c r="E2376">
        <v>-8321582</v>
      </c>
      <c r="F2376">
        <v>25222538</v>
      </c>
      <c r="G2376">
        <v>5370665</v>
      </c>
      <c r="H2376">
        <v>-14976153</v>
      </c>
      <c r="I2376">
        <v>-63704307</v>
      </c>
      <c r="J2376">
        <v>-38685390</v>
      </c>
      <c r="K2376">
        <v>-16461565</v>
      </c>
      <c r="P2376">
        <v>96</v>
      </c>
      <c r="Q2376" t="s">
        <v>5082</v>
      </c>
    </row>
    <row r="2377" spans="1:17" x14ac:dyDescent="0.3">
      <c r="A2377" t="s">
        <v>17</v>
      </c>
      <c r="B2377" t="str">
        <f>"688095"</f>
        <v>688095</v>
      </c>
      <c r="C2377" t="s">
        <v>5083</v>
      </c>
      <c r="D2377" t="s">
        <v>1713</v>
      </c>
      <c r="E2377">
        <v>-8394177</v>
      </c>
      <c r="F2377">
        <v>11143685</v>
      </c>
      <c r="G2377">
        <v>14909194</v>
      </c>
      <c r="P2377">
        <v>141</v>
      </c>
      <c r="Q2377" t="s">
        <v>5084</v>
      </c>
    </row>
    <row r="2378" spans="1:17" x14ac:dyDescent="0.3">
      <c r="A2378" t="s">
        <v>33</v>
      </c>
      <c r="B2378" t="str">
        <f>"000691"</f>
        <v>000691</v>
      </c>
      <c r="C2378" t="s">
        <v>5085</v>
      </c>
      <c r="D2378" t="s">
        <v>167</v>
      </c>
      <c r="E2378">
        <v>-8422576</v>
      </c>
      <c r="F2378">
        <v>3343997</v>
      </c>
      <c r="G2378">
        <v>-20732671</v>
      </c>
      <c r="H2378">
        <v>1979100</v>
      </c>
      <c r="I2378">
        <v>-1038793</v>
      </c>
      <c r="J2378">
        <v>10300712</v>
      </c>
      <c r="K2378">
        <v>-9731320</v>
      </c>
      <c r="L2378">
        <v>362239</v>
      </c>
      <c r="M2378">
        <v>4516695</v>
      </c>
      <c r="N2378">
        <v>4105084</v>
      </c>
      <c r="O2378">
        <v>-798904</v>
      </c>
      <c r="P2378">
        <v>91</v>
      </c>
      <c r="Q2378" t="s">
        <v>5086</v>
      </c>
    </row>
    <row r="2379" spans="1:17" x14ac:dyDescent="0.3">
      <c r="A2379" t="s">
        <v>33</v>
      </c>
      <c r="B2379" t="str">
        <f>"300890"</f>
        <v>300890</v>
      </c>
      <c r="C2379" t="s">
        <v>5087</v>
      </c>
      <c r="D2379" t="s">
        <v>795</v>
      </c>
      <c r="E2379">
        <v>-8435326</v>
      </c>
      <c r="F2379">
        <v>24820503</v>
      </c>
      <c r="G2379">
        <v>-47339324</v>
      </c>
      <c r="J2379">
        <v>-1217217</v>
      </c>
      <c r="P2379">
        <v>62</v>
      </c>
      <c r="Q2379" t="s">
        <v>5088</v>
      </c>
    </row>
    <row r="2380" spans="1:17" x14ac:dyDescent="0.3">
      <c r="A2380" t="s">
        <v>33</v>
      </c>
      <c r="B2380" t="str">
        <f>"300795"</f>
        <v>300795</v>
      </c>
      <c r="C2380" t="s">
        <v>5089</v>
      </c>
      <c r="D2380" t="s">
        <v>2458</v>
      </c>
      <c r="E2380">
        <v>-8452507</v>
      </c>
      <c r="F2380">
        <v>-16393782</v>
      </c>
      <c r="G2380">
        <v>-25748531</v>
      </c>
      <c r="H2380">
        <v>-25398275</v>
      </c>
      <c r="P2380">
        <v>109</v>
      </c>
      <c r="Q2380" t="s">
        <v>5090</v>
      </c>
    </row>
    <row r="2381" spans="1:17" x14ac:dyDescent="0.3">
      <c r="A2381" t="s">
        <v>17</v>
      </c>
      <c r="B2381" t="str">
        <f>"603566"</f>
        <v>603566</v>
      </c>
      <c r="C2381" t="s">
        <v>5091</v>
      </c>
      <c r="D2381" t="s">
        <v>2035</v>
      </c>
      <c r="E2381">
        <v>-8500574</v>
      </c>
      <c r="F2381">
        <v>-14564672</v>
      </c>
      <c r="G2381">
        <v>2695265</v>
      </c>
      <c r="H2381">
        <v>-48393711</v>
      </c>
      <c r="I2381">
        <v>-12636128</v>
      </c>
      <c r="J2381">
        <v>-6249219</v>
      </c>
      <c r="K2381">
        <v>22263548</v>
      </c>
      <c r="L2381">
        <v>22124362</v>
      </c>
      <c r="M2381">
        <v>-6006739</v>
      </c>
      <c r="P2381">
        <v>233</v>
      </c>
      <c r="Q2381" t="s">
        <v>5092</v>
      </c>
    </row>
    <row r="2382" spans="1:17" x14ac:dyDescent="0.3">
      <c r="A2382" t="s">
        <v>33</v>
      </c>
      <c r="B2382" t="str">
        <f>"300775"</f>
        <v>300775</v>
      </c>
      <c r="C2382" t="s">
        <v>5093</v>
      </c>
      <c r="D2382" t="s">
        <v>2262</v>
      </c>
      <c r="E2382">
        <v>-8515783</v>
      </c>
      <c r="F2382">
        <v>-19345594</v>
      </c>
      <c r="G2382">
        <v>-45785298</v>
      </c>
      <c r="H2382">
        <v>1906870</v>
      </c>
      <c r="I2382">
        <v>-18630232</v>
      </c>
      <c r="P2382">
        <v>186</v>
      </c>
      <c r="Q2382" t="s">
        <v>5094</v>
      </c>
    </row>
    <row r="2383" spans="1:17" x14ac:dyDescent="0.3">
      <c r="A2383" t="s">
        <v>17</v>
      </c>
      <c r="B2383" t="str">
        <f>"603617"</f>
        <v>603617</v>
      </c>
      <c r="C2383" t="s">
        <v>5095</v>
      </c>
      <c r="D2383" t="s">
        <v>1033</v>
      </c>
      <c r="E2383">
        <v>-8517820</v>
      </c>
      <c r="F2383">
        <v>-11954213</v>
      </c>
      <c r="G2383">
        <v>29185067</v>
      </c>
      <c r="H2383">
        <v>32092351</v>
      </c>
      <c r="I2383">
        <v>44850501</v>
      </c>
      <c r="J2383">
        <v>28657895</v>
      </c>
      <c r="K2383">
        <v>35163054</v>
      </c>
      <c r="P2383">
        <v>104</v>
      </c>
      <c r="Q2383" t="s">
        <v>5096</v>
      </c>
    </row>
    <row r="2384" spans="1:17" x14ac:dyDescent="0.3">
      <c r="A2384" t="s">
        <v>17</v>
      </c>
      <c r="B2384" t="str">
        <f>"688318"</f>
        <v>688318</v>
      </c>
      <c r="C2384" t="s">
        <v>5097</v>
      </c>
      <c r="D2384" t="s">
        <v>807</v>
      </c>
      <c r="E2384">
        <v>-8620342</v>
      </c>
      <c r="F2384">
        <v>7405350</v>
      </c>
      <c r="G2384">
        <v>-6379710</v>
      </c>
      <c r="H2384">
        <v>2231141</v>
      </c>
      <c r="P2384">
        <v>155</v>
      </c>
      <c r="Q2384" t="s">
        <v>5098</v>
      </c>
    </row>
    <row r="2385" spans="1:17" x14ac:dyDescent="0.3">
      <c r="A2385" t="s">
        <v>33</v>
      </c>
      <c r="B2385" t="str">
        <f>"002807"</f>
        <v>002807</v>
      </c>
      <c r="C2385" t="s">
        <v>5099</v>
      </c>
      <c r="D2385" t="s">
        <v>58</v>
      </c>
      <c r="E2385">
        <v>-8647000</v>
      </c>
      <c r="F2385">
        <v>3931914000</v>
      </c>
      <c r="G2385">
        <v>-880466000</v>
      </c>
      <c r="H2385">
        <v>357214000</v>
      </c>
      <c r="I2385">
        <v>248024000</v>
      </c>
      <c r="J2385">
        <v>302339000</v>
      </c>
      <c r="K2385">
        <v>3254194000</v>
      </c>
      <c r="L2385">
        <v>2270575000</v>
      </c>
      <c r="P2385">
        <v>571</v>
      </c>
      <c r="Q2385" t="s">
        <v>5100</v>
      </c>
    </row>
    <row r="2386" spans="1:17" x14ac:dyDescent="0.3">
      <c r="A2386" t="s">
        <v>33</v>
      </c>
      <c r="B2386" t="str">
        <f>"301077"</f>
        <v>301077</v>
      </c>
      <c r="C2386" t="s">
        <v>5101</v>
      </c>
      <c r="D2386" t="s">
        <v>418</v>
      </c>
      <c r="E2386">
        <v>-8730080</v>
      </c>
      <c r="P2386">
        <v>30</v>
      </c>
      <c r="Q2386" t="s">
        <v>5102</v>
      </c>
    </row>
    <row r="2387" spans="1:17" x14ac:dyDescent="0.3">
      <c r="A2387" t="s">
        <v>33</v>
      </c>
      <c r="B2387" t="str">
        <f>"300400"</f>
        <v>300400</v>
      </c>
      <c r="C2387" t="s">
        <v>5103</v>
      </c>
      <c r="D2387" t="s">
        <v>4171</v>
      </c>
      <c r="E2387">
        <v>-8755511</v>
      </c>
      <c r="F2387">
        <v>42003734</v>
      </c>
      <c r="G2387">
        <v>64778014</v>
      </c>
      <c r="H2387">
        <v>3575710</v>
      </c>
      <c r="I2387">
        <v>15688860</v>
      </c>
      <c r="J2387">
        <v>26986159</v>
      </c>
      <c r="K2387">
        <v>4229139</v>
      </c>
      <c r="L2387">
        <v>8689811</v>
      </c>
      <c r="M2387">
        <v>823725</v>
      </c>
      <c r="P2387">
        <v>273</v>
      </c>
      <c r="Q2387" t="s">
        <v>5104</v>
      </c>
    </row>
    <row r="2388" spans="1:17" x14ac:dyDescent="0.3">
      <c r="A2388" t="s">
        <v>33</v>
      </c>
      <c r="B2388" t="str">
        <f>"300084"</f>
        <v>300084</v>
      </c>
      <c r="C2388" t="s">
        <v>5105</v>
      </c>
      <c r="D2388" t="s">
        <v>1132</v>
      </c>
      <c r="E2388">
        <v>-8800874</v>
      </c>
      <c r="F2388">
        <v>50456200</v>
      </c>
      <c r="G2388">
        <v>-5696988</v>
      </c>
      <c r="H2388">
        <v>-17484738</v>
      </c>
      <c r="I2388">
        <v>-50115330</v>
      </c>
      <c r="J2388">
        <v>5530071</v>
      </c>
      <c r="K2388">
        <v>-9822813</v>
      </c>
      <c r="L2388">
        <v>22590279</v>
      </c>
      <c r="M2388">
        <v>29585941</v>
      </c>
      <c r="N2388">
        <v>13512630</v>
      </c>
      <c r="O2388">
        <v>-10198352</v>
      </c>
      <c r="P2388">
        <v>69</v>
      </c>
      <c r="Q2388" t="s">
        <v>5106</v>
      </c>
    </row>
    <row r="2389" spans="1:17" x14ac:dyDescent="0.3">
      <c r="A2389" t="s">
        <v>17</v>
      </c>
      <c r="B2389" t="str">
        <f>"600137"</f>
        <v>600137</v>
      </c>
      <c r="C2389" t="s">
        <v>5107</v>
      </c>
      <c r="D2389" t="s">
        <v>1680</v>
      </c>
      <c r="E2389">
        <v>-8844976</v>
      </c>
      <c r="F2389">
        <v>-15161954</v>
      </c>
      <c r="G2389">
        <v>-26816042</v>
      </c>
      <c r="H2389">
        <v>-7207762</v>
      </c>
      <c r="I2389">
        <v>-13124907</v>
      </c>
      <c r="J2389">
        <v>-18366401</v>
      </c>
      <c r="K2389">
        <v>-6739548</v>
      </c>
      <c r="L2389">
        <v>-7344629</v>
      </c>
      <c r="M2389">
        <v>-15293500</v>
      </c>
      <c r="N2389">
        <v>-11908480</v>
      </c>
      <c r="O2389">
        <v>-37184909</v>
      </c>
      <c r="P2389">
        <v>75</v>
      </c>
      <c r="Q2389" t="s">
        <v>5108</v>
      </c>
    </row>
    <row r="2390" spans="1:17" x14ac:dyDescent="0.3">
      <c r="A2390" t="s">
        <v>33</v>
      </c>
      <c r="B2390" t="str">
        <f>"002108"</f>
        <v>002108</v>
      </c>
      <c r="C2390" t="s">
        <v>5109</v>
      </c>
      <c r="D2390" t="s">
        <v>1483</v>
      </c>
      <c r="E2390">
        <v>-8887180</v>
      </c>
      <c r="F2390">
        <v>-22157530</v>
      </c>
      <c r="G2390">
        <v>34259163</v>
      </c>
      <c r="H2390">
        <v>9606608</v>
      </c>
      <c r="I2390">
        <v>-99508015</v>
      </c>
      <c r="J2390">
        <v>-49468636</v>
      </c>
      <c r="K2390">
        <v>4611722</v>
      </c>
      <c r="L2390">
        <v>-38517733</v>
      </c>
      <c r="M2390">
        <v>60304849</v>
      </c>
      <c r="N2390">
        <v>-50610873</v>
      </c>
      <c r="O2390">
        <v>-57726345</v>
      </c>
      <c r="P2390">
        <v>345</v>
      </c>
      <c r="Q2390" t="s">
        <v>5110</v>
      </c>
    </row>
    <row r="2391" spans="1:17" x14ac:dyDescent="0.3">
      <c r="A2391" t="s">
        <v>17</v>
      </c>
      <c r="B2391" t="str">
        <f>"600191"</f>
        <v>600191</v>
      </c>
      <c r="C2391" t="s">
        <v>5111</v>
      </c>
      <c r="D2391" t="s">
        <v>1820</v>
      </c>
      <c r="E2391">
        <v>-8888588</v>
      </c>
      <c r="F2391">
        <v>-6197865</v>
      </c>
      <c r="G2391">
        <v>-5078831</v>
      </c>
      <c r="H2391">
        <v>-9587912</v>
      </c>
      <c r="I2391">
        <v>-4468429</v>
      </c>
      <c r="J2391">
        <v>-11168640</v>
      </c>
      <c r="K2391">
        <v>-606714</v>
      </c>
      <c r="L2391">
        <v>-19987143</v>
      </c>
      <c r="M2391">
        <v>-12894821</v>
      </c>
      <c r="N2391">
        <v>-31774468</v>
      </c>
      <c r="O2391">
        <v>-30637227</v>
      </c>
      <c r="P2391">
        <v>121</v>
      </c>
      <c r="Q2391" t="s">
        <v>5112</v>
      </c>
    </row>
    <row r="2392" spans="1:17" x14ac:dyDescent="0.3">
      <c r="A2392" t="s">
        <v>33</v>
      </c>
      <c r="B2392" t="str">
        <f>"002883"</f>
        <v>002883</v>
      </c>
      <c r="C2392" t="s">
        <v>5113</v>
      </c>
      <c r="D2392" t="s">
        <v>4300</v>
      </c>
      <c r="E2392">
        <v>-8895988</v>
      </c>
      <c r="F2392">
        <v>-4127534</v>
      </c>
      <c r="G2392">
        <v>13366115</v>
      </c>
      <c r="H2392">
        <v>32873241</v>
      </c>
      <c r="I2392">
        <v>32030304</v>
      </c>
      <c r="J2392">
        <v>17336900</v>
      </c>
      <c r="K2392">
        <v>21477200</v>
      </c>
      <c r="P2392">
        <v>102</v>
      </c>
      <c r="Q2392" t="s">
        <v>5114</v>
      </c>
    </row>
    <row r="2393" spans="1:17" x14ac:dyDescent="0.3">
      <c r="A2393" t="s">
        <v>33</v>
      </c>
      <c r="B2393" t="str">
        <f>"000017"</f>
        <v>000017</v>
      </c>
      <c r="C2393" t="s">
        <v>5115</v>
      </c>
      <c r="D2393" t="s">
        <v>545</v>
      </c>
      <c r="E2393">
        <v>-8930327</v>
      </c>
      <c r="F2393">
        <v>1399163</v>
      </c>
      <c r="G2393">
        <v>459866</v>
      </c>
      <c r="H2393">
        <v>-6105394</v>
      </c>
      <c r="I2393">
        <v>832924</v>
      </c>
      <c r="J2393">
        <v>-1437760</v>
      </c>
      <c r="K2393">
        <v>-2231999</v>
      </c>
      <c r="L2393">
        <v>-2814083</v>
      </c>
      <c r="M2393">
        <v>2504356</v>
      </c>
      <c r="N2393">
        <v>-18019891</v>
      </c>
      <c r="O2393">
        <v>-1167451</v>
      </c>
      <c r="P2393">
        <v>64</v>
      </c>
      <c r="Q2393" t="s">
        <v>5116</v>
      </c>
    </row>
    <row r="2394" spans="1:17" x14ac:dyDescent="0.3">
      <c r="A2394" t="s">
        <v>17</v>
      </c>
      <c r="B2394" t="str">
        <f>"603078"</f>
        <v>603078</v>
      </c>
      <c r="C2394" t="s">
        <v>5117</v>
      </c>
      <c r="D2394" t="s">
        <v>1330</v>
      </c>
      <c r="E2394">
        <v>-9062800</v>
      </c>
      <c r="F2394">
        <v>-42616194</v>
      </c>
      <c r="G2394">
        <v>16620022</v>
      </c>
      <c r="H2394">
        <v>-6157398</v>
      </c>
      <c r="I2394">
        <v>16899096</v>
      </c>
      <c r="J2394">
        <v>4149019</v>
      </c>
      <c r="K2394">
        <v>17353697</v>
      </c>
      <c r="P2394">
        <v>226</v>
      </c>
      <c r="Q2394" t="s">
        <v>5118</v>
      </c>
    </row>
    <row r="2395" spans="1:17" x14ac:dyDescent="0.3">
      <c r="A2395" t="s">
        <v>17</v>
      </c>
      <c r="B2395" t="str">
        <f>"688267"</f>
        <v>688267</v>
      </c>
      <c r="C2395" t="s">
        <v>5119</v>
      </c>
      <c r="E2395">
        <v>-9069600</v>
      </c>
      <c r="P2395">
        <v>7</v>
      </c>
      <c r="Q2395" t="s">
        <v>5120</v>
      </c>
    </row>
    <row r="2396" spans="1:17" x14ac:dyDescent="0.3">
      <c r="A2396" t="s">
        <v>33</v>
      </c>
      <c r="B2396" t="str">
        <f>"000663"</f>
        <v>000663</v>
      </c>
      <c r="C2396" t="s">
        <v>5121</v>
      </c>
      <c r="D2396" t="s">
        <v>5122</v>
      </c>
      <c r="E2396">
        <v>-9071231</v>
      </c>
      <c r="F2396">
        <v>-22241156</v>
      </c>
      <c r="G2396">
        <v>4783805</v>
      </c>
      <c r="H2396">
        <v>-5993570</v>
      </c>
      <c r="I2396">
        <v>-140862798</v>
      </c>
      <c r="J2396">
        <v>-3634931</v>
      </c>
      <c r="K2396">
        <v>-46936324</v>
      </c>
      <c r="L2396">
        <v>-12101284</v>
      </c>
      <c r="M2396">
        <v>-32886368</v>
      </c>
      <c r="N2396">
        <v>-16468084</v>
      </c>
      <c r="O2396">
        <v>9916660</v>
      </c>
      <c r="P2396">
        <v>93</v>
      </c>
      <c r="Q2396" t="s">
        <v>5123</v>
      </c>
    </row>
    <row r="2397" spans="1:17" x14ac:dyDescent="0.3">
      <c r="A2397" t="s">
        <v>17</v>
      </c>
      <c r="B2397" t="str">
        <f>"603679"</f>
        <v>603679</v>
      </c>
      <c r="C2397" t="s">
        <v>5124</v>
      </c>
      <c r="D2397" t="s">
        <v>1299</v>
      </c>
      <c r="E2397">
        <v>-9081193</v>
      </c>
      <c r="F2397">
        <v>70280340</v>
      </c>
      <c r="G2397">
        <v>-57316492</v>
      </c>
      <c r="H2397">
        <v>-41767605</v>
      </c>
      <c r="I2397">
        <v>-30972614</v>
      </c>
      <c r="J2397">
        <v>-12100969</v>
      </c>
      <c r="P2397">
        <v>164</v>
      </c>
      <c r="Q2397" t="s">
        <v>5125</v>
      </c>
    </row>
    <row r="2398" spans="1:17" x14ac:dyDescent="0.3">
      <c r="A2398" t="s">
        <v>17</v>
      </c>
      <c r="B2398" t="str">
        <f>"688011"</f>
        <v>688011</v>
      </c>
      <c r="C2398" t="s">
        <v>5126</v>
      </c>
      <c r="D2398" t="s">
        <v>617</v>
      </c>
      <c r="E2398">
        <v>-9101468</v>
      </c>
      <c r="F2398">
        <v>-23637371</v>
      </c>
      <c r="G2398">
        <v>-27457015</v>
      </c>
      <c r="H2398">
        <v>2643829</v>
      </c>
      <c r="I2398">
        <v>23111397</v>
      </c>
      <c r="P2398">
        <v>88</v>
      </c>
      <c r="Q2398" t="s">
        <v>5127</v>
      </c>
    </row>
    <row r="2399" spans="1:17" x14ac:dyDescent="0.3">
      <c r="A2399" t="s">
        <v>17</v>
      </c>
      <c r="B2399" t="str">
        <f>"688508"</f>
        <v>688508</v>
      </c>
      <c r="C2399" t="s">
        <v>5128</v>
      </c>
      <c r="D2399" t="s">
        <v>1192</v>
      </c>
      <c r="E2399">
        <v>-9136634</v>
      </c>
      <c r="F2399">
        <v>5349541</v>
      </c>
      <c r="G2399">
        <v>-3273444</v>
      </c>
      <c r="H2399">
        <v>4923359</v>
      </c>
      <c r="P2399">
        <v>165</v>
      </c>
      <c r="Q2399" t="s">
        <v>5129</v>
      </c>
    </row>
    <row r="2400" spans="1:17" x14ac:dyDescent="0.3">
      <c r="A2400" t="s">
        <v>33</v>
      </c>
      <c r="B2400" t="str">
        <f>"003030"</f>
        <v>003030</v>
      </c>
      <c r="C2400" t="s">
        <v>5130</v>
      </c>
      <c r="D2400" t="s">
        <v>1820</v>
      </c>
      <c r="E2400">
        <v>-9138782</v>
      </c>
      <c r="F2400">
        <v>4610315</v>
      </c>
      <c r="G2400">
        <v>39997233</v>
      </c>
      <c r="P2400">
        <v>60</v>
      </c>
      <c r="Q2400" t="s">
        <v>5131</v>
      </c>
    </row>
    <row r="2401" spans="1:17" x14ac:dyDescent="0.3">
      <c r="A2401" t="s">
        <v>17</v>
      </c>
      <c r="B2401" t="str">
        <f>"600695"</f>
        <v>600695</v>
      </c>
      <c r="C2401" t="s">
        <v>5132</v>
      </c>
      <c r="D2401" t="s">
        <v>2604</v>
      </c>
      <c r="E2401">
        <v>-9163295</v>
      </c>
      <c r="F2401">
        <v>-7199717</v>
      </c>
      <c r="G2401">
        <v>-18454422</v>
      </c>
      <c r="H2401">
        <v>-4247182</v>
      </c>
      <c r="I2401">
        <v>-16965749</v>
      </c>
      <c r="J2401">
        <v>30844663</v>
      </c>
      <c r="K2401">
        <v>-72283447</v>
      </c>
      <c r="L2401">
        <v>28445409</v>
      </c>
      <c r="M2401">
        <v>-7932767</v>
      </c>
      <c r="N2401">
        <v>-23019306</v>
      </c>
      <c r="O2401">
        <v>-39479727</v>
      </c>
      <c r="P2401">
        <v>74</v>
      </c>
      <c r="Q2401" t="s">
        <v>5133</v>
      </c>
    </row>
    <row r="2402" spans="1:17" x14ac:dyDescent="0.3">
      <c r="A2402" t="s">
        <v>33</v>
      </c>
      <c r="B2402" t="str">
        <f>"300512"</f>
        <v>300512</v>
      </c>
      <c r="C2402" t="s">
        <v>5134</v>
      </c>
      <c r="D2402" t="s">
        <v>2269</v>
      </c>
      <c r="E2402">
        <v>-9178109</v>
      </c>
      <c r="F2402">
        <v>-55878375</v>
      </c>
      <c r="G2402">
        <v>-58269923</v>
      </c>
      <c r="H2402">
        <v>-54538479</v>
      </c>
      <c r="I2402">
        <v>-4920651</v>
      </c>
      <c r="J2402">
        <v>-3496722</v>
      </c>
      <c r="K2402">
        <v>-18230355</v>
      </c>
      <c r="L2402">
        <v>35701469</v>
      </c>
      <c r="P2402">
        <v>161</v>
      </c>
      <c r="Q2402" t="s">
        <v>5135</v>
      </c>
    </row>
    <row r="2403" spans="1:17" x14ac:dyDescent="0.3">
      <c r="A2403" t="s">
        <v>17</v>
      </c>
      <c r="B2403" t="str">
        <f>"688665"</f>
        <v>688665</v>
      </c>
      <c r="C2403" t="s">
        <v>5136</v>
      </c>
      <c r="D2403" t="s">
        <v>2417</v>
      </c>
      <c r="E2403">
        <v>-9183441</v>
      </c>
      <c r="F2403">
        <v>9269021</v>
      </c>
      <c r="G2403">
        <v>6245207</v>
      </c>
      <c r="H2403">
        <v>1870400</v>
      </c>
      <c r="P2403">
        <v>63</v>
      </c>
      <c r="Q2403" t="s">
        <v>5137</v>
      </c>
    </row>
    <row r="2404" spans="1:17" x14ac:dyDescent="0.3">
      <c r="A2404" t="s">
        <v>33</v>
      </c>
      <c r="B2404" t="str">
        <f>"002554"</f>
        <v>002554</v>
      </c>
      <c r="C2404" t="s">
        <v>5138</v>
      </c>
      <c r="D2404" t="s">
        <v>1311</v>
      </c>
      <c r="E2404">
        <v>-9250066</v>
      </c>
      <c r="F2404">
        <v>-125016564</v>
      </c>
      <c r="G2404">
        <v>-43914999</v>
      </c>
      <c r="H2404">
        <v>20913636</v>
      </c>
      <c r="I2404">
        <v>-80950231</v>
      </c>
      <c r="J2404">
        <v>147580170</v>
      </c>
      <c r="K2404">
        <v>-147763121</v>
      </c>
      <c r="L2404">
        <v>-24870436</v>
      </c>
      <c r="M2404">
        <v>-73130300</v>
      </c>
      <c r="N2404">
        <v>-101740290</v>
      </c>
      <c r="O2404">
        <v>-80835207</v>
      </c>
      <c r="P2404">
        <v>112</v>
      </c>
      <c r="Q2404" t="s">
        <v>5139</v>
      </c>
    </row>
    <row r="2405" spans="1:17" x14ac:dyDescent="0.3">
      <c r="A2405" t="s">
        <v>17</v>
      </c>
      <c r="B2405" t="str">
        <f>"600847"</f>
        <v>600847</v>
      </c>
      <c r="C2405" t="s">
        <v>5140</v>
      </c>
      <c r="D2405" t="s">
        <v>1536</v>
      </c>
      <c r="E2405">
        <v>-9303104</v>
      </c>
      <c r="F2405">
        <v>-48088009</v>
      </c>
      <c r="G2405">
        <v>-29705636</v>
      </c>
      <c r="H2405">
        <v>-17808682</v>
      </c>
      <c r="I2405">
        <v>8875953</v>
      </c>
      <c r="J2405">
        <v>-45744849</v>
      </c>
      <c r="K2405">
        <v>-13818330</v>
      </c>
      <c r="L2405">
        <v>-8226396</v>
      </c>
      <c r="M2405">
        <v>-37082134</v>
      </c>
      <c r="N2405">
        <v>4304391</v>
      </c>
      <c r="O2405">
        <v>8377189</v>
      </c>
      <c r="P2405">
        <v>54</v>
      </c>
      <c r="Q2405" t="s">
        <v>5141</v>
      </c>
    </row>
    <row r="2406" spans="1:17" x14ac:dyDescent="0.3">
      <c r="A2406" t="s">
        <v>17</v>
      </c>
      <c r="B2406" t="str">
        <f>"600766"</f>
        <v>600766</v>
      </c>
      <c r="C2406" t="s">
        <v>5142</v>
      </c>
      <c r="D2406" t="s">
        <v>777</v>
      </c>
      <c r="E2406">
        <v>-9322751</v>
      </c>
      <c r="F2406">
        <v>-1081631</v>
      </c>
      <c r="G2406">
        <v>63910</v>
      </c>
      <c r="H2406">
        <v>65859</v>
      </c>
      <c r="I2406">
        <v>1333620</v>
      </c>
      <c r="J2406">
        <v>-1019671</v>
      </c>
      <c r="K2406">
        <v>-1528943</v>
      </c>
      <c r="L2406">
        <v>994086</v>
      </c>
      <c r="M2406">
        <v>6234372</v>
      </c>
      <c r="N2406">
        <v>-1734847</v>
      </c>
      <c r="O2406">
        <v>21675893</v>
      </c>
      <c r="P2406">
        <v>79</v>
      </c>
      <c r="Q2406" t="s">
        <v>5143</v>
      </c>
    </row>
    <row r="2407" spans="1:17" x14ac:dyDescent="0.3">
      <c r="A2407" t="s">
        <v>17</v>
      </c>
      <c r="B2407" t="str">
        <f>"688181"</f>
        <v>688181</v>
      </c>
      <c r="C2407" t="s">
        <v>5144</v>
      </c>
      <c r="D2407" t="s">
        <v>102</v>
      </c>
      <c r="E2407">
        <v>-9385258</v>
      </c>
      <c r="F2407">
        <v>21962450</v>
      </c>
      <c r="G2407">
        <v>9309911</v>
      </c>
      <c r="H2407">
        <v>-621882</v>
      </c>
      <c r="P2407">
        <v>108</v>
      </c>
      <c r="Q2407" t="s">
        <v>5145</v>
      </c>
    </row>
    <row r="2408" spans="1:17" x14ac:dyDescent="0.3">
      <c r="A2408" t="s">
        <v>33</v>
      </c>
      <c r="B2408" t="str">
        <f>"300766"</f>
        <v>300766</v>
      </c>
      <c r="C2408" t="s">
        <v>5146</v>
      </c>
      <c r="D2408" t="s">
        <v>1713</v>
      </c>
      <c r="E2408">
        <v>-9408551</v>
      </c>
      <c r="F2408">
        <v>-42668108</v>
      </c>
      <c r="G2408">
        <v>-305674</v>
      </c>
      <c r="H2408">
        <v>15916709</v>
      </c>
      <c r="I2408">
        <v>58322554</v>
      </c>
      <c r="P2408">
        <v>140</v>
      </c>
      <c r="Q2408" t="s">
        <v>5147</v>
      </c>
    </row>
    <row r="2409" spans="1:17" x14ac:dyDescent="0.3">
      <c r="A2409" t="s">
        <v>33</v>
      </c>
      <c r="B2409" t="str">
        <f>"002370"</f>
        <v>002370</v>
      </c>
      <c r="C2409" t="s">
        <v>5148</v>
      </c>
      <c r="D2409" t="s">
        <v>590</v>
      </c>
      <c r="E2409">
        <v>-9488899</v>
      </c>
      <c r="F2409">
        <v>-624068</v>
      </c>
      <c r="G2409">
        <v>4806048</v>
      </c>
      <c r="H2409">
        <v>3789444</v>
      </c>
      <c r="I2409">
        <v>-43517272</v>
      </c>
      <c r="J2409">
        <v>61564590</v>
      </c>
      <c r="K2409">
        <v>-120209564</v>
      </c>
      <c r="L2409">
        <v>121696</v>
      </c>
      <c r="M2409">
        <v>7302371</v>
      </c>
      <c r="N2409">
        <v>-27697103</v>
      </c>
      <c r="O2409">
        <v>8746013</v>
      </c>
      <c r="P2409">
        <v>201</v>
      </c>
      <c r="Q2409" t="s">
        <v>5149</v>
      </c>
    </row>
    <row r="2410" spans="1:17" x14ac:dyDescent="0.3">
      <c r="A2410" t="s">
        <v>33</v>
      </c>
      <c r="B2410" t="str">
        <f>"301092"</f>
        <v>301092</v>
      </c>
      <c r="C2410" t="s">
        <v>5150</v>
      </c>
      <c r="D2410" t="s">
        <v>1817</v>
      </c>
      <c r="E2410">
        <v>-9648046</v>
      </c>
      <c r="G2410">
        <v>9781975</v>
      </c>
      <c r="P2410">
        <v>22</v>
      </c>
      <c r="Q2410" t="s">
        <v>5151</v>
      </c>
    </row>
    <row r="2411" spans="1:17" x14ac:dyDescent="0.3">
      <c r="A2411" t="s">
        <v>17</v>
      </c>
      <c r="B2411" t="str">
        <f>"688028"</f>
        <v>688028</v>
      </c>
      <c r="C2411" t="s">
        <v>5152</v>
      </c>
      <c r="D2411" t="s">
        <v>1219</v>
      </c>
      <c r="E2411">
        <v>-9749056</v>
      </c>
      <c r="F2411">
        <v>13205694</v>
      </c>
      <c r="G2411">
        <v>10545723</v>
      </c>
      <c r="H2411">
        <v>10276418</v>
      </c>
      <c r="I2411">
        <v>15987200</v>
      </c>
      <c r="P2411">
        <v>76</v>
      </c>
      <c r="Q2411" t="s">
        <v>5153</v>
      </c>
    </row>
    <row r="2412" spans="1:17" x14ac:dyDescent="0.3">
      <c r="A2412" t="s">
        <v>33</v>
      </c>
      <c r="B2412" t="str">
        <f>"300234"</f>
        <v>300234</v>
      </c>
      <c r="C2412" t="s">
        <v>5154</v>
      </c>
      <c r="D2412" t="s">
        <v>2632</v>
      </c>
      <c r="E2412">
        <v>-9750770</v>
      </c>
      <c r="F2412">
        <v>16640576</v>
      </c>
      <c r="G2412">
        <v>11938354</v>
      </c>
      <c r="H2412">
        <v>5766308</v>
      </c>
      <c r="I2412">
        <v>-9010467</v>
      </c>
      <c r="J2412">
        <v>-12310443</v>
      </c>
      <c r="K2412">
        <v>11038445</v>
      </c>
      <c r="L2412">
        <v>-17845513</v>
      </c>
      <c r="M2412">
        <v>-1373235</v>
      </c>
      <c r="N2412">
        <v>13014523</v>
      </c>
      <c r="O2412">
        <v>10705375</v>
      </c>
      <c r="P2412">
        <v>111</v>
      </c>
      <c r="Q2412" t="s">
        <v>5155</v>
      </c>
    </row>
    <row r="2413" spans="1:17" x14ac:dyDescent="0.3">
      <c r="A2413" t="s">
        <v>17</v>
      </c>
      <c r="B2413" t="str">
        <f>"688358"</f>
        <v>688358</v>
      </c>
      <c r="C2413" t="s">
        <v>5156</v>
      </c>
      <c r="D2413" t="s">
        <v>111</v>
      </c>
      <c r="E2413">
        <v>-9842847</v>
      </c>
      <c r="F2413">
        <v>-2045410</v>
      </c>
      <c r="G2413">
        <v>-2484571</v>
      </c>
      <c r="H2413">
        <v>10655446</v>
      </c>
      <c r="P2413">
        <v>122</v>
      </c>
      <c r="Q2413" t="s">
        <v>5157</v>
      </c>
    </row>
    <row r="2414" spans="1:17" x14ac:dyDescent="0.3">
      <c r="A2414" t="s">
        <v>33</v>
      </c>
      <c r="B2414" t="str">
        <f>"002846"</f>
        <v>002846</v>
      </c>
      <c r="C2414" t="s">
        <v>5158</v>
      </c>
      <c r="D2414" t="s">
        <v>2115</v>
      </c>
      <c r="E2414">
        <v>-9854085</v>
      </c>
      <c r="F2414">
        <v>34382823</v>
      </c>
      <c r="G2414">
        <v>-10777462</v>
      </c>
      <c r="H2414">
        <v>34553614</v>
      </c>
      <c r="I2414">
        <v>20277458</v>
      </c>
      <c r="J2414">
        <v>-7726829</v>
      </c>
      <c r="K2414">
        <v>4792633</v>
      </c>
      <c r="P2414">
        <v>109</v>
      </c>
      <c r="Q2414" t="s">
        <v>5159</v>
      </c>
    </row>
    <row r="2415" spans="1:17" x14ac:dyDescent="0.3">
      <c r="A2415" t="s">
        <v>33</v>
      </c>
      <c r="B2415" t="str">
        <f>"300023"</f>
        <v>300023</v>
      </c>
      <c r="C2415" t="s">
        <v>5160</v>
      </c>
      <c r="D2415" t="s">
        <v>114</v>
      </c>
      <c r="E2415">
        <v>-9878815</v>
      </c>
      <c r="F2415">
        <v>958900</v>
      </c>
      <c r="G2415">
        <v>-3638385</v>
      </c>
      <c r="H2415">
        <v>-75547547</v>
      </c>
      <c r="I2415">
        <v>279287767</v>
      </c>
      <c r="J2415">
        <v>653474962</v>
      </c>
      <c r="K2415">
        <v>178278855</v>
      </c>
      <c r="L2415">
        <v>-18985650</v>
      </c>
      <c r="M2415">
        <v>-2118203</v>
      </c>
      <c r="N2415">
        <v>-928713</v>
      </c>
      <c r="O2415">
        <v>-13972261</v>
      </c>
      <c r="P2415">
        <v>61</v>
      </c>
      <c r="Q2415" t="s">
        <v>5161</v>
      </c>
    </row>
    <row r="2416" spans="1:17" x14ac:dyDescent="0.3">
      <c r="A2416" t="s">
        <v>17</v>
      </c>
      <c r="B2416" t="str">
        <f>"688728"</f>
        <v>688728</v>
      </c>
      <c r="C2416" t="s">
        <v>5162</v>
      </c>
      <c r="D2416" t="s">
        <v>1277</v>
      </c>
      <c r="E2416">
        <v>-9888766</v>
      </c>
      <c r="F2416">
        <v>373916672</v>
      </c>
      <c r="G2416">
        <v>-332562216</v>
      </c>
      <c r="P2416">
        <v>58</v>
      </c>
      <c r="Q2416" t="s">
        <v>5163</v>
      </c>
    </row>
    <row r="2417" spans="1:17" x14ac:dyDescent="0.3">
      <c r="A2417" t="s">
        <v>33</v>
      </c>
      <c r="B2417" t="str">
        <f>"000802"</f>
        <v>000802</v>
      </c>
      <c r="C2417" t="s">
        <v>5164</v>
      </c>
      <c r="D2417" t="s">
        <v>314</v>
      </c>
      <c r="E2417">
        <v>-9914172</v>
      </c>
      <c r="F2417">
        <v>707935778</v>
      </c>
      <c r="G2417">
        <v>-130970218</v>
      </c>
      <c r="H2417">
        <v>-626973189</v>
      </c>
      <c r="I2417">
        <v>-158433029</v>
      </c>
      <c r="J2417">
        <v>-371419995</v>
      </c>
      <c r="K2417">
        <v>-69592602</v>
      </c>
      <c r="L2417">
        <v>45207006</v>
      </c>
      <c r="M2417">
        <v>-30408468</v>
      </c>
      <c r="N2417">
        <v>-4871039</v>
      </c>
      <c r="O2417">
        <v>5521439</v>
      </c>
      <c r="P2417">
        <v>205</v>
      </c>
      <c r="Q2417" t="s">
        <v>5165</v>
      </c>
    </row>
    <row r="2418" spans="1:17" x14ac:dyDescent="0.3">
      <c r="A2418" t="s">
        <v>17</v>
      </c>
      <c r="B2418" t="str">
        <f>"600958"</f>
        <v>600958</v>
      </c>
      <c r="C2418" t="s">
        <v>5166</v>
      </c>
      <c r="D2418" t="s">
        <v>52</v>
      </c>
      <c r="E2418">
        <v>-10009312</v>
      </c>
      <c r="F2418">
        <v>17887738137</v>
      </c>
      <c r="G2418">
        <v>3437569647</v>
      </c>
      <c r="H2418">
        <v>6520526052</v>
      </c>
      <c r="I2418">
        <v>-7828937251</v>
      </c>
      <c r="J2418">
        <v>-9744040028</v>
      </c>
      <c r="K2418">
        <v>-4509016859</v>
      </c>
      <c r="L2418">
        <v>-3222739011</v>
      </c>
      <c r="M2418">
        <v>-1065477692.64</v>
      </c>
      <c r="P2418">
        <v>1248</v>
      </c>
      <c r="Q2418" t="s">
        <v>5167</v>
      </c>
    </row>
    <row r="2419" spans="1:17" x14ac:dyDescent="0.3">
      <c r="A2419" t="s">
        <v>33</v>
      </c>
      <c r="B2419" t="str">
        <f>"003025"</f>
        <v>003025</v>
      </c>
      <c r="C2419" t="s">
        <v>5168</v>
      </c>
      <c r="D2419" t="s">
        <v>1910</v>
      </c>
      <c r="E2419">
        <v>-10049542</v>
      </c>
      <c r="F2419">
        <v>16330598</v>
      </c>
      <c r="G2419">
        <v>3655290</v>
      </c>
      <c r="P2419">
        <v>118</v>
      </c>
      <c r="Q2419" t="s">
        <v>5169</v>
      </c>
    </row>
    <row r="2420" spans="1:17" x14ac:dyDescent="0.3">
      <c r="A2420" t="s">
        <v>33</v>
      </c>
      <c r="B2420" t="str">
        <f>"002760"</f>
        <v>002760</v>
      </c>
      <c r="C2420" t="s">
        <v>5170</v>
      </c>
      <c r="D2420" t="s">
        <v>1219</v>
      </c>
      <c r="E2420">
        <v>-10070450</v>
      </c>
      <c r="F2420">
        <v>14406000</v>
      </c>
      <c r="G2420">
        <v>24835683</v>
      </c>
      <c r="H2420">
        <v>-25775998</v>
      </c>
      <c r="I2420">
        <v>26219850</v>
      </c>
      <c r="J2420">
        <v>-20757918</v>
      </c>
      <c r="K2420">
        <v>-8480899</v>
      </c>
      <c r="L2420">
        <v>1402900</v>
      </c>
      <c r="M2420">
        <v>-28217900</v>
      </c>
      <c r="P2420">
        <v>72</v>
      </c>
      <c r="Q2420" t="s">
        <v>5171</v>
      </c>
    </row>
    <row r="2421" spans="1:17" x14ac:dyDescent="0.3">
      <c r="A2421" t="s">
        <v>33</v>
      </c>
      <c r="B2421" t="str">
        <f>"002503"</f>
        <v>002503</v>
      </c>
      <c r="C2421" t="s">
        <v>5172</v>
      </c>
      <c r="D2421" t="s">
        <v>581</v>
      </c>
      <c r="E2421">
        <v>-10119256</v>
      </c>
      <c r="F2421">
        <v>-280276659</v>
      </c>
      <c r="G2421">
        <v>-311236685</v>
      </c>
      <c r="H2421">
        <v>10435335</v>
      </c>
      <c r="I2421">
        <v>-334969183</v>
      </c>
      <c r="J2421">
        <v>-142878466</v>
      </c>
      <c r="K2421">
        <v>-70541751</v>
      </c>
      <c r="L2421">
        <v>57948213</v>
      </c>
      <c r="M2421">
        <v>-97376555</v>
      </c>
      <c r="N2421">
        <v>-167741142</v>
      </c>
      <c r="O2421">
        <v>-175725812</v>
      </c>
      <c r="P2421">
        <v>244</v>
      </c>
      <c r="Q2421" t="s">
        <v>5173</v>
      </c>
    </row>
    <row r="2422" spans="1:17" x14ac:dyDescent="0.3">
      <c r="A2422" t="s">
        <v>33</v>
      </c>
      <c r="B2422" t="str">
        <f>"002486"</f>
        <v>002486</v>
      </c>
      <c r="C2422" t="s">
        <v>5174</v>
      </c>
      <c r="D2422" t="s">
        <v>1292</v>
      </c>
      <c r="E2422">
        <v>-10129909</v>
      </c>
      <c r="F2422">
        <v>-58304107</v>
      </c>
      <c r="G2422">
        <v>33228366</v>
      </c>
      <c r="H2422">
        <v>-20337231</v>
      </c>
      <c r="I2422">
        <v>-31801730</v>
      </c>
      <c r="J2422">
        <v>35980682</v>
      </c>
      <c r="K2422">
        <v>9639168</v>
      </c>
      <c r="L2422">
        <v>-3447683</v>
      </c>
      <c r="M2422">
        <v>27655818</v>
      </c>
      <c r="N2422">
        <v>-21632956</v>
      </c>
      <c r="O2422">
        <v>27959584</v>
      </c>
      <c r="P2422">
        <v>88</v>
      </c>
      <c r="Q2422" t="s">
        <v>5175</v>
      </c>
    </row>
    <row r="2423" spans="1:17" x14ac:dyDescent="0.3">
      <c r="A2423" t="s">
        <v>17</v>
      </c>
      <c r="B2423" t="str">
        <f>"600243"</f>
        <v>600243</v>
      </c>
      <c r="C2423" t="s">
        <v>5176</v>
      </c>
      <c r="D2423" t="s">
        <v>1033</v>
      </c>
      <c r="E2423">
        <v>-10157667</v>
      </c>
      <c r="F2423">
        <v>-71372408</v>
      </c>
      <c r="G2423">
        <v>-23984961</v>
      </c>
      <c r="H2423">
        <v>-40623931</v>
      </c>
      <c r="I2423">
        <v>13157789</v>
      </c>
      <c r="J2423">
        <v>-50969500</v>
      </c>
      <c r="K2423">
        <v>-176483610</v>
      </c>
      <c r="L2423">
        <v>-89541420</v>
      </c>
      <c r="M2423">
        <v>-46851832</v>
      </c>
      <c r="N2423">
        <v>-22470404</v>
      </c>
      <c r="O2423">
        <v>-49965850</v>
      </c>
      <c r="P2423">
        <v>72</v>
      </c>
      <c r="Q2423" t="s">
        <v>5177</v>
      </c>
    </row>
    <row r="2424" spans="1:17" x14ac:dyDescent="0.3">
      <c r="A2424" t="s">
        <v>33</v>
      </c>
      <c r="B2424" t="str">
        <f>"301279"</f>
        <v>301279</v>
      </c>
      <c r="C2424" t="s">
        <v>5178</v>
      </c>
      <c r="E2424">
        <v>-10186559</v>
      </c>
      <c r="F2424">
        <v>12660944</v>
      </c>
      <c r="P2424">
        <v>5</v>
      </c>
      <c r="Q2424" t="s">
        <v>5179</v>
      </c>
    </row>
    <row r="2425" spans="1:17" x14ac:dyDescent="0.3">
      <c r="A2425" t="s">
        <v>33</v>
      </c>
      <c r="B2425" t="str">
        <f>"002750"</f>
        <v>002750</v>
      </c>
      <c r="C2425" t="s">
        <v>5180</v>
      </c>
      <c r="D2425" t="s">
        <v>533</v>
      </c>
      <c r="E2425">
        <v>-10187664</v>
      </c>
      <c r="F2425">
        <v>-31810151</v>
      </c>
      <c r="G2425">
        <v>-10274153</v>
      </c>
      <c r="H2425">
        <v>-6357139</v>
      </c>
      <c r="I2425">
        <v>11343298</v>
      </c>
      <c r="J2425">
        <v>-49941</v>
      </c>
      <c r="K2425">
        <v>35158433</v>
      </c>
      <c r="L2425">
        <v>13256080</v>
      </c>
      <c r="M2425">
        <v>19529838</v>
      </c>
      <c r="P2425">
        <v>142</v>
      </c>
      <c r="Q2425" t="s">
        <v>5181</v>
      </c>
    </row>
    <row r="2426" spans="1:17" x14ac:dyDescent="0.3">
      <c r="A2426" t="s">
        <v>33</v>
      </c>
      <c r="B2426" t="str">
        <f>"002982"</f>
        <v>002982</v>
      </c>
      <c r="C2426" t="s">
        <v>5182</v>
      </c>
      <c r="D2426" t="s">
        <v>1285</v>
      </c>
      <c r="E2426">
        <v>-10252763</v>
      </c>
      <c r="F2426">
        <v>6201462</v>
      </c>
      <c r="G2426">
        <v>12685472</v>
      </c>
      <c r="H2426">
        <v>26458604</v>
      </c>
      <c r="P2426">
        <v>131</v>
      </c>
      <c r="Q2426" t="s">
        <v>5183</v>
      </c>
    </row>
    <row r="2427" spans="1:17" x14ac:dyDescent="0.3">
      <c r="A2427" t="s">
        <v>33</v>
      </c>
      <c r="B2427" t="str">
        <f>"002077"</f>
        <v>002077</v>
      </c>
      <c r="C2427" t="s">
        <v>5184</v>
      </c>
      <c r="D2427" t="s">
        <v>370</v>
      </c>
      <c r="E2427">
        <v>-10291502</v>
      </c>
      <c r="F2427">
        <v>50251444</v>
      </c>
      <c r="G2427">
        <v>-2384972</v>
      </c>
      <c r="H2427">
        <v>3362321</v>
      </c>
      <c r="I2427">
        <v>-115273812</v>
      </c>
      <c r="J2427">
        <v>-1365245</v>
      </c>
      <c r="K2427">
        <v>-174200565</v>
      </c>
      <c r="L2427">
        <v>25490916</v>
      </c>
      <c r="M2427">
        <v>-255530557</v>
      </c>
      <c r="N2427">
        <v>-466204254</v>
      </c>
      <c r="O2427">
        <v>-228407968</v>
      </c>
      <c r="P2427">
        <v>125</v>
      </c>
      <c r="Q2427" t="s">
        <v>5185</v>
      </c>
    </row>
    <row r="2428" spans="1:17" x14ac:dyDescent="0.3">
      <c r="A2428" t="s">
        <v>33</v>
      </c>
      <c r="B2428" t="str">
        <f>"300387"</f>
        <v>300387</v>
      </c>
      <c r="C2428" t="s">
        <v>5186</v>
      </c>
      <c r="D2428" t="s">
        <v>610</v>
      </c>
      <c r="E2428">
        <v>-10328119</v>
      </c>
      <c r="F2428">
        <v>-5948711</v>
      </c>
      <c r="G2428">
        <v>-16608054</v>
      </c>
      <c r="H2428">
        <v>-22481624</v>
      </c>
      <c r="I2428">
        <v>38344812</v>
      </c>
      <c r="J2428">
        <v>25345306</v>
      </c>
      <c r="K2428">
        <v>38856798</v>
      </c>
      <c r="L2428">
        <v>-14690356</v>
      </c>
      <c r="M2428">
        <v>-3903075</v>
      </c>
      <c r="P2428">
        <v>89</v>
      </c>
      <c r="Q2428" t="s">
        <v>5187</v>
      </c>
    </row>
    <row r="2429" spans="1:17" x14ac:dyDescent="0.3">
      <c r="A2429" t="s">
        <v>17</v>
      </c>
      <c r="B2429" t="str">
        <f>"688136"</f>
        <v>688136</v>
      </c>
      <c r="C2429" t="s">
        <v>5188</v>
      </c>
      <c r="D2429" t="s">
        <v>756</v>
      </c>
      <c r="E2429">
        <v>-10515309</v>
      </c>
      <c r="F2429">
        <v>35705924</v>
      </c>
      <c r="G2429">
        <v>15417348</v>
      </c>
      <c r="P2429">
        <v>66</v>
      </c>
      <c r="Q2429" t="s">
        <v>5189</v>
      </c>
    </row>
    <row r="2430" spans="1:17" x14ac:dyDescent="0.3">
      <c r="A2430" t="s">
        <v>33</v>
      </c>
      <c r="B2430" t="str">
        <f>"300443"</f>
        <v>300443</v>
      </c>
      <c r="C2430" t="s">
        <v>5190</v>
      </c>
      <c r="D2430" t="s">
        <v>1437</v>
      </c>
      <c r="E2430">
        <v>-10550102</v>
      </c>
      <c r="F2430">
        <v>94957327</v>
      </c>
      <c r="G2430">
        <v>-20665272</v>
      </c>
      <c r="H2430">
        <v>113768544</v>
      </c>
      <c r="I2430">
        <v>-29601026</v>
      </c>
      <c r="J2430">
        <v>100492823</v>
      </c>
      <c r="K2430">
        <v>69877401</v>
      </c>
      <c r="L2430">
        <v>14610305</v>
      </c>
      <c r="P2430">
        <v>357</v>
      </c>
      <c r="Q2430" t="s">
        <v>5191</v>
      </c>
    </row>
    <row r="2431" spans="1:17" x14ac:dyDescent="0.3">
      <c r="A2431" t="s">
        <v>33</v>
      </c>
      <c r="B2431" t="str">
        <f>"301072"</f>
        <v>301072</v>
      </c>
      <c r="C2431" t="s">
        <v>5192</v>
      </c>
      <c r="D2431" t="s">
        <v>858</v>
      </c>
      <c r="E2431">
        <v>-10600783</v>
      </c>
      <c r="P2431">
        <v>17</v>
      </c>
      <c r="Q2431" t="s">
        <v>5193</v>
      </c>
    </row>
    <row r="2432" spans="1:17" x14ac:dyDescent="0.3">
      <c r="A2432" t="s">
        <v>17</v>
      </c>
      <c r="B2432" t="str">
        <f>"603286"</f>
        <v>603286</v>
      </c>
      <c r="C2432" t="s">
        <v>5194</v>
      </c>
      <c r="D2432" t="s">
        <v>858</v>
      </c>
      <c r="E2432">
        <v>-10631788</v>
      </c>
      <c r="F2432">
        <v>9390851</v>
      </c>
      <c r="G2432">
        <v>8983920</v>
      </c>
      <c r="H2432">
        <v>1604120</v>
      </c>
      <c r="I2432">
        <v>10971393</v>
      </c>
      <c r="J2432">
        <v>12227489</v>
      </c>
      <c r="K2432">
        <v>6578601</v>
      </c>
      <c r="P2432">
        <v>66</v>
      </c>
      <c r="Q2432" t="s">
        <v>5195</v>
      </c>
    </row>
    <row r="2433" spans="1:17" x14ac:dyDescent="0.3">
      <c r="A2433" t="s">
        <v>33</v>
      </c>
      <c r="B2433" t="str">
        <f>"300545"</f>
        <v>300545</v>
      </c>
      <c r="C2433" t="s">
        <v>5196</v>
      </c>
      <c r="D2433" t="s">
        <v>102</v>
      </c>
      <c r="E2433">
        <v>-10637986</v>
      </c>
      <c r="F2433">
        <v>-31183983</v>
      </c>
      <c r="G2433">
        <v>-17065712</v>
      </c>
      <c r="H2433">
        <v>61055573</v>
      </c>
      <c r="I2433">
        <v>-51830361</v>
      </c>
      <c r="J2433">
        <v>-40215502</v>
      </c>
      <c r="K2433">
        <v>9520912</v>
      </c>
      <c r="P2433">
        <v>182</v>
      </c>
      <c r="Q2433" t="s">
        <v>5197</v>
      </c>
    </row>
    <row r="2434" spans="1:17" x14ac:dyDescent="0.3">
      <c r="A2434" t="s">
        <v>17</v>
      </c>
      <c r="B2434" t="str">
        <f>"688282"</f>
        <v>688282</v>
      </c>
      <c r="C2434" t="s">
        <v>5198</v>
      </c>
      <c r="E2434">
        <v>-10659611</v>
      </c>
      <c r="P2434">
        <v>3</v>
      </c>
      <c r="Q2434" t="s">
        <v>5199</v>
      </c>
    </row>
    <row r="2435" spans="1:17" x14ac:dyDescent="0.3">
      <c r="A2435" t="s">
        <v>33</v>
      </c>
      <c r="B2435" t="str">
        <f>"001212"</f>
        <v>001212</v>
      </c>
      <c r="C2435" t="s">
        <v>5200</v>
      </c>
      <c r="D2435" t="s">
        <v>2632</v>
      </c>
      <c r="E2435">
        <v>-10751348</v>
      </c>
      <c r="F2435">
        <v>19855961</v>
      </c>
      <c r="G2435">
        <v>54400167</v>
      </c>
      <c r="P2435">
        <v>19</v>
      </c>
      <c r="Q2435" t="s">
        <v>5201</v>
      </c>
    </row>
    <row r="2436" spans="1:17" x14ac:dyDescent="0.3">
      <c r="A2436" t="s">
        <v>17</v>
      </c>
      <c r="B2436" t="str">
        <f>"600136"</f>
        <v>600136</v>
      </c>
      <c r="C2436" t="s">
        <v>5202</v>
      </c>
      <c r="D2436" t="s">
        <v>1667</v>
      </c>
      <c r="E2436">
        <v>-10751660</v>
      </c>
      <c r="F2436">
        <v>628492282</v>
      </c>
      <c r="G2436">
        <v>625942350</v>
      </c>
      <c r="H2436">
        <v>385540184</v>
      </c>
      <c r="I2436">
        <v>-146758919</v>
      </c>
      <c r="J2436">
        <v>-236448786</v>
      </c>
      <c r="K2436">
        <v>-59148908</v>
      </c>
      <c r="L2436">
        <v>-13785067</v>
      </c>
      <c r="M2436">
        <v>-8513900</v>
      </c>
      <c r="N2436">
        <v>10750138</v>
      </c>
      <c r="O2436">
        <v>-624940</v>
      </c>
      <c r="P2436">
        <v>136</v>
      </c>
      <c r="Q2436" t="s">
        <v>5203</v>
      </c>
    </row>
    <row r="2437" spans="1:17" x14ac:dyDescent="0.3">
      <c r="A2437" t="s">
        <v>33</v>
      </c>
      <c r="B2437" t="str">
        <f>"000159"</f>
        <v>000159</v>
      </c>
      <c r="C2437" t="s">
        <v>5204</v>
      </c>
      <c r="D2437" t="s">
        <v>323</v>
      </c>
      <c r="E2437">
        <v>-10752314</v>
      </c>
      <c r="F2437">
        <v>-65449183</v>
      </c>
      <c r="G2437">
        <v>-42345895</v>
      </c>
      <c r="H2437">
        <v>-132857542</v>
      </c>
      <c r="I2437">
        <v>-18214694</v>
      </c>
      <c r="J2437">
        <v>-75046706</v>
      </c>
      <c r="K2437">
        <v>-37879390</v>
      </c>
      <c r="L2437">
        <v>-88135609</v>
      </c>
      <c r="M2437">
        <v>34402476</v>
      </c>
      <c r="N2437">
        <v>-25983789</v>
      </c>
      <c r="O2437">
        <v>-11521222</v>
      </c>
      <c r="P2437">
        <v>100</v>
      </c>
      <c r="Q2437" t="s">
        <v>5205</v>
      </c>
    </row>
    <row r="2438" spans="1:17" x14ac:dyDescent="0.3">
      <c r="A2438" t="s">
        <v>33</v>
      </c>
      <c r="B2438" t="str">
        <f>"300664"</f>
        <v>300664</v>
      </c>
      <c r="C2438" t="s">
        <v>5206</v>
      </c>
      <c r="D2438" t="s">
        <v>932</v>
      </c>
      <c r="E2438">
        <v>-10836011</v>
      </c>
      <c r="F2438">
        <v>-109542263</v>
      </c>
      <c r="G2438">
        <v>-65939695</v>
      </c>
      <c r="H2438">
        <v>-89805202</v>
      </c>
      <c r="I2438">
        <v>-113492750</v>
      </c>
      <c r="J2438">
        <v>-16177920</v>
      </c>
      <c r="P2438">
        <v>118</v>
      </c>
      <c r="Q2438" t="s">
        <v>5207</v>
      </c>
    </row>
    <row r="2439" spans="1:17" x14ac:dyDescent="0.3">
      <c r="A2439" t="s">
        <v>33</v>
      </c>
      <c r="B2439" t="str">
        <f>"301288"</f>
        <v>301288</v>
      </c>
      <c r="C2439" t="s">
        <v>5208</v>
      </c>
      <c r="E2439">
        <v>-10920401</v>
      </c>
      <c r="P2439">
        <v>4</v>
      </c>
      <c r="Q2439" t="s">
        <v>5209</v>
      </c>
    </row>
    <row r="2440" spans="1:17" x14ac:dyDescent="0.3">
      <c r="A2440" t="s">
        <v>33</v>
      </c>
      <c r="B2440" t="str">
        <f>"000886"</f>
        <v>000886</v>
      </c>
      <c r="C2440" t="s">
        <v>5210</v>
      </c>
      <c r="D2440" t="s">
        <v>458</v>
      </c>
      <c r="E2440">
        <v>-10924350</v>
      </c>
      <c r="F2440">
        <v>-50192669</v>
      </c>
      <c r="G2440">
        <v>-33641162</v>
      </c>
      <c r="H2440">
        <v>-18795844</v>
      </c>
      <c r="I2440">
        <v>143902875</v>
      </c>
      <c r="J2440">
        <v>215761970</v>
      </c>
      <c r="K2440">
        <v>-39387855</v>
      </c>
      <c r="L2440">
        <v>-78128545</v>
      </c>
      <c r="M2440">
        <v>-119745307</v>
      </c>
      <c r="N2440">
        <v>-14571212</v>
      </c>
      <c r="O2440">
        <v>325429749</v>
      </c>
      <c r="P2440">
        <v>130</v>
      </c>
      <c r="Q2440" t="s">
        <v>5211</v>
      </c>
    </row>
    <row r="2441" spans="1:17" x14ac:dyDescent="0.3">
      <c r="A2441" t="s">
        <v>33</v>
      </c>
      <c r="B2441" t="str">
        <f>"301027"</f>
        <v>301027</v>
      </c>
      <c r="C2441" t="s">
        <v>5212</v>
      </c>
      <c r="D2441" t="s">
        <v>4300</v>
      </c>
      <c r="E2441">
        <v>-10943360</v>
      </c>
      <c r="F2441">
        <v>-137512229</v>
      </c>
      <c r="G2441">
        <v>-153762407</v>
      </c>
      <c r="P2441">
        <v>25</v>
      </c>
      <c r="Q2441" t="s">
        <v>5213</v>
      </c>
    </row>
    <row r="2442" spans="1:17" x14ac:dyDescent="0.3">
      <c r="A2442" t="s">
        <v>17</v>
      </c>
      <c r="B2442" t="str">
        <f>"600520"</f>
        <v>600520</v>
      </c>
      <c r="C2442" t="s">
        <v>5214</v>
      </c>
      <c r="D2442" t="s">
        <v>1895</v>
      </c>
      <c r="E2442">
        <v>-10951721</v>
      </c>
      <c r="F2442">
        <v>-42560950</v>
      </c>
      <c r="G2442">
        <v>-1816596</v>
      </c>
      <c r="H2442">
        <v>-15928342</v>
      </c>
      <c r="I2442">
        <v>-37216154</v>
      </c>
      <c r="J2442">
        <v>-13242540</v>
      </c>
      <c r="K2442">
        <v>-11896389</v>
      </c>
      <c r="L2442">
        <v>24174749</v>
      </c>
      <c r="M2442">
        <v>-22220865</v>
      </c>
      <c r="N2442">
        <v>-2227836</v>
      </c>
      <c r="O2442">
        <v>-101259</v>
      </c>
      <c r="P2442">
        <v>73</v>
      </c>
      <c r="Q2442" t="s">
        <v>5215</v>
      </c>
    </row>
    <row r="2443" spans="1:17" x14ac:dyDescent="0.3">
      <c r="A2443" t="s">
        <v>33</v>
      </c>
      <c r="B2443" t="str">
        <f>"300906"</f>
        <v>300906</v>
      </c>
      <c r="C2443" t="s">
        <v>5216</v>
      </c>
      <c r="D2443" t="s">
        <v>2417</v>
      </c>
      <c r="E2443">
        <v>-10971028</v>
      </c>
      <c r="F2443">
        <v>-3430904</v>
      </c>
      <c r="G2443">
        <v>-16312682</v>
      </c>
      <c r="P2443">
        <v>60</v>
      </c>
      <c r="Q2443" t="s">
        <v>5217</v>
      </c>
    </row>
    <row r="2444" spans="1:17" x14ac:dyDescent="0.3">
      <c r="A2444" t="s">
        <v>33</v>
      </c>
      <c r="B2444" t="str">
        <f>"200017"</f>
        <v>200017</v>
      </c>
      <c r="C2444" t="s">
        <v>5218</v>
      </c>
      <c r="E2444">
        <v>-11020023.517999999</v>
      </c>
      <c r="F2444">
        <v>1657308.5734999999</v>
      </c>
      <c r="G2444">
        <v>502587.5514</v>
      </c>
      <c r="H2444">
        <v>-7137816.1254000003</v>
      </c>
      <c r="I2444">
        <v>1041571.4620000001</v>
      </c>
      <c r="J2444">
        <v>-1622080.8319999999</v>
      </c>
      <c r="K2444">
        <v>-2681300.3986999998</v>
      </c>
      <c r="L2444">
        <v>-3517603.75</v>
      </c>
      <c r="M2444">
        <v>3126438.0304</v>
      </c>
      <c r="N2444">
        <v>-22521259.7718</v>
      </c>
      <c r="O2444">
        <v>-1439467.0830000001</v>
      </c>
      <c r="P2444">
        <v>3</v>
      </c>
      <c r="Q2444" t="s">
        <v>5219</v>
      </c>
    </row>
    <row r="2445" spans="1:17" x14ac:dyDescent="0.3">
      <c r="A2445" t="s">
        <v>33</v>
      </c>
      <c r="B2445" t="str">
        <f>"301031"</f>
        <v>301031</v>
      </c>
      <c r="C2445" t="s">
        <v>5220</v>
      </c>
      <c r="D2445" t="s">
        <v>499</v>
      </c>
      <c r="E2445">
        <v>-11092451</v>
      </c>
      <c r="F2445">
        <v>-4628375</v>
      </c>
      <c r="G2445">
        <v>2830616</v>
      </c>
      <c r="P2445">
        <v>77</v>
      </c>
      <c r="Q2445" t="s">
        <v>5221</v>
      </c>
    </row>
    <row r="2446" spans="1:17" x14ac:dyDescent="0.3">
      <c r="A2446" t="s">
        <v>33</v>
      </c>
      <c r="B2446" t="str">
        <f>"002285"</f>
        <v>002285</v>
      </c>
      <c r="C2446" t="s">
        <v>5222</v>
      </c>
      <c r="D2446" t="s">
        <v>282</v>
      </c>
      <c r="E2446">
        <v>-11098276</v>
      </c>
      <c r="F2446">
        <v>-58699062</v>
      </c>
      <c r="G2446">
        <v>-267258921</v>
      </c>
      <c r="H2446">
        <v>127569204</v>
      </c>
      <c r="I2446">
        <v>-635874165</v>
      </c>
      <c r="J2446">
        <v>-239089060</v>
      </c>
      <c r="K2446">
        <v>350428493</v>
      </c>
      <c r="L2446">
        <v>-201538213</v>
      </c>
      <c r="M2446">
        <v>-122283465</v>
      </c>
      <c r="N2446">
        <v>-165528</v>
      </c>
      <c r="O2446">
        <v>-103684889</v>
      </c>
      <c r="P2446">
        <v>477</v>
      </c>
      <c r="Q2446" t="s">
        <v>5223</v>
      </c>
    </row>
    <row r="2447" spans="1:17" x14ac:dyDescent="0.3">
      <c r="A2447" t="s">
        <v>33</v>
      </c>
      <c r="B2447" t="str">
        <f>"000820"</f>
        <v>000820</v>
      </c>
      <c r="C2447" t="s">
        <v>5224</v>
      </c>
      <c r="D2447" t="s">
        <v>897</v>
      </c>
      <c r="E2447">
        <v>-11142411</v>
      </c>
      <c r="F2447">
        <v>-76273</v>
      </c>
      <c r="G2447">
        <v>-428791</v>
      </c>
      <c r="H2447">
        <v>2780084</v>
      </c>
      <c r="I2447">
        <v>-115936176</v>
      </c>
      <c r="J2447">
        <v>320735266</v>
      </c>
      <c r="K2447">
        <v>26551205</v>
      </c>
      <c r="L2447">
        <v>-8359333</v>
      </c>
      <c r="M2447">
        <v>16196397</v>
      </c>
      <c r="N2447">
        <v>-5334339</v>
      </c>
      <c r="O2447">
        <v>4523178</v>
      </c>
      <c r="P2447">
        <v>156</v>
      </c>
      <c r="Q2447" t="s">
        <v>5225</v>
      </c>
    </row>
    <row r="2448" spans="1:17" x14ac:dyDescent="0.3">
      <c r="A2448" t="s">
        <v>33</v>
      </c>
      <c r="B2448" t="str">
        <f>"002896"</f>
        <v>002896</v>
      </c>
      <c r="C2448" t="s">
        <v>5226</v>
      </c>
      <c r="D2448" t="s">
        <v>164</v>
      </c>
      <c r="E2448">
        <v>-11180937</v>
      </c>
      <c r="F2448">
        <v>24431207</v>
      </c>
      <c r="G2448">
        <v>27649465</v>
      </c>
      <c r="H2448">
        <v>27178602</v>
      </c>
      <c r="I2448">
        <v>3894197</v>
      </c>
      <c r="J2448">
        <v>3629229</v>
      </c>
      <c r="P2448">
        <v>137</v>
      </c>
      <c r="Q2448" t="s">
        <v>5227</v>
      </c>
    </row>
    <row r="2449" spans="1:17" x14ac:dyDescent="0.3">
      <c r="A2449" t="s">
        <v>33</v>
      </c>
      <c r="B2449" t="str">
        <f>"000587"</f>
        <v>000587</v>
      </c>
      <c r="C2449" t="s">
        <v>5228</v>
      </c>
      <c r="D2449" t="s">
        <v>161</v>
      </c>
      <c r="E2449">
        <v>-11212369</v>
      </c>
      <c r="F2449">
        <v>4938147</v>
      </c>
      <c r="G2449">
        <v>-826212124</v>
      </c>
      <c r="H2449">
        <v>-1170881361</v>
      </c>
      <c r="I2449">
        <v>-883527704</v>
      </c>
      <c r="J2449">
        <v>244411900</v>
      </c>
      <c r="K2449">
        <v>-992050834</v>
      </c>
      <c r="L2449">
        <v>46336551</v>
      </c>
      <c r="M2449">
        <v>354713042</v>
      </c>
      <c r="N2449">
        <v>157460394</v>
      </c>
      <c r="O2449">
        <v>-72170705</v>
      </c>
      <c r="P2449">
        <v>114</v>
      </c>
      <c r="Q2449" t="s">
        <v>5229</v>
      </c>
    </row>
    <row r="2450" spans="1:17" x14ac:dyDescent="0.3">
      <c r="A2450" t="s">
        <v>33</v>
      </c>
      <c r="B2450" t="str">
        <f>"300507"</f>
        <v>300507</v>
      </c>
      <c r="C2450" t="s">
        <v>5230</v>
      </c>
      <c r="D2450" t="s">
        <v>858</v>
      </c>
      <c r="E2450">
        <v>-11223900</v>
      </c>
      <c r="F2450">
        <v>14202329</v>
      </c>
      <c r="G2450">
        <v>42620882</v>
      </c>
      <c r="H2450">
        <v>18744731</v>
      </c>
      <c r="I2450">
        <v>-10358533</v>
      </c>
      <c r="J2450">
        <v>-16578690</v>
      </c>
      <c r="K2450">
        <v>25134518</v>
      </c>
      <c r="L2450">
        <v>2896276</v>
      </c>
      <c r="P2450">
        <v>137</v>
      </c>
      <c r="Q2450" t="s">
        <v>5231</v>
      </c>
    </row>
    <row r="2451" spans="1:17" x14ac:dyDescent="0.3">
      <c r="A2451" t="s">
        <v>33</v>
      </c>
      <c r="B2451" t="str">
        <f>"300163"</f>
        <v>300163</v>
      </c>
      <c r="C2451" t="s">
        <v>5232</v>
      </c>
      <c r="D2451" t="s">
        <v>418</v>
      </c>
      <c r="E2451">
        <v>-11324712</v>
      </c>
      <c r="F2451">
        <v>-37463523</v>
      </c>
      <c r="G2451">
        <v>-19033998</v>
      </c>
      <c r="H2451">
        <v>861406</v>
      </c>
      <c r="I2451">
        <v>-28537585</v>
      </c>
      <c r="J2451">
        <v>-22574321</v>
      </c>
      <c r="K2451">
        <v>32104376</v>
      </c>
      <c r="L2451">
        <v>-7238869</v>
      </c>
      <c r="M2451">
        <v>7778301</v>
      </c>
      <c r="N2451">
        <v>7818765</v>
      </c>
      <c r="O2451">
        <v>-12018886</v>
      </c>
      <c r="P2451">
        <v>75</v>
      </c>
      <c r="Q2451" t="s">
        <v>5233</v>
      </c>
    </row>
    <row r="2452" spans="1:17" x14ac:dyDescent="0.3">
      <c r="A2452" t="s">
        <v>17</v>
      </c>
      <c r="B2452" t="str">
        <f>"603079"</f>
        <v>603079</v>
      </c>
      <c r="C2452" t="s">
        <v>5234</v>
      </c>
      <c r="D2452" t="s">
        <v>941</v>
      </c>
      <c r="E2452">
        <v>-11335230</v>
      </c>
      <c r="F2452">
        <v>20351680</v>
      </c>
      <c r="G2452">
        <v>-3308023</v>
      </c>
      <c r="H2452">
        <v>-342345</v>
      </c>
      <c r="I2452">
        <v>1023247</v>
      </c>
      <c r="J2452">
        <v>-3241257</v>
      </c>
      <c r="P2452">
        <v>239</v>
      </c>
      <c r="Q2452" t="s">
        <v>5235</v>
      </c>
    </row>
    <row r="2453" spans="1:17" x14ac:dyDescent="0.3">
      <c r="A2453" t="s">
        <v>33</v>
      </c>
      <c r="B2453" t="str">
        <f>"002519"</f>
        <v>002519</v>
      </c>
      <c r="C2453" t="s">
        <v>5236</v>
      </c>
      <c r="D2453" t="s">
        <v>3783</v>
      </c>
      <c r="E2453">
        <v>-11339979</v>
      </c>
      <c r="F2453">
        <v>12248346</v>
      </c>
      <c r="G2453">
        <v>180430484</v>
      </c>
      <c r="H2453">
        <v>-10178946</v>
      </c>
      <c r="I2453">
        <v>-41001686</v>
      </c>
      <c r="J2453">
        <v>-27534269</v>
      </c>
      <c r="K2453">
        <v>-19734131</v>
      </c>
      <c r="L2453">
        <v>-12003394</v>
      </c>
      <c r="M2453">
        <v>-92492631</v>
      </c>
      <c r="N2453">
        <v>-76021705</v>
      </c>
      <c r="O2453">
        <v>-29110562</v>
      </c>
      <c r="P2453">
        <v>160</v>
      </c>
      <c r="Q2453" t="s">
        <v>5237</v>
      </c>
    </row>
    <row r="2454" spans="1:17" x14ac:dyDescent="0.3">
      <c r="A2454" t="s">
        <v>17</v>
      </c>
      <c r="B2454" t="str">
        <f>"600589"</f>
        <v>600589</v>
      </c>
      <c r="C2454" t="s">
        <v>5238</v>
      </c>
      <c r="D2454" t="s">
        <v>1483</v>
      </c>
      <c r="E2454">
        <v>-11350808</v>
      </c>
      <c r="F2454">
        <v>-425856002</v>
      </c>
      <c r="G2454">
        <v>-561822126</v>
      </c>
      <c r="H2454">
        <v>-223385167</v>
      </c>
      <c r="I2454">
        <v>-94312964</v>
      </c>
      <c r="J2454">
        <v>-129152763</v>
      </c>
      <c r="K2454">
        <v>-154748205</v>
      </c>
      <c r="L2454">
        <v>95595203</v>
      </c>
      <c r="M2454">
        <v>-60630750</v>
      </c>
      <c r="N2454">
        <v>-79772361</v>
      </c>
      <c r="O2454">
        <v>-189471367</v>
      </c>
      <c r="P2454">
        <v>74</v>
      </c>
      <c r="Q2454" t="s">
        <v>5239</v>
      </c>
    </row>
    <row r="2455" spans="1:17" x14ac:dyDescent="0.3">
      <c r="A2455" t="s">
        <v>33</v>
      </c>
      <c r="B2455" t="str">
        <f>"002915"</f>
        <v>002915</v>
      </c>
      <c r="C2455" t="s">
        <v>5240</v>
      </c>
      <c r="D2455" t="s">
        <v>881</v>
      </c>
      <c r="E2455">
        <v>-11350958</v>
      </c>
      <c r="F2455">
        <v>-36969390</v>
      </c>
      <c r="G2455">
        <v>29453357</v>
      </c>
      <c r="H2455">
        <v>-6427297</v>
      </c>
      <c r="I2455">
        <v>-20764140</v>
      </c>
      <c r="J2455">
        <v>13583555</v>
      </c>
      <c r="P2455">
        <v>90</v>
      </c>
      <c r="Q2455" t="s">
        <v>5241</v>
      </c>
    </row>
    <row r="2456" spans="1:17" x14ac:dyDescent="0.3">
      <c r="A2456" t="s">
        <v>17</v>
      </c>
      <c r="B2456" t="str">
        <f>"600731"</f>
        <v>600731</v>
      </c>
      <c r="C2456" t="s">
        <v>5242</v>
      </c>
      <c r="D2456" t="s">
        <v>636</v>
      </c>
      <c r="E2456">
        <v>-11378088</v>
      </c>
      <c r="F2456">
        <v>-22991365</v>
      </c>
      <c r="G2456">
        <v>132087110</v>
      </c>
      <c r="H2456">
        <v>16286147</v>
      </c>
      <c r="I2456">
        <v>7779376</v>
      </c>
      <c r="J2456">
        <v>24308445</v>
      </c>
      <c r="K2456">
        <v>52780514</v>
      </c>
      <c r="L2456">
        <v>24417113</v>
      </c>
      <c r="M2456">
        <v>4705920</v>
      </c>
      <c r="N2456">
        <v>5409393</v>
      </c>
      <c r="O2456">
        <v>15885091</v>
      </c>
      <c r="P2456">
        <v>244</v>
      </c>
      <c r="Q2456" t="s">
        <v>5243</v>
      </c>
    </row>
    <row r="2457" spans="1:17" x14ac:dyDescent="0.3">
      <c r="A2457" t="s">
        <v>33</v>
      </c>
      <c r="B2457" t="str">
        <f>"301221"</f>
        <v>301221</v>
      </c>
      <c r="C2457" t="s">
        <v>5244</v>
      </c>
      <c r="D2457" t="s">
        <v>603</v>
      </c>
      <c r="E2457">
        <v>-11423164</v>
      </c>
      <c r="P2457">
        <v>16</v>
      </c>
      <c r="Q2457" t="s">
        <v>5245</v>
      </c>
    </row>
    <row r="2458" spans="1:17" x14ac:dyDescent="0.3">
      <c r="A2458" t="s">
        <v>33</v>
      </c>
      <c r="B2458" t="str">
        <f>"001296"</f>
        <v>001296</v>
      </c>
      <c r="C2458" t="s">
        <v>5246</v>
      </c>
      <c r="D2458" t="s">
        <v>790</v>
      </c>
      <c r="E2458">
        <v>-11463366</v>
      </c>
      <c r="F2458">
        <v>18785529</v>
      </c>
      <c r="P2458">
        <v>15</v>
      </c>
      <c r="Q2458" t="s">
        <v>5247</v>
      </c>
    </row>
    <row r="2459" spans="1:17" x14ac:dyDescent="0.3">
      <c r="A2459" t="s">
        <v>33</v>
      </c>
      <c r="B2459" t="str">
        <f>"002842"</f>
        <v>002842</v>
      </c>
      <c r="C2459" t="s">
        <v>5248</v>
      </c>
      <c r="D2459" t="s">
        <v>5249</v>
      </c>
      <c r="E2459">
        <v>-11490370</v>
      </c>
      <c r="F2459">
        <v>-92254658</v>
      </c>
      <c r="G2459">
        <v>-49050969</v>
      </c>
      <c r="H2459">
        <v>-71663217</v>
      </c>
      <c r="I2459">
        <v>-150541393</v>
      </c>
      <c r="J2459">
        <v>-97435754</v>
      </c>
      <c r="K2459">
        <v>-56875192</v>
      </c>
      <c r="P2459">
        <v>99</v>
      </c>
      <c r="Q2459" t="s">
        <v>5250</v>
      </c>
    </row>
    <row r="2460" spans="1:17" x14ac:dyDescent="0.3">
      <c r="A2460" t="s">
        <v>17</v>
      </c>
      <c r="B2460" t="str">
        <f>"603912"</f>
        <v>603912</v>
      </c>
      <c r="C2460" t="s">
        <v>5251</v>
      </c>
      <c r="D2460" t="s">
        <v>2883</v>
      </c>
      <c r="E2460">
        <v>-11561861</v>
      </c>
      <c r="F2460">
        <v>-83725122</v>
      </c>
      <c r="G2460">
        <v>-42987768</v>
      </c>
      <c r="H2460">
        <v>-47259193</v>
      </c>
      <c r="I2460">
        <v>-53336987</v>
      </c>
      <c r="J2460">
        <v>-31577319</v>
      </c>
      <c r="P2460">
        <v>286</v>
      </c>
      <c r="Q2460" t="s">
        <v>5252</v>
      </c>
    </row>
    <row r="2461" spans="1:17" x14ac:dyDescent="0.3">
      <c r="A2461" t="s">
        <v>33</v>
      </c>
      <c r="B2461" t="str">
        <f>"300987"</f>
        <v>300987</v>
      </c>
      <c r="C2461" t="s">
        <v>5253</v>
      </c>
      <c r="D2461" t="s">
        <v>2040</v>
      </c>
      <c r="E2461">
        <v>-11565023</v>
      </c>
      <c r="F2461">
        <v>-14148126</v>
      </c>
      <c r="G2461">
        <v>-11992994</v>
      </c>
      <c r="P2461">
        <v>24</v>
      </c>
      <c r="Q2461" t="s">
        <v>5254</v>
      </c>
    </row>
    <row r="2462" spans="1:17" x14ac:dyDescent="0.3">
      <c r="A2462" t="s">
        <v>17</v>
      </c>
      <c r="B2462" t="str">
        <f>"603960"</f>
        <v>603960</v>
      </c>
      <c r="C2462" t="s">
        <v>5255</v>
      </c>
      <c r="D2462" t="s">
        <v>4171</v>
      </c>
      <c r="E2462">
        <v>-11574886</v>
      </c>
      <c r="F2462">
        <v>-18714203</v>
      </c>
      <c r="G2462">
        <v>58468070</v>
      </c>
      <c r="H2462">
        <v>-33865708</v>
      </c>
      <c r="I2462">
        <v>31433787</v>
      </c>
      <c r="J2462">
        <v>-16730023</v>
      </c>
      <c r="K2462">
        <v>30726794</v>
      </c>
      <c r="P2462">
        <v>383</v>
      </c>
      <c r="Q2462" t="s">
        <v>5256</v>
      </c>
    </row>
    <row r="2463" spans="1:17" x14ac:dyDescent="0.3">
      <c r="A2463" t="s">
        <v>33</v>
      </c>
      <c r="B2463" t="str">
        <f>"002951"</f>
        <v>002951</v>
      </c>
      <c r="C2463" t="s">
        <v>5257</v>
      </c>
      <c r="D2463" t="s">
        <v>1015</v>
      </c>
      <c r="E2463">
        <v>-11617899</v>
      </c>
      <c r="F2463">
        <v>90832982</v>
      </c>
      <c r="G2463">
        <v>17415983</v>
      </c>
      <c r="H2463">
        <v>58705711</v>
      </c>
      <c r="I2463">
        <v>33292290</v>
      </c>
      <c r="P2463">
        <v>93</v>
      </c>
      <c r="Q2463" t="s">
        <v>5258</v>
      </c>
    </row>
    <row r="2464" spans="1:17" x14ac:dyDescent="0.3">
      <c r="A2464" t="s">
        <v>33</v>
      </c>
      <c r="B2464" t="str">
        <f>"002672"</f>
        <v>002672</v>
      </c>
      <c r="C2464" t="s">
        <v>5259</v>
      </c>
      <c r="D2464" t="s">
        <v>897</v>
      </c>
      <c r="E2464">
        <v>-11653444</v>
      </c>
      <c r="F2464">
        <v>50884434</v>
      </c>
      <c r="G2464">
        <v>233731141</v>
      </c>
      <c r="H2464">
        <v>318168802</v>
      </c>
      <c r="I2464">
        <v>53424340</v>
      </c>
      <c r="J2464">
        <v>98632520</v>
      </c>
      <c r="K2464">
        <v>6908958</v>
      </c>
      <c r="L2464">
        <v>5955732</v>
      </c>
      <c r="M2464">
        <v>41639248</v>
      </c>
      <c r="N2464">
        <v>55168193</v>
      </c>
      <c r="O2464">
        <v>92782979</v>
      </c>
      <c r="P2464">
        <v>317</v>
      </c>
      <c r="Q2464" t="s">
        <v>5260</v>
      </c>
    </row>
    <row r="2465" spans="1:17" x14ac:dyDescent="0.3">
      <c r="A2465" t="s">
        <v>33</v>
      </c>
      <c r="B2465" t="str">
        <f>"300346"</f>
        <v>300346</v>
      </c>
      <c r="C2465" t="s">
        <v>5261</v>
      </c>
      <c r="D2465" t="s">
        <v>1330</v>
      </c>
      <c r="E2465">
        <v>-11663778</v>
      </c>
      <c r="F2465">
        <v>66972918</v>
      </c>
      <c r="G2465">
        <v>-50228626</v>
      </c>
      <c r="H2465">
        <v>-26910626</v>
      </c>
      <c r="I2465">
        <v>-6938592</v>
      </c>
      <c r="J2465">
        <v>-2310357</v>
      </c>
      <c r="K2465">
        <v>898921</v>
      </c>
      <c r="L2465">
        <v>12219057</v>
      </c>
      <c r="M2465">
        <v>-2313820</v>
      </c>
      <c r="N2465">
        <v>496444</v>
      </c>
      <c r="O2465">
        <v>-11886397</v>
      </c>
      <c r="P2465">
        <v>447</v>
      </c>
      <c r="Q2465" t="s">
        <v>5262</v>
      </c>
    </row>
    <row r="2466" spans="1:17" x14ac:dyDescent="0.3">
      <c r="A2466" t="s">
        <v>33</v>
      </c>
      <c r="B2466" t="str">
        <f>"002707"</f>
        <v>002707</v>
      </c>
      <c r="C2466" t="s">
        <v>5263</v>
      </c>
      <c r="D2466" t="s">
        <v>4691</v>
      </c>
      <c r="E2466">
        <v>-11669362</v>
      </c>
      <c r="F2466">
        <v>-42385252</v>
      </c>
      <c r="G2466">
        <v>228787953</v>
      </c>
      <c r="H2466">
        <v>-137916259</v>
      </c>
      <c r="I2466">
        <v>-415227171</v>
      </c>
      <c r="J2466">
        <v>-214776731</v>
      </c>
      <c r="K2466">
        <v>-393049535</v>
      </c>
      <c r="L2466">
        <v>-113450522</v>
      </c>
      <c r="M2466">
        <v>-148963984</v>
      </c>
      <c r="N2466">
        <v>-116718925</v>
      </c>
      <c r="P2466">
        <v>295</v>
      </c>
      <c r="Q2466" t="s">
        <v>5264</v>
      </c>
    </row>
    <row r="2467" spans="1:17" x14ac:dyDescent="0.3">
      <c r="A2467" t="s">
        <v>17</v>
      </c>
      <c r="B2467" t="str">
        <f>"603739"</f>
        <v>603739</v>
      </c>
      <c r="C2467" t="s">
        <v>5265</v>
      </c>
      <c r="D2467" t="s">
        <v>2035</v>
      </c>
      <c r="E2467">
        <v>-11679629</v>
      </c>
      <c r="F2467">
        <v>-3356234</v>
      </c>
      <c r="G2467">
        <v>-9357937</v>
      </c>
      <c r="H2467">
        <v>-23372644</v>
      </c>
      <c r="I2467">
        <v>-59612256</v>
      </c>
      <c r="P2467">
        <v>123</v>
      </c>
      <c r="Q2467" t="s">
        <v>5266</v>
      </c>
    </row>
    <row r="2468" spans="1:17" x14ac:dyDescent="0.3">
      <c r="A2468" t="s">
        <v>33</v>
      </c>
      <c r="B2468" t="str">
        <f>"300160"</f>
        <v>300160</v>
      </c>
      <c r="C2468" t="s">
        <v>5267</v>
      </c>
      <c r="D2468" t="s">
        <v>1869</v>
      </c>
      <c r="E2468">
        <v>-11725884</v>
      </c>
      <c r="F2468">
        <v>-995507</v>
      </c>
      <c r="G2468">
        <v>8645587</v>
      </c>
      <c r="H2468">
        <v>130202402</v>
      </c>
      <c r="I2468">
        <v>37472464</v>
      </c>
      <c r="J2468">
        <v>38289662</v>
      </c>
      <c r="K2468">
        <v>62568099</v>
      </c>
      <c r="L2468">
        <v>16947255</v>
      </c>
      <c r="M2468">
        <v>38749046</v>
      </c>
      <c r="N2468">
        <v>9856192</v>
      </c>
      <c r="O2468">
        <v>45138724</v>
      </c>
      <c r="P2468">
        <v>150</v>
      </c>
      <c r="Q2468" t="s">
        <v>5268</v>
      </c>
    </row>
    <row r="2469" spans="1:17" x14ac:dyDescent="0.3">
      <c r="A2469" t="s">
        <v>33</v>
      </c>
      <c r="B2469" t="str">
        <f>"001202"</f>
        <v>001202</v>
      </c>
      <c r="C2469" t="s">
        <v>5269</v>
      </c>
      <c r="D2469" t="s">
        <v>5270</v>
      </c>
      <c r="E2469">
        <v>-11888631</v>
      </c>
      <c r="F2469">
        <v>-34406977</v>
      </c>
      <c r="G2469">
        <v>-534661</v>
      </c>
      <c r="P2469">
        <v>32</v>
      </c>
      <c r="Q2469" t="s">
        <v>5271</v>
      </c>
    </row>
    <row r="2470" spans="1:17" x14ac:dyDescent="0.3">
      <c r="A2470" t="s">
        <v>33</v>
      </c>
      <c r="B2470" t="str">
        <f>"300591"</f>
        <v>300591</v>
      </c>
      <c r="C2470" t="s">
        <v>5272</v>
      </c>
      <c r="D2470" t="s">
        <v>1680</v>
      </c>
      <c r="E2470">
        <v>-11895768</v>
      </c>
      <c r="F2470">
        <v>29188457</v>
      </c>
      <c r="G2470">
        <v>-38611447</v>
      </c>
      <c r="H2470">
        <v>-55108669</v>
      </c>
      <c r="I2470">
        <v>37897758</v>
      </c>
      <c r="J2470">
        <v>-72788147</v>
      </c>
      <c r="K2470">
        <v>-100751066</v>
      </c>
      <c r="P2470">
        <v>88</v>
      </c>
      <c r="Q2470" t="s">
        <v>5273</v>
      </c>
    </row>
    <row r="2471" spans="1:17" x14ac:dyDescent="0.3">
      <c r="A2471" t="s">
        <v>33</v>
      </c>
      <c r="B2471" t="str">
        <f>"002782"</f>
        <v>002782</v>
      </c>
      <c r="C2471" t="s">
        <v>5274</v>
      </c>
      <c r="D2471" t="s">
        <v>226</v>
      </c>
      <c r="E2471">
        <v>-12008060</v>
      </c>
      <c r="F2471">
        <v>-58537264</v>
      </c>
      <c r="G2471">
        <v>-14950360</v>
      </c>
      <c r="H2471">
        <v>41138981</v>
      </c>
      <c r="I2471">
        <v>-14228847</v>
      </c>
      <c r="J2471">
        <v>5183364</v>
      </c>
      <c r="K2471">
        <v>30610963</v>
      </c>
      <c r="L2471">
        <v>-12784700</v>
      </c>
      <c r="M2471">
        <v>23509500</v>
      </c>
      <c r="P2471">
        <v>167</v>
      </c>
      <c r="Q2471" t="s">
        <v>5275</v>
      </c>
    </row>
    <row r="2472" spans="1:17" x14ac:dyDescent="0.3">
      <c r="A2472" t="s">
        <v>33</v>
      </c>
      <c r="B2472" t="str">
        <f>"300615"</f>
        <v>300615</v>
      </c>
      <c r="C2472" t="s">
        <v>5276</v>
      </c>
      <c r="D2472" t="s">
        <v>1347</v>
      </c>
      <c r="E2472">
        <v>-12013682</v>
      </c>
      <c r="F2472">
        <v>2042284</v>
      </c>
      <c r="G2472">
        <v>9947303</v>
      </c>
      <c r="H2472">
        <v>20955825</v>
      </c>
      <c r="I2472">
        <v>-7021970</v>
      </c>
      <c r="J2472">
        <v>9398771</v>
      </c>
      <c r="K2472">
        <v>5134767</v>
      </c>
      <c r="P2472">
        <v>156</v>
      </c>
      <c r="Q2472" t="s">
        <v>5277</v>
      </c>
    </row>
    <row r="2473" spans="1:17" x14ac:dyDescent="0.3">
      <c r="A2473" t="s">
        <v>17</v>
      </c>
      <c r="B2473" t="str">
        <f>"603630"</f>
        <v>603630</v>
      </c>
      <c r="C2473" t="s">
        <v>5278</v>
      </c>
      <c r="D2473" t="s">
        <v>810</v>
      </c>
      <c r="E2473">
        <v>-12098505</v>
      </c>
      <c r="F2473">
        <v>-2010944</v>
      </c>
      <c r="G2473">
        <v>25852541</v>
      </c>
      <c r="H2473">
        <v>52467689</v>
      </c>
      <c r="I2473">
        <v>-2679458</v>
      </c>
      <c r="J2473">
        <v>19176673</v>
      </c>
      <c r="K2473">
        <v>14547914</v>
      </c>
      <c r="P2473">
        <v>148</v>
      </c>
      <c r="Q2473" t="s">
        <v>5279</v>
      </c>
    </row>
    <row r="2474" spans="1:17" x14ac:dyDescent="0.3">
      <c r="A2474" t="s">
        <v>17</v>
      </c>
      <c r="B2474" t="str">
        <f>"600345"</f>
        <v>600345</v>
      </c>
      <c r="C2474" t="s">
        <v>5280</v>
      </c>
      <c r="D2474" t="s">
        <v>2475</v>
      </c>
      <c r="E2474">
        <v>-12126622</v>
      </c>
      <c r="F2474">
        <v>-37920853</v>
      </c>
      <c r="G2474">
        <v>-23742609</v>
      </c>
      <c r="H2474">
        <v>-12883899</v>
      </c>
      <c r="I2474">
        <v>-28625471</v>
      </c>
      <c r="J2474">
        <v>-108101281</v>
      </c>
      <c r="K2474">
        <v>-109501260</v>
      </c>
      <c r="L2474">
        <v>-122128511</v>
      </c>
      <c r="M2474">
        <v>-104062893</v>
      </c>
      <c r="N2474">
        <v>-15410019</v>
      </c>
      <c r="O2474">
        <v>-68501429</v>
      </c>
      <c r="P2474">
        <v>208</v>
      </c>
      <c r="Q2474" t="s">
        <v>5281</v>
      </c>
    </row>
    <row r="2475" spans="1:17" x14ac:dyDescent="0.3">
      <c r="A2475" t="s">
        <v>33</v>
      </c>
      <c r="B2475" t="str">
        <f>"002289"</f>
        <v>002289</v>
      </c>
      <c r="C2475" t="s">
        <v>5282</v>
      </c>
      <c r="D2475" t="s">
        <v>102</v>
      </c>
      <c r="E2475">
        <v>-12129537</v>
      </c>
      <c r="F2475">
        <v>-17997291</v>
      </c>
      <c r="G2475">
        <v>446450</v>
      </c>
      <c r="H2475">
        <v>-2279721</v>
      </c>
      <c r="I2475">
        <v>-30732245</v>
      </c>
      <c r="J2475">
        <v>5971658</v>
      </c>
      <c r="K2475">
        <v>-7786857</v>
      </c>
      <c r="L2475">
        <v>-103950627</v>
      </c>
      <c r="M2475">
        <v>-180318753</v>
      </c>
      <c r="N2475">
        <v>174478767</v>
      </c>
      <c r="O2475">
        <v>-26557029</v>
      </c>
      <c r="P2475">
        <v>70</v>
      </c>
      <c r="Q2475" t="s">
        <v>5283</v>
      </c>
    </row>
    <row r="2476" spans="1:17" x14ac:dyDescent="0.3">
      <c r="A2476" t="s">
        <v>33</v>
      </c>
      <c r="B2476" t="str">
        <f>"301237"</f>
        <v>301237</v>
      </c>
      <c r="C2476" t="s">
        <v>5284</v>
      </c>
      <c r="E2476">
        <v>-12155804</v>
      </c>
      <c r="P2476">
        <v>6</v>
      </c>
      <c r="Q2476" t="s">
        <v>5285</v>
      </c>
    </row>
    <row r="2477" spans="1:17" x14ac:dyDescent="0.3">
      <c r="A2477" t="s">
        <v>33</v>
      </c>
      <c r="B2477" t="str">
        <f>"300350"</f>
        <v>300350</v>
      </c>
      <c r="C2477" t="s">
        <v>5286</v>
      </c>
      <c r="D2477" t="s">
        <v>1010</v>
      </c>
      <c r="E2477">
        <v>-12193007</v>
      </c>
      <c r="F2477">
        <v>154120786</v>
      </c>
      <c r="G2477">
        <v>-10881796</v>
      </c>
      <c r="H2477">
        <v>32519755</v>
      </c>
      <c r="I2477">
        <v>-823957</v>
      </c>
      <c r="J2477">
        <v>41676054</v>
      </c>
      <c r="K2477">
        <v>132682459</v>
      </c>
      <c r="L2477">
        <v>-16562829</v>
      </c>
      <c r="M2477">
        <v>-66338805</v>
      </c>
      <c r="N2477">
        <v>-67138319</v>
      </c>
      <c r="O2477">
        <v>-43318911</v>
      </c>
      <c r="P2477">
        <v>106</v>
      </c>
      <c r="Q2477" t="s">
        <v>5287</v>
      </c>
    </row>
    <row r="2478" spans="1:17" x14ac:dyDescent="0.3">
      <c r="A2478" t="s">
        <v>33</v>
      </c>
      <c r="B2478" t="str">
        <f>"002238"</f>
        <v>002238</v>
      </c>
      <c r="C2478" t="s">
        <v>5288</v>
      </c>
      <c r="D2478" t="s">
        <v>1074</v>
      </c>
      <c r="E2478">
        <v>-12244498</v>
      </c>
      <c r="F2478">
        <v>-32825788</v>
      </c>
      <c r="G2478">
        <v>20062070</v>
      </c>
      <c r="H2478">
        <v>29235515</v>
      </c>
      <c r="I2478">
        <v>68703655</v>
      </c>
      <c r="J2478">
        <v>55257601</v>
      </c>
      <c r="K2478">
        <v>99802072</v>
      </c>
      <c r="L2478">
        <v>103754767</v>
      </c>
      <c r="M2478">
        <v>73857138</v>
      </c>
      <c r="N2478">
        <v>30214654</v>
      </c>
      <c r="O2478">
        <v>71372562</v>
      </c>
      <c r="P2478">
        <v>205</v>
      </c>
      <c r="Q2478" t="s">
        <v>5289</v>
      </c>
    </row>
    <row r="2479" spans="1:17" x14ac:dyDescent="0.3">
      <c r="A2479" t="s">
        <v>33</v>
      </c>
      <c r="B2479" t="str">
        <f>"002933"</f>
        <v>002933</v>
      </c>
      <c r="C2479" t="s">
        <v>5290</v>
      </c>
      <c r="D2479" t="s">
        <v>2262</v>
      </c>
      <c r="E2479">
        <v>-12258109</v>
      </c>
      <c r="F2479">
        <v>-60144249</v>
      </c>
      <c r="G2479">
        <v>-20702981</v>
      </c>
      <c r="H2479">
        <v>-11501459</v>
      </c>
      <c r="I2479">
        <v>4160116</v>
      </c>
      <c r="P2479">
        <v>314</v>
      </c>
      <c r="Q2479" t="s">
        <v>5291</v>
      </c>
    </row>
    <row r="2480" spans="1:17" x14ac:dyDescent="0.3">
      <c r="A2480" t="s">
        <v>33</v>
      </c>
      <c r="B2480" t="str">
        <f>"300445"</f>
        <v>300445</v>
      </c>
      <c r="C2480" t="s">
        <v>5292</v>
      </c>
      <c r="D2480" t="s">
        <v>2417</v>
      </c>
      <c r="E2480">
        <v>-12307584</v>
      </c>
      <c r="F2480">
        <v>-17015015</v>
      </c>
      <c r="G2480">
        <v>-18521199</v>
      </c>
      <c r="H2480">
        <v>6012528</v>
      </c>
      <c r="I2480">
        <v>-2698087</v>
      </c>
      <c r="J2480">
        <v>-9237814</v>
      </c>
      <c r="K2480">
        <v>-10442712</v>
      </c>
      <c r="L2480">
        <v>-8211534</v>
      </c>
      <c r="M2480">
        <v>-9056537</v>
      </c>
      <c r="P2480">
        <v>169</v>
      </c>
      <c r="Q2480" t="s">
        <v>5293</v>
      </c>
    </row>
    <row r="2481" spans="1:17" x14ac:dyDescent="0.3">
      <c r="A2481" t="s">
        <v>33</v>
      </c>
      <c r="B2481" t="str">
        <f>"301079"</f>
        <v>301079</v>
      </c>
      <c r="C2481" t="s">
        <v>5294</v>
      </c>
      <c r="D2481" t="s">
        <v>1213</v>
      </c>
      <c r="E2481">
        <v>-12334279</v>
      </c>
      <c r="P2481">
        <v>22</v>
      </c>
      <c r="Q2481" t="s">
        <v>5295</v>
      </c>
    </row>
    <row r="2482" spans="1:17" x14ac:dyDescent="0.3">
      <c r="A2482" t="s">
        <v>33</v>
      </c>
      <c r="B2482" t="str">
        <f>"000620"</f>
        <v>000620</v>
      </c>
      <c r="C2482" t="s">
        <v>5296</v>
      </c>
      <c r="D2482" t="s">
        <v>167</v>
      </c>
      <c r="E2482">
        <v>-12350089</v>
      </c>
      <c r="F2482">
        <v>252695214</v>
      </c>
      <c r="G2482">
        <v>233297223</v>
      </c>
      <c r="H2482">
        <v>-36855385</v>
      </c>
      <c r="I2482">
        <v>-817423611</v>
      </c>
      <c r="J2482">
        <v>-1019311921</v>
      </c>
      <c r="K2482">
        <v>-1408899550</v>
      </c>
      <c r="L2482">
        <v>-1045690173</v>
      </c>
      <c r="M2482">
        <v>-959202606</v>
      </c>
      <c r="N2482">
        <v>-236216383</v>
      </c>
      <c r="O2482">
        <v>-296610640</v>
      </c>
      <c r="P2482">
        <v>298</v>
      </c>
      <c r="Q2482" t="s">
        <v>5297</v>
      </c>
    </row>
    <row r="2483" spans="1:17" x14ac:dyDescent="0.3">
      <c r="A2483" t="s">
        <v>17</v>
      </c>
      <c r="B2483" t="str">
        <f>"603069"</f>
        <v>603069</v>
      </c>
      <c r="C2483" t="s">
        <v>5298</v>
      </c>
      <c r="D2483" t="s">
        <v>1216</v>
      </c>
      <c r="E2483">
        <v>-12380008</v>
      </c>
      <c r="F2483">
        <v>-28336579</v>
      </c>
      <c r="G2483">
        <v>-57854618</v>
      </c>
      <c r="H2483">
        <v>65517330</v>
      </c>
      <c r="I2483">
        <v>90670120</v>
      </c>
      <c r="J2483">
        <v>44361034</v>
      </c>
      <c r="K2483">
        <v>71401400</v>
      </c>
      <c r="L2483">
        <v>115504300</v>
      </c>
      <c r="P2483">
        <v>98</v>
      </c>
      <c r="Q2483" t="s">
        <v>5299</v>
      </c>
    </row>
    <row r="2484" spans="1:17" x14ac:dyDescent="0.3">
      <c r="A2484" t="s">
        <v>17</v>
      </c>
      <c r="B2484" t="str">
        <f>"600265"</f>
        <v>600265</v>
      </c>
      <c r="C2484" t="s">
        <v>5300</v>
      </c>
      <c r="D2484" t="s">
        <v>3820</v>
      </c>
      <c r="E2484">
        <v>-12427652</v>
      </c>
      <c r="F2484">
        <v>12307054</v>
      </c>
      <c r="G2484">
        <v>1031506</v>
      </c>
      <c r="H2484">
        <v>-21794393</v>
      </c>
      <c r="I2484">
        <v>-1265620</v>
      </c>
      <c r="J2484">
        <v>-4377955</v>
      </c>
      <c r="K2484">
        <v>2135525</v>
      </c>
      <c r="L2484">
        <v>-1165315</v>
      </c>
      <c r="M2484">
        <v>-17904152</v>
      </c>
      <c r="N2484">
        <v>-517114</v>
      </c>
      <c r="O2484">
        <v>2114294</v>
      </c>
      <c r="P2484">
        <v>46</v>
      </c>
      <c r="Q2484" t="s">
        <v>5301</v>
      </c>
    </row>
    <row r="2485" spans="1:17" x14ac:dyDescent="0.3">
      <c r="A2485" t="s">
        <v>33</v>
      </c>
      <c r="B2485" t="str">
        <f>"003021"</f>
        <v>003021</v>
      </c>
      <c r="C2485" t="s">
        <v>5302</v>
      </c>
      <c r="D2485" t="s">
        <v>1091</v>
      </c>
      <c r="E2485">
        <v>-12507200</v>
      </c>
      <c r="F2485">
        <v>30501510</v>
      </c>
      <c r="G2485">
        <v>31962794</v>
      </c>
      <c r="P2485">
        <v>80</v>
      </c>
      <c r="Q2485" t="s">
        <v>5303</v>
      </c>
    </row>
    <row r="2486" spans="1:17" x14ac:dyDescent="0.3">
      <c r="A2486" t="s">
        <v>33</v>
      </c>
      <c r="B2486" t="str">
        <f>"000046"</f>
        <v>000046</v>
      </c>
      <c r="C2486" t="s">
        <v>5304</v>
      </c>
      <c r="D2486" t="s">
        <v>167</v>
      </c>
      <c r="E2486">
        <v>-12520688</v>
      </c>
      <c r="F2486">
        <v>3451455866</v>
      </c>
      <c r="G2486">
        <v>-1693132120</v>
      </c>
      <c r="H2486">
        <v>371710223</v>
      </c>
      <c r="I2486">
        <v>3395946484</v>
      </c>
      <c r="J2486">
        <v>-12739679799</v>
      </c>
      <c r="K2486">
        <v>-5829951183</v>
      </c>
      <c r="L2486">
        <v>-1332471291</v>
      </c>
      <c r="M2486">
        <v>-979943497</v>
      </c>
      <c r="N2486">
        <v>-1536748476</v>
      </c>
      <c r="O2486">
        <v>-365132954</v>
      </c>
      <c r="P2486">
        <v>210</v>
      </c>
      <c r="Q2486" t="s">
        <v>5305</v>
      </c>
    </row>
    <row r="2487" spans="1:17" x14ac:dyDescent="0.3">
      <c r="A2487" t="s">
        <v>33</v>
      </c>
      <c r="B2487" t="str">
        <f>"002159"</f>
        <v>002159</v>
      </c>
      <c r="C2487" t="s">
        <v>5306</v>
      </c>
      <c r="D2487" t="s">
        <v>5307</v>
      </c>
      <c r="E2487">
        <v>-12553369</v>
      </c>
      <c r="F2487">
        <v>-21443388</v>
      </c>
      <c r="G2487">
        <v>-46147897</v>
      </c>
      <c r="H2487">
        <v>-5446169</v>
      </c>
      <c r="I2487">
        <v>18846305</v>
      </c>
      <c r="J2487">
        <v>-13251723</v>
      </c>
      <c r="K2487">
        <v>-33681912</v>
      </c>
      <c r="L2487">
        <v>-22404753</v>
      </c>
      <c r="M2487">
        <v>12102409</v>
      </c>
      <c r="N2487">
        <v>-7387479</v>
      </c>
      <c r="O2487">
        <v>-8011503</v>
      </c>
      <c r="P2487">
        <v>119</v>
      </c>
      <c r="Q2487" t="s">
        <v>5308</v>
      </c>
    </row>
    <row r="2488" spans="1:17" x14ac:dyDescent="0.3">
      <c r="A2488" t="s">
        <v>17</v>
      </c>
      <c r="B2488" t="str">
        <f>"605580"</f>
        <v>605580</v>
      </c>
      <c r="C2488" t="s">
        <v>5309</v>
      </c>
      <c r="D2488" t="s">
        <v>1094</v>
      </c>
      <c r="E2488">
        <v>-12581106</v>
      </c>
      <c r="F2488">
        <v>36519259</v>
      </c>
      <c r="G2488">
        <v>-23789842</v>
      </c>
      <c r="P2488">
        <v>30</v>
      </c>
      <c r="Q2488" t="s">
        <v>5310</v>
      </c>
    </row>
    <row r="2489" spans="1:17" x14ac:dyDescent="0.3">
      <c r="A2489" t="s">
        <v>33</v>
      </c>
      <c r="B2489" t="str">
        <f>"301110"</f>
        <v>301110</v>
      </c>
      <c r="C2489" t="s">
        <v>5311</v>
      </c>
      <c r="E2489">
        <v>-12635277</v>
      </c>
      <c r="F2489">
        <v>22445828</v>
      </c>
      <c r="P2489">
        <v>9</v>
      </c>
      <c r="Q2489" t="s">
        <v>5312</v>
      </c>
    </row>
    <row r="2490" spans="1:17" x14ac:dyDescent="0.3">
      <c r="A2490" t="s">
        <v>17</v>
      </c>
      <c r="B2490" t="str">
        <f>"600721"</f>
        <v>600721</v>
      </c>
      <c r="C2490" t="s">
        <v>5313</v>
      </c>
      <c r="D2490" t="s">
        <v>846</v>
      </c>
      <c r="E2490">
        <v>-12682485</v>
      </c>
      <c r="F2490">
        <v>-13620328</v>
      </c>
      <c r="G2490">
        <v>-21235073</v>
      </c>
      <c r="H2490">
        <v>-48569318</v>
      </c>
      <c r="I2490">
        <v>3903750</v>
      </c>
      <c r="J2490">
        <v>27682879</v>
      </c>
      <c r="K2490">
        <v>-88149850</v>
      </c>
      <c r="L2490">
        <v>-19640909</v>
      </c>
      <c r="M2490">
        <v>71906181</v>
      </c>
      <c r="N2490">
        <v>-2021502</v>
      </c>
      <c r="O2490">
        <v>-61568418</v>
      </c>
      <c r="P2490">
        <v>78</v>
      </c>
      <c r="Q2490" t="s">
        <v>5314</v>
      </c>
    </row>
    <row r="2491" spans="1:17" x14ac:dyDescent="0.3">
      <c r="A2491" t="s">
        <v>33</v>
      </c>
      <c r="B2491" t="str">
        <f>"300006"</f>
        <v>300006</v>
      </c>
      <c r="C2491" t="s">
        <v>5315</v>
      </c>
      <c r="D2491" t="s">
        <v>590</v>
      </c>
      <c r="E2491">
        <v>-12698606</v>
      </c>
      <c r="F2491">
        <v>10762665</v>
      </c>
      <c r="G2491">
        <v>2274425</v>
      </c>
      <c r="H2491">
        <v>17759538</v>
      </c>
      <c r="I2491">
        <v>-11975436</v>
      </c>
      <c r="J2491">
        <v>-26840021</v>
      </c>
      <c r="K2491">
        <v>-16088637</v>
      </c>
      <c r="L2491">
        <v>-19824055</v>
      </c>
      <c r="M2491">
        <v>-32142242</v>
      </c>
      <c r="N2491">
        <v>-41119621</v>
      </c>
      <c r="O2491">
        <v>-43169687</v>
      </c>
      <c r="P2491">
        <v>136</v>
      </c>
      <c r="Q2491" t="s">
        <v>5316</v>
      </c>
    </row>
    <row r="2492" spans="1:17" x14ac:dyDescent="0.3">
      <c r="A2492" t="s">
        <v>33</v>
      </c>
      <c r="B2492" t="str">
        <f>"003036"</f>
        <v>003036</v>
      </c>
      <c r="C2492" t="s">
        <v>5317</v>
      </c>
      <c r="D2492" t="s">
        <v>2847</v>
      </c>
      <c r="E2492">
        <v>-12818099</v>
      </c>
      <c r="F2492">
        <v>-31309915</v>
      </c>
      <c r="G2492">
        <v>2062694</v>
      </c>
      <c r="H2492">
        <v>21441734</v>
      </c>
      <c r="P2492">
        <v>37</v>
      </c>
      <c r="Q2492" t="s">
        <v>5318</v>
      </c>
    </row>
    <row r="2493" spans="1:17" x14ac:dyDescent="0.3">
      <c r="A2493" t="s">
        <v>33</v>
      </c>
      <c r="B2493" t="str">
        <f>"300141"</f>
        <v>300141</v>
      </c>
      <c r="C2493" t="s">
        <v>5319</v>
      </c>
      <c r="D2493" t="s">
        <v>675</v>
      </c>
      <c r="E2493">
        <v>-12844137</v>
      </c>
      <c r="F2493">
        <v>-20169396</v>
      </c>
      <c r="G2493">
        <v>5667759</v>
      </c>
      <c r="H2493">
        <v>-35493958</v>
      </c>
      <c r="I2493">
        <v>-104620542</v>
      </c>
      <c r="J2493">
        <v>-2238418</v>
      </c>
      <c r="K2493">
        <v>-28890236</v>
      </c>
      <c r="L2493">
        <v>-51341338</v>
      </c>
      <c r="M2493">
        <v>-46540987</v>
      </c>
      <c r="N2493">
        <v>-3455304</v>
      </c>
      <c r="O2493">
        <v>-54501846</v>
      </c>
      <c r="P2493">
        <v>91</v>
      </c>
      <c r="Q2493" t="s">
        <v>5320</v>
      </c>
    </row>
    <row r="2494" spans="1:17" x14ac:dyDescent="0.3">
      <c r="A2494" t="s">
        <v>33</v>
      </c>
      <c r="B2494" t="str">
        <f>"300859"</f>
        <v>300859</v>
      </c>
      <c r="C2494" t="s">
        <v>5321</v>
      </c>
      <c r="D2494" t="s">
        <v>5307</v>
      </c>
      <c r="E2494">
        <v>-12863521</v>
      </c>
      <c r="F2494">
        <v>-3101194</v>
      </c>
      <c r="G2494">
        <v>-15701260</v>
      </c>
      <c r="H2494">
        <v>-13411298</v>
      </c>
      <c r="P2494">
        <v>69</v>
      </c>
      <c r="Q2494" t="s">
        <v>5322</v>
      </c>
    </row>
    <row r="2495" spans="1:17" x14ac:dyDescent="0.3">
      <c r="A2495" t="s">
        <v>33</v>
      </c>
      <c r="B2495" t="str">
        <f>"301025"</f>
        <v>301025</v>
      </c>
      <c r="C2495" t="s">
        <v>5323</v>
      </c>
      <c r="D2495" t="s">
        <v>1501</v>
      </c>
      <c r="E2495">
        <v>-12941685</v>
      </c>
      <c r="F2495">
        <v>-21648484</v>
      </c>
      <c r="G2495">
        <v>-11252200</v>
      </c>
      <c r="P2495">
        <v>24</v>
      </c>
      <c r="Q2495" t="s">
        <v>5324</v>
      </c>
    </row>
    <row r="2496" spans="1:17" x14ac:dyDescent="0.3">
      <c r="A2496" t="s">
        <v>17</v>
      </c>
      <c r="B2496" t="str">
        <f>"600091"</f>
        <v>600091</v>
      </c>
      <c r="C2496" t="s">
        <v>5325</v>
      </c>
      <c r="D2496" t="s">
        <v>496</v>
      </c>
      <c r="E2496">
        <v>-12960587</v>
      </c>
      <c r="F2496">
        <v>-13929047</v>
      </c>
      <c r="G2496">
        <v>-14961579</v>
      </c>
      <c r="H2496">
        <v>-14449519</v>
      </c>
      <c r="I2496">
        <v>-21173016</v>
      </c>
      <c r="J2496">
        <v>15331799</v>
      </c>
      <c r="K2496">
        <v>-23248459</v>
      </c>
      <c r="L2496">
        <v>-15289073</v>
      </c>
      <c r="M2496">
        <v>-6690259</v>
      </c>
      <c r="N2496">
        <v>-20771142</v>
      </c>
      <c r="O2496">
        <v>-13348606</v>
      </c>
      <c r="P2496">
        <v>58</v>
      </c>
      <c r="Q2496" t="s">
        <v>5326</v>
      </c>
    </row>
    <row r="2497" spans="1:17" x14ac:dyDescent="0.3">
      <c r="A2497" t="s">
        <v>33</v>
      </c>
      <c r="B2497" t="str">
        <f>"003027"</f>
        <v>003027</v>
      </c>
      <c r="C2497" t="s">
        <v>5327</v>
      </c>
      <c r="D2497" t="s">
        <v>3158</v>
      </c>
      <c r="E2497">
        <v>-13020520</v>
      </c>
      <c r="F2497">
        <v>-38995255</v>
      </c>
      <c r="G2497">
        <v>42009203</v>
      </c>
      <c r="P2497">
        <v>58</v>
      </c>
      <c r="Q2497" t="s">
        <v>5328</v>
      </c>
    </row>
    <row r="2498" spans="1:17" x14ac:dyDescent="0.3">
      <c r="A2498" t="s">
        <v>33</v>
      </c>
      <c r="B2498" t="str">
        <f>"300328"</f>
        <v>300328</v>
      </c>
      <c r="C2498" t="s">
        <v>5329</v>
      </c>
      <c r="D2498" t="s">
        <v>720</v>
      </c>
      <c r="E2498">
        <v>-13029867</v>
      </c>
      <c r="F2498">
        <v>8285197</v>
      </c>
      <c r="G2498">
        <v>126578635</v>
      </c>
      <c r="H2498">
        <v>-20403912</v>
      </c>
      <c r="I2498">
        <v>-27411541</v>
      </c>
      <c r="J2498">
        <v>31190251</v>
      </c>
      <c r="K2498">
        <v>13617094</v>
      </c>
      <c r="L2498">
        <v>26758396</v>
      </c>
      <c r="M2498">
        <v>36399268</v>
      </c>
      <c r="N2498">
        <v>21164457</v>
      </c>
      <c r="O2498">
        <v>5071169</v>
      </c>
      <c r="P2498">
        <v>232</v>
      </c>
      <c r="Q2498" t="s">
        <v>5330</v>
      </c>
    </row>
    <row r="2499" spans="1:17" x14ac:dyDescent="0.3">
      <c r="A2499" t="s">
        <v>17</v>
      </c>
      <c r="B2499" t="str">
        <f>"688069"</f>
        <v>688069</v>
      </c>
      <c r="C2499" t="s">
        <v>5331</v>
      </c>
      <c r="D2499" t="s">
        <v>932</v>
      </c>
      <c r="E2499">
        <v>-13099147</v>
      </c>
      <c r="F2499">
        <v>-76455359</v>
      </c>
      <c r="G2499">
        <v>-29377379</v>
      </c>
      <c r="H2499">
        <v>-27469605</v>
      </c>
      <c r="P2499">
        <v>79</v>
      </c>
      <c r="Q2499" t="s">
        <v>5332</v>
      </c>
    </row>
    <row r="2500" spans="1:17" x14ac:dyDescent="0.3">
      <c r="A2500" t="s">
        <v>33</v>
      </c>
      <c r="B2500" t="str">
        <f>"300392"</f>
        <v>300392</v>
      </c>
      <c r="C2500" t="s">
        <v>5333</v>
      </c>
      <c r="D2500" t="s">
        <v>1125</v>
      </c>
      <c r="E2500">
        <v>-13144112</v>
      </c>
      <c r="F2500">
        <v>-82661977</v>
      </c>
      <c r="G2500">
        <v>-41975939</v>
      </c>
      <c r="H2500">
        <v>-381286119</v>
      </c>
      <c r="I2500">
        <v>30748127</v>
      </c>
      <c r="J2500">
        <v>13303794</v>
      </c>
      <c r="K2500">
        <v>48888323</v>
      </c>
      <c r="L2500">
        <v>-51989856</v>
      </c>
      <c r="M2500">
        <v>-32767233</v>
      </c>
      <c r="P2500">
        <v>66</v>
      </c>
      <c r="Q2500" t="s">
        <v>5334</v>
      </c>
    </row>
    <row r="2501" spans="1:17" x14ac:dyDescent="0.3">
      <c r="A2501" t="s">
        <v>33</v>
      </c>
      <c r="B2501" t="str">
        <f>"300711"</f>
        <v>300711</v>
      </c>
      <c r="C2501" t="s">
        <v>5335</v>
      </c>
      <c r="D2501" t="s">
        <v>2475</v>
      </c>
      <c r="E2501">
        <v>-13146732</v>
      </c>
      <c r="F2501">
        <v>-33256759</v>
      </c>
      <c r="G2501">
        <v>16972172</v>
      </c>
      <c r="H2501">
        <v>500288</v>
      </c>
      <c r="I2501">
        <v>-8649382</v>
      </c>
      <c r="J2501">
        <v>-17600489</v>
      </c>
      <c r="P2501">
        <v>130</v>
      </c>
      <c r="Q2501" t="s">
        <v>5336</v>
      </c>
    </row>
    <row r="2502" spans="1:17" x14ac:dyDescent="0.3">
      <c r="A2502" t="s">
        <v>33</v>
      </c>
      <c r="B2502" t="str">
        <f>"000809"</f>
        <v>000809</v>
      </c>
      <c r="C2502" t="s">
        <v>5337</v>
      </c>
      <c r="D2502" t="s">
        <v>167</v>
      </c>
      <c r="E2502">
        <v>-13151123</v>
      </c>
      <c r="F2502">
        <v>-43319060</v>
      </c>
      <c r="G2502">
        <v>10401103</v>
      </c>
      <c r="H2502">
        <v>32101405</v>
      </c>
      <c r="I2502">
        <v>33508311</v>
      </c>
      <c r="J2502">
        <v>-49268221</v>
      </c>
      <c r="K2502">
        <v>-188614981</v>
      </c>
      <c r="L2502">
        <v>-41569723</v>
      </c>
      <c r="M2502">
        <v>-468931450</v>
      </c>
      <c r="N2502">
        <v>-132044124</v>
      </c>
      <c r="O2502">
        <v>-85084322</v>
      </c>
      <c r="P2502">
        <v>72</v>
      </c>
      <c r="Q2502" t="s">
        <v>5338</v>
      </c>
    </row>
    <row r="2503" spans="1:17" x14ac:dyDescent="0.3">
      <c r="A2503" t="s">
        <v>17</v>
      </c>
      <c r="B2503" t="str">
        <f>"603985"</f>
        <v>603985</v>
      </c>
      <c r="C2503" t="s">
        <v>5339</v>
      </c>
      <c r="D2503" t="s">
        <v>164</v>
      </c>
      <c r="E2503">
        <v>-13219196</v>
      </c>
      <c r="F2503">
        <v>-4552145</v>
      </c>
      <c r="G2503">
        <v>13041102</v>
      </c>
      <c r="H2503">
        <v>-95022553</v>
      </c>
      <c r="I2503">
        <v>-44532938</v>
      </c>
      <c r="J2503">
        <v>48593684</v>
      </c>
      <c r="K2503">
        <v>-36938926</v>
      </c>
      <c r="P2503">
        <v>218</v>
      </c>
      <c r="Q2503" t="s">
        <v>5340</v>
      </c>
    </row>
    <row r="2504" spans="1:17" x14ac:dyDescent="0.3">
      <c r="A2504" t="s">
        <v>33</v>
      </c>
      <c r="B2504" t="str">
        <f>"300069"</f>
        <v>300069</v>
      </c>
      <c r="C2504" t="s">
        <v>5341</v>
      </c>
      <c r="D2504" t="s">
        <v>1282</v>
      </c>
      <c r="E2504">
        <v>-13240017</v>
      </c>
      <c r="F2504">
        <v>-22282005</v>
      </c>
      <c r="G2504">
        <v>2848163</v>
      </c>
      <c r="H2504">
        <v>10292944</v>
      </c>
      <c r="I2504">
        <v>30702136</v>
      </c>
      <c r="J2504">
        <v>-7545921</v>
      </c>
      <c r="K2504">
        <v>-6887011</v>
      </c>
      <c r="L2504">
        <v>743365</v>
      </c>
      <c r="M2504">
        <v>-11813009</v>
      </c>
      <c r="N2504">
        <v>43178662</v>
      </c>
      <c r="O2504">
        <v>-8945482</v>
      </c>
      <c r="P2504">
        <v>57</v>
      </c>
      <c r="Q2504" t="s">
        <v>5342</v>
      </c>
    </row>
    <row r="2505" spans="1:17" x14ac:dyDescent="0.3">
      <c r="A2505" t="s">
        <v>17</v>
      </c>
      <c r="B2505" t="str">
        <f>"688092"</f>
        <v>688092</v>
      </c>
      <c r="C2505" t="s">
        <v>5343</v>
      </c>
      <c r="D2505" t="s">
        <v>1895</v>
      </c>
      <c r="E2505">
        <v>-13241140</v>
      </c>
      <c r="F2505">
        <v>-14584767</v>
      </c>
      <c r="G2505">
        <v>-5423779</v>
      </c>
      <c r="P2505">
        <v>29</v>
      </c>
      <c r="Q2505" t="s">
        <v>5344</v>
      </c>
    </row>
    <row r="2506" spans="1:17" x14ac:dyDescent="0.3">
      <c r="A2506" t="s">
        <v>33</v>
      </c>
      <c r="B2506" t="str">
        <f>"300344"</f>
        <v>300344</v>
      </c>
      <c r="C2506" t="s">
        <v>5345</v>
      </c>
      <c r="D2506" t="s">
        <v>807</v>
      </c>
      <c r="E2506">
        <v>-13249884</v>
      </c>
      <c r="F2506">
        <v>-32306899</v>
      </c>
      <c r="G2506">
        <v>-9613583</v>
      </c>
      <c r="H2506">
        <v>-9548284</v>
      </c>
      <c r="I2506">
        <v>43555261</v>
      </c>
      <c r="J2506">
        <v>-21126383</v>
      </c>
      <c r="K2506">
        <v>-32254599</v>
      </c>
      <c r="L2506">
        <v>37257758</v>
      </c>
      <c r="M2506">
        <v>3608851</v>
      </c>
      <c r="N2506">
        <v>-8444925</v>
      </c>
      <c r="O2506">
        <v>-37818269</v>
      </c>
      <c r="P2506">
        <v>64</v>
      </c>
      <c r="Q2506" t="s">
        <v>5346</v>
      </c>
    </row>
    <row r="2507" spans="1:17" x14ac:dyDescent="0.3">
      <c r="A2507" t="s">
        <v>33</v>
      </c>
      <c r="B2507" t="str">
        <f>"002843"</f>
        <v>002843</v>
      </c>
      <c r="C2507" t="s">
        <v>5347</v>
      </c>
      <c r="D2507" t="s">
        <v>164</v>
      </c>
      <c r="E2507">
        <v>-13297402</v>
      </c>
      <c r="F2507">
        <v>18149844</v>
      </c>
      <c r="G2507">
        <v>-2080171</v>
      </c>
      <c r="H2507">
        <v>28050750</v>
      </c>
      <c r="I2507">
        <v>16593161</v>
      </c>
      <c r="J2507">
        <v>10208540</v>
      </c>
      <c r="K2507">
        <v>22831308</v>
      </c>
      <c r="P2507">
        <v>74</v>
      </c>
      <c r="Q2507" t="s">
        <v>5348</v>
      </c>
    </row>
    <row r="2508" spans="1:17" x14ac:dyDescent="0.3">
      <c r="A2508" t="s">
        <v>17</v>
      </c>
      <c r="B2508" t="str">
        <f>"688021"</f>
        <v>688021</v>
      </c>
      <c r="C2508" t="s">
        <v>5349</v>
      </c>
      <c r="D2508" t="s">
        <v>1419</v>
      </c>
      <c r="E2508">
        <v>-13365142</v>
      </c>
      <c r="F2508">
        <v>-23068738</v>
      </c>
      <c r="G2508">
        <v>-13156913</v>
      </c>
      <c r="H2508">
        <v>2548132</v>
      </c>
      <c r="P2508">
        <v>79</v>
      </c>
      <c r="Q2508" t="s">
        <v>5350</v>
      </c>
    </row>
    <row r="2509" spans="1:17" x14ac:dyDescent="0.3">
      <c r="A2509" t="s">
        <v>33</v>
      </c>
      <c r="B2509" t="str">
        <f>"002719"</f>
        <v>002719</v>
      </c>
      <c r="C2509" t="s">
        <v>5351</v>
      </c>
      <c r="D2509" t="s">
        <v>918</v>
      </c>
      <c r="E2509">
        <v>-13395462</v>
      </c>
      <c r="F2509">
        <v>-10218446</v>
      </c>
      <c r="G2509">
        <v>-39136848</v>
      </c>
      <c r="H2509">
        <v>-31835997</v>
      </c>
      <c r="I2509">
        <v>-32643051</v>
      </c>
      <c r="J2509">
        <v>-44671387</v>
      </c>
      <c r="K2509">
        <v>-91335233</v>
      </c>
      <c r="L2509">
        <v>-3617600</v>
      </c>
      <c r="M2509">
        <v>-19060371</v>
      </c>
      <c r="N2509">
        <v>-1300260</v>
      </c>
      <c r="P2509">
        <v>97</v>
      </c>
      <c r="Q2509" t="s">
        <v>5352</v>
      </c>
    </row>
    <row r="2510" spans="1:17" x14ac:dyDescent="0.3">
      <c r="A2510" t="s">
        <v>17</v>
      </c>
      <c r="B2510" t="str">
        <f>"688290"</f>
        <v>688290</v>
      </c>
      <c r="C2510" t="s">
        <v>5353</v>
      </c>
      <c r="E2510">
        <v>-13438441</v>
      </c>
      <c r="P2510">
        <v>0</v>
      </c>
      <c r="Q2510" t="s">
        <v>5354</v>
      </c>
    </row>
    <row r="2511" spans="1:17" x14ac:dyDescent="0.3">
      <c r="A2511" t="s">
        <v>33</v>
      </c>
      <c r="B2511" t="str">
        <f>"300706"</f>
        <v>300706</v>
      </c>
      <c r="C2511" t="s">
        <v>5355</v>
      </c>
      <c r="D2511" t="s">
        <v>1177</v>
      </c>
      <c r="E2511">
        <v>-13448861</v>
      </c>
      <c r="F2511">
        <v>-3331626</v>
      </c>
      <c r="G2511">
        <v>-14766853</v>
      </c>
      <c r="H2511">
        <v>-476418</v>
      </c>
      <c r="I2511">
        <v>8177874</v>
      </c>
      <c r="J2511">
        <v>-10114093</v>
      </c>
      <c r="P2511">
        <v>178</v>
      </c>
      <c r="Q2511" t="s">
        <v>5356</v>
      </c>
    </row>
    <row r="2512" spans="1:17" x14ac:dyDescent="0.3">
      <c r="A2512" t="s">
        <v>33</v>
      </c>
      <c r="B2512" t="str">
        <f>"002404"</f>
        <v>002404</v>
      </c>
      <c r="C2512" t="s">
        <v>5357</v>
      </c>
      <c r="D2512" t="s">
        <v>1292</v>
      </c>
      <c r="E2512">
        <v>-13546474</v>
      </c>
      <c r="F2512">
        <v>64331038</v>
      </c>
      <c r="G2512">
        <v>52346976</v>
      </c>
      <c r="H2512">
        <v>63898314</v>
      </c>
      <c r="I2512">
        <v>180976099</v>
      </c>
      <c r="J2512">
        <v>84271822</v>
      </c>
      <c r="K2512">
        <v>18676392</v>
      </c>
      <c r="L2512">
        <v>47171235</v>
      </c>
      <c r="M2512">
        <v>-22870680</v>
      </c>
      <c r="N2512">
        <v>5686733</v>
      </c>
      <c r="O2512">
        <v>31521188</v>
      </c>
      <c r="P2512">
        <v>108</v>
      </c>
      <c r="Q2512" t="s">
        <v>5358</v>
      </c>
    </row>
    <row r="2513" spans="1:17" x14ac:dyDescent="0.3">
      <c r="A2513" t="s">
        <v>33</v>
      </c>
      <c r="B2513" t="str">
        <f>"300526"</f>
        <v>300526</v>
      </c>
      <c r="C2513" t="s">
        <v>5359</v>
      </c>
      <c r="D2513" t="s">
        <v>1680</v>
      </c>
      <c r="E2513">
        <v>-13548820</v>
      </c>
      <c r="F2513">
        <v>9420250</v>
      </c>
      <c r="G2513">
        <v>-11571310</v>
      </c>
      <c r="H2513">
        <v>-12672388</v>
      </c>
      <c r="I2513">
        <v>3436688</v>
      </c>
      <c r="J2513">
        <v>6753287</v>
      </c>
      <c r="K2513">
        <v>2279327</v>
      </c>
      <c r="P2513">
        <v>104</v>
      </c>
      <c r="Q2513" t="s">
        <v>5360</v>
      </c>
    </row>
    <row r="2514" spans="1:17" x14ac:dyDescent="0.3">
      <c r="A2514" t="s">
        <v>17</v>
      </c>
      <c r="B2514" t="str">
        <f>"605258"</f>
        <v>605258</v>
      </c>
      <c r="C2514" t="s">
        <v>5361</v>
      </c>
      <c r="D2514" t="s">
        <v>239</v>
      </c>
      <c r="E2514">
        <v>-13593424</v>
      </c>
      <c r="F2514">
        <v>-12705988</v>
      </c>
      <c r="G2514">
        <v>-573534</v>
      </c>
      <c r="P2514">
        <v>51</v>
      </c>
      <c r="Q2514" t="s">
        <v>5362</v>
      </c>
    </row>
    <row r="2515" spans="1:17" x14ac:dyDescent="0.3">
      <c r="A2515" t="s">
        <v>33</v>
      </c>
      <c r="B2515" t="str">
        <f>"301068"</f>
        <v>301068</v>
      </c>
      <c r="C2515" t="s">
        <v>5363</v>
      </c>
      <c r="D2515" t="s">
        <v>897</v>
      </c>
      <c r="E2515">
        <v>-13627808</v>
      </c>
      <c r="P2515">
        <v>14</v>
      </c>
      <c r="Q2515" t="s">
        <v>5364</v>
      </c>
    </row>
    <row r="2516" spans="1:17" x14ac:dyDescent="0.3">
      <c r="A2516" t="s">
        <v>17</v>
      </c>
      <c r="B2516" t="str">
        <f>"603931"</f>
        <v>603931</v>
      </c>
      <c r="C2516" t="s">
        <v>5365</v>
      </c>
      <c r="D2516" t="s">
        <v>1330</v>
      </c>
      <c r="E2516">
        <v>-13641890</v>
      </c>
      <c r="F2516">
        <v>1659627</v>
      </c>
      <c r="G2516">
        <v>28872037</v>
      </c>
      <c r="H2516">
        <v>42663794</v>
      </c>
      <c r="P2516">
        <v>88</v>
      </c>
      <c r="Q2516" t="s">
        <v>5366</v>
      </c>
    </row>
    <row r="2517" spans="1:17" x14ac:dyDescent="0.3">
      <c r="A2517" t="s">
        <v>33</v>
      </c>
      <c r="B2517" t="str">
        <f>"300134"</f>
        <v>300134</v>
      </c>
      <c r="C2517" t="s">
        <v>5367</v>
      </c>
      <c r="D2517" t="s">
        <v>461</v>
      </c>
      <c r="E2517">
        <v>-13731912</v>
      </c>
      <c r="F2517">
        <v>33500058</v>
      </c>
      <c r="G2517">
        <v>119158278</v>
      </c>
      <c r="H2517">
        <v>231369182</v>
      </c>
      <c r="I2517">
        <v>8152958</v>
      </c>
      <c r="J2517">
        <v>-13078376</v>
      </c>
      <c r="K2517">
        <v>34281666</v>
      </c>
      <c r="L2517">
        <v>116819117</v>
      </c>
      <c r="M2517">
        <v>45258455</v>
      </c>
      <c r="N2517">
        <v>88738150</v>
      </c>
      <c r="O2517">
        <v>31206693</v>
      </c>
      <c r="P2517">
        <v>342</v>
      </c>
      <c r="Q2517" t="s">
        <v>5368</v>
      </c>
    </row>
    <row r="2518" spans="1:17" x14ac:dyDescent="0.3">
      <c r="A2518" t="s">
        <v>33</v>
      </c>
      <c r="B2518" t="str">
        <f>"300561"</f>
        <v>300561</v>
      </c>
      <c r="C2518" t="s">
        <v>5369</v>
      </c>
      <c r="D2518" t="s">
        <v>807</v>
      </c>
      <c r="E2518">
        <v>-13754598</v>
      </c>
      <c r="F2518">
        <v>-22721288</v>
      </c>
      <c r="G2518">
        <v>-16000202</v>
      </c>
      <c r="H2518">
        <v>-22918875</v>
      </c>
      <c r="I2518">
        <v>-48655191</v>
      </c>
      <c r="J2518">
        <v>-21367875</v>
      </c>
      <c r="K2518">
        <v>-10025692</v>
      </c>
      <c r="P2518">
        <v>114</v>
      </c>
      <c r="Q2518" t="s">
        <v>5370</v>
      </c>
    </row>
    <row r="2519" spans="1:17" x14ac:dyDescent="0.3">
      <c r="A2519" t="s">
        <v>33</v>
      </c>
      <c r="B2519" t="str">
        <f>"002190"</f>
        <v>002190</v>
      </c>
      <c r="C2519" t="s">
        <v>5371</v>
      </c>
      <c r="D2519" t="s">
        <v>2262</v>
      </c>
      <c r="E2519">
        <v>-13760089</v>
      </c>
      <c r="F2519">
        <v>-23838743</v>
      </c>
      <c r="G2519">
        <v>13965448</v>
      </c>
      <c r="H2519">
        <v>-30967431</v>
      </c>
      <c r="I2519">
        <v>-204313989</v>
      </c>
      <c r="J2519">
        <v>90726421</v>
      </c>
      <c r="K2519">
        <v>-19988480</v>
      </c>
      <c r="L2519">
        <v>-85752302</v>
      </c>
      <c r="M2519">
        <v>-37484820</v>
      </c>
      <c r="N2519">
        <v>-7568193</v>
      </c>
      <c r="O2519">
        <v>-88962161</v>
      </c>
      <c r="P2519">
        <v>184</v>
      </c>
      <c r="Q2519" t="s">
        <v>5372</v>
      </c>
    </row>
    <row r="2520" spans="1:17" x14ac:dyDescent="0.3">
      <c r="A2520" t="s">
        <v>33</v>
      </c>
      <c r="B2520" t="str">
        <f>"300965"</f>
        <v>300965</v>
      </c>
      <c r="C2520" t="s">
        <v>5373</v>
      </c>
      <c r="D2520" t="s">
        <v>2262</v>
      </c>
      <c r="E2520">
        <v>-13769955</v>
      </c>
      <c r="F2520">
        <v>61525241</v>
      </c>
      <c r="G2520">
        <v>34151075</v>
      </c>
      <c r="P2520">
        <v>31</v>
      </c>
      <c r="Q2520" t="s">
        <v>5374</v>
      </c>
    </row>
    <row r="2521" spans="1:17" x14ac:dyDescent="0.3">
      <c r="A2521" t="s">
        <v>17</v>
      </c>
      <c r="B2521" t="str">
        <f>"600119"</f>
        <v>600119</v>
      </c>
      <c r="C2521" t="s">
        <v>5375</v>
      </c>
      <c r="D2521" t="s">
        <v>272</v>
      </c>
      <c r="E2521">
        <v>-13774564</v>
      </c>
      <c r="F2521">
        <v>-9771682</v>
      </c>
      <c r="G2521">
        <v>-9744993</v>
      </c>
      <c r="H2521">
        <v>26830080</v>
      </c>
      <c r="I2521">
        <v>82826143</v>
      </c>
      <c r="J2521">
        <v>-70035631</v>
      </c>
      <c r="K2521">
        <v>-11798493</v>
      </c>
      <c r="L2521">
        <v>83941684</v>
      </c>
      <c r="M2521">
        <v>95706612</v>
      </c>
      <c r="N2521">
        <v>-64417061</v>
      </c>
      <c r="O2521">
        <v>-29440460</v>
      </c>
      <c r="P2521">
        <v>55</v>
      </c>
      <c r="Q2521" t="s">
        <v>5376</v>
      </c>
    </row>
    <row r="2522" spans="1:17" x14ac:dyDescent="0.3">
      <c r="A2522" t="s">
        <v>33</v>
      </c>
      <c r="B2522" t="str">
        <f>"002449"</f>
        <v>002449</v>
      </c>
      <c r="C2522" t="s">
        <v>5377</v>
      </c>
      <c r="D2522" t="s">
        <v>1299</v>
      </c>
      <c r="E2522">
        <v>-13776983</v>
      </c>
      <c r="F2522">
        <v>128788499</v>
      </c>
      <c r="G2522">
        <v>229038713</v>
      </c>
      <c r="H2522">
        <v>271467766</v>
      </c>
      <c r="I2522">
        <v>56898662</v>
      </c>
      <c r="J2522">
        <v>94895606</v>
      </c>
      <c r="K2522">
        <v>61841292</v>
      </c>
      <c r="L2522">
        <v>-7602412</v>
      </c>
      <c r="M2522">
        <v>-20304354</v>
      </c>
      <c r="N2522">
        <v>161647219</v>
      </c>
      <c r="O2522">
        <v>28778546</v>
      </c>
      <c r="P2522">
        <v>392</v>
      </c>
      <c r="Q2522" t="s">
        <v>5378</v>
      </c>
    </row>
    <row r="2523" spans="1:17" x14ac:dyDescent="0.3">
      <c r="A2523" t="s">
        <v>17</v>
      </c>
      <c r="B2523" t="str">
        <f>"688022"</f>
        <v>688022</v>
      </c>
      <c r="C2523" t="s">
        <v>5379</v>
      </c>
      <c r="D2523" t="s">
        <v>1895</v>
      </c>
      <c r="E2523">
        <v>-13828875</v>
      </c>
      <c r="F2523">
        <v>-132922718</v>
      </c>
      <c r="G2523">
        <v>-48411015</v>
      </c>
      <c r="H2523">
        <v>-38144467</v>
      </c>
      <c r="I2523">
        <v>-18700700</v>
      </c>
      <c r="P2523">
        <v>164</v>
      </c>
      <c r="Q2523" t="s">
        <v>5380</v>
      </c>
    </row>
    <row r="2524" spans="1:17" x14ac:dyDescent="0.3">
      <c r="A2524" t="s">
        <v>17</v>
      </c>
      <c r="B2524" t="str">
        <f>"603213"</f>
        <v>603213</v>
      </c>
      <c r="C2524" t="s">
        <v>5381</v>
      </c>
      <c r="D2524" t="s">
        <v>496</v>
      </c>
      <c r="E2524">
        <v>-13866007</v>
      </c>
      <c r="G2524">
        <v>36528262</v>
      </c>
      <c r="P2524">
        <v>32</v>
      </c>
      <c r="Q2524" t="s">
        <v>5382</v>
      </c>
    </row>
    <row r="2525" spans="1:17" x14ac:dyDescent="0.3">
      <c r="A2525" t="s">
        <v>33</v>
      </c>
      <c r="B2525" t="str">
        <f>"000005"</f>
        <v>000005</v>
      </c>
      <c r="C2525" t="s">
        <v>5383</v>
      </c>
      <c r="D2525" t="s">
        <v>2171</v>
      </c>
      <c r="E2525">
        <v>-13916447</v>
      </c>
      <c r="F2525">
        <v>-31904647</v>
      </c>
      <c r="G2525">
        <v>24953058</v>
      </c>
      <c r="H2525">
        <v>70477020</v>
      </c>
      <c r="I2525">
        <v>2903860</v>
      </c>
      <c r="J2525">
        <v>-182467714</v>
      </c>
      <c r="K2525">
        <v>-35294089</v>
      </c>
      <c r="L2525">
        <v>17395613</v>
      </c>
      <c r="M2525">
        <v>1469963</v>
      </c>
      <c r="N2525">
        <v>-120132361</v>
      </c>
      <c r="O2525">
        <v>2513766</v>
      </c>
      <c r="P2525">
        <v>87</v>
      </c>
      <c r="Q2525" t="s">
        <v>5384</v>
      </c>
    </row>
    <row r="2526" spans="1:17" x14ac:dyDescent="0.3">
      <c r="A2526" t="s">
        <v>33</v>
      </c>
      <c r="B2526" t="str">
        <f>"300472"</f>
        <v>300472</v>
      </c>
      <c r="C2526" t="s">
        <v>5385</v>
      </c>
      <c r="D2526" t="s">
        <v>1895</v>
      </c>
      <c r="E2526">
        <v>-13927437</v>
      </c>
      <c r="F2526">
        <v>-16744638</v>
      </c>
      <c r="G2526">
        <v>-18841783</v>
      </c>
      <c r="H2526">
        <v>17230052</v>
      </c>
      <c r="I2526">
        <v>3689947</v>
      </c>
      <c r="J2526">
        <v>-2939250</v>
      </c>
      <c r="K2526">
        <v>-29463678</v>
      </c>
      <c r="L2526">
        <v>-39393011</v>
      </c>
      <c r="M2526">
        <v>-8623614</v>
      </c>
      <c r="P2526">
        <v>78</v>
      </c>
      <c r="Q2526" t="s">
        <v>5386</v>
      </c>
    </row>
    <row r="2527" spans="1:17" x14ac:dyDescent="0.3">
      <c r="A2527" t="s">
        <v>33</v>
      </c>
      <c r="B2527" t="str">
        <f>"300856"</f>
        <v>300856</v>
      </c>
      <c r="C2527" t="s">
        <v>5387</v>
      </c>
      <c r="D2527" t="s">
        <v>2110</v>
      </c>
      <c r="E2527">
        <v>-13952288</v>
      </c>
      <c r="F2527">
        <v>74126580</v>
      </c>
      <c r="G2527">
        <v>84932500</v>
      </c>
      <c r="H2527">
        <v>48534100</v>
      </c>
      <c r="P2527">
        <v>131</v>
      </c>
      <c r="Q2527" t="s">
        <v>5388</v>
      </c>
    </row>
    <row r="2528" spans="1:17" x14ac:dyDescent="0.3">
      <c r="A2528" t="s">
        <v>33</v>
      </c>
      <c r="B2528" t="str">
        <f>"002119"</f>
        <v>002119</v>
      </c>
      <c r="C2528" t="s">
        <v>5389</v>
      </c>
      <c r="D2528" t="s">
        <v>1177</v>
      </c>
      <c r="E2528">
        <v>-13998791</v>
      </c>
      <c r="F2528">
        <v>-32675440</v>
      </c>
      <c r="G2528">
        <v>11283452</v>
      </c>
      <c r="H2528">
        <v>-4788166</v>
      </c>
      <c r="I2528">
        <v>22549033</v>
      </c>
      <c r="J2528">
        <v>2806123</v>
      </c>
      <c r="K2528">
        <v>-6138925</v>
      </c>
      <c r="L2528">
        <v>15327959</v>
      </c>
      <c r="M2528">
        <v>32616961</v>
      </c>
      <c r="N2528">
        <v>28258351</v>
      </c>
      <c r="O2528">
        <v>11525577</v>
      </c>
      <c r="P2528">
        <v>214</v>
      </c>
      <c r="Q2528" t="s">
        <v>5390</v>
      </c>
    </row>
    <row r="2529" spans="1:17" x14ac:dyDescent="0.3">
      <c r="A2529" t="s">
        <v>33</v>
      </c>
      <c r="B2529" t="str">
        <f>"300235"</f>
        <v>300235</v>
      </c>
      <c r="C2529" t="s">
        <v>5391</v>
      </c>
      <c r="D2529" t="s">
        <v>807</v>
      </c>
      <c r="E2529">
        <v>-14005687</v>
      </c>
      <c r="F2529">
        <v>2467503</v>
      </c>
      <c r="G2529">
        <v>-1516</v>
      </c>
      <c r="H2529">
        <v>-5265017</v>
      </c>
      <c r="I2529">
        <v>-14721399</v>
      </c>
      <c r="J2529">
        <v>-13102675</v>
      </c>
      <c r="K2529">
        <v>-6057367</v>
      </c>
      <c r="L2529">
        <v>878345</v>
      </c>
      <c r="M2529">
        <v>-294220</v>
      </c>
      <c r="N2529">
        <v>180364</v>
      </c>
      <c r="O2529">
        <v>6291318</v>
      </c>
      <c r="P2529">
        <v>114</v>
      </c>
      <c r="Q2529" t="s">
        <v>5392</v>
      </c>
    </row>
    <row r="2530" spans="1:17" x14ac:dyDescent="0.3">
      <c r="A2530" t="s">
        <v>17</v>
      </c>
      <c r="B2530" t="str">
        <f>"688283"</f>
        <v>688283</v>
      </c>
      <c r="C2530" t="s">
        <v>5393</v>
      </c>
      <c r="E2530">
        <v>-14015644</v>
      </c>
      <c r="P2530">
        <v>17</v>
      </c>
      <c r="Q2530" t="s">
        <v>5394</v>
      </c>
    </row>
    <row r="2531" spans="1:17" x14ac:dyDescent="0.3">
      <c r="A2531" t="s">
        <v>33</v>
      </c>
      <c r="B2531" t="str">
        <f>"002634"</f>
        <v>002634</v>
      </c>
      <c r="C2531" t="s">
        <v>5395</v>
      </c>
      <c r="D2531" t="s">
        <v>1680</v>
      </c>
      <c r="E2531">
        <v>-14027537</v>
      </c>
      <c r="F2531">
        <v>32716417</v>
      </c>
      <c r="G2531">
        <v>38684238</v>
      </c>
      <c r="H2531">
        <v>-31874202</v>
      </c>
      <c r="I2531">
        <v>-23998905</v>
      </c>
      <c r="J2531">
        <v>16925432</v>
      </c>
      <c r="K2531">
        <v>11245279</v>
      </c>
      <c r="L2531">
        <v>12522152</v>
      </c>
      <c r="M2531">
        <v>-8489444</v>
      </c>
      <c r="N2531">
        <v>2814390</v>
      </c>
      <c r="O2531">
        <v>-4407770</v>
      </c>
      <c r="P2531">
        <v>88</v>
      </c>
      <c r="Q2531" t="s">
        <v>5396</v>
      </c>
    </row>
    <row r="2532" spans="1:17" x14ac:dyDescent="0.3">
      <c r="A2532" t="s">
        <v>17</v>
      </c>
      <c r="B2532" t="str">
        <f>"688179"</f>
        <v>688179</v>
      </c>
      <c r="C2532" t="s">
        <v>5397</v>
      </c>
      <c r="D2532" t="s">
        <v>418</v>
      </c>
      <c r="E2532">
        <v>-14075845</v>
      </c>
      <c r="F2532">
        <v>-1669224</v>
      </c>
      <c r="G2532">
        <v>-8393986</v>
      </c>
      <c r="H2532">
        <v>-6004196</v>
      </c>
      <c r="I2532">
        <v>-839449</v>
      </c>
      <c r="P2532">
        <v>156</v>
      </c>
      <c r="Q2532" t="s">
        <v>5398</v>
      </c>
    </row>
    <row r="2533" spans="1:17" x14ac:dyDescent="0.3">
      <c r="A2533" t="s">
        <v>33</v>
      </c>
      <c r="B2533" t="str">
        <f>"300809"</f>
        <v>300809</v>
      </c>
      <c r="C2533" t="s">
        <v>5399</v>
      </c>
      <c r="D2533" t="s">
        <v>1910</v>
      </c>
      <c r="E2533">
        <v>-14090490</v>
      </c>
      <c r="F2533">
        <v>-727801</v>
      </c>
      <c r="G2533">
        <v>41788387</v>
      </c>
      <c r="H2533">
        <v>25921501</v>
      </c>
      <c r="P2533">
        <v>110</v>
      </c>
      <c r="Q2533" t="s">
        <v>5400</v>
      </c>
    </row>
    <row r="2534" spans="1:17" x14ac:dyDescent="0.3">
      <c r="A2534" t="s">
        <v>33</v>
      </c>
      <c r="B2534" t="str">
        <f>"002446"</f>
        <v>002446</v>
      </c>
      <c r="C2534" t="s">
        <v>5401</v>
      </c>
      <c r="D2534" t="s">
        <v>617</v>
      </c>
      <c r="E2534">
        <v>-14164796</v>
      </c>
      <c r="F2534">
        <v>-30215891</v>
      </c>
      <c r="G2534">
        <v>-30646806</v>
      </c>
      <c r="H2534">
        <v>7336785</v>
      </c>
      <c r="I2534">
        <v>-94233277</v>
      </c>
      <c r="J2534">
        <v>-3131791</v>
      </c>
      <c r="K2534">
        <v>-34508776</v>
      </c>
      <c r="L2534">
        <v>-31483563</v>
      </c>
      <c r="M2534">
        <v>-18103069</v>
      </c>
      <c r="N2534">
        <v>-923770</v>
      </c>
      <c r="O2534">
        <v>-1298347</v>
      </c>
      <c r="P2534">
        <v>371</v>
      </c>
      <c r="Q2534" t="s">
        <v>5402</v>
      </c>
    </row>
    <row r="2535" spans="1:17" x14ac:dyDescent="0.3">
      <c r="A2535" t="s">
        <v>33</v>
      </c>
      <c r="B2535" t="str">
        <f>"300097"</f>
        <v>300097</v>
      </c>
      <c r="C2535" t="s">
        <v>5403</v>
      </c>
      <c r="D2535" t="s">
        <v>4171</v>
      </c>
      <c r="E2535">
        <v>-14165798</v>
      </c>
      <c r="F2535">
        <v>-22643143</v>
      </c>
      <c r="G2535">
        <v>76267422</v>
      </c>
      <c r="H2535">
        <v>34166813</v>
      </c>
      <c r="I2535">
        <v>124462411</v>
      </c>
      <c r="J2535">
        <v>-29548592</v>
      </c>
      <c r="K2535">
        <v>-82085857</v>
      </c>
      <c r="L2535">
        <v>2840510</v>
      </c>
      <c r="M2535">
        <v>-14836359</v>
      </c>
      <c r="N2535">
        <v>-8465323</v>
      </c>
      <c r="O2535">
        <v>26266757</v>
      </c>
      <c r="P2535">
        <v>203</v>
      </c>
      <c r="Q2535" t="s">
        <v>5404</v>
      </c>
    </row>
    <row r="2536" spans="1:17" x14ac:dyDescent="0.3">
      <c r="A2536" t="s">
        <v>17</v>
      </c>
      <c r="B2536" t="str">
        <f>"600652"</f>
        <v>600652</v>
      </c>
      <c r="C2536" t="s">
        <v>5405</v>
      </c>
      <c r="D2536" t="s">
        <v>751</v>
      </c>
      <c r="E2536">
        <v>-14218412</v>
      </c>
      <c r="F2536">
        <v>-18773676</v>
      </c>
      <c r="G2536">
        <v>-46750269</v>
      </c>
      <c r="H2536">
        <v>-10027585</v>
      </c>
      <c r="I2536">
        <v>-25408149</v>
      </c>
      <c r="J2536">
        <v>74926678</v>
      </c>
      <c r="K2536">
        <v>12126106</v>
      </c>
      <c r="L2536">
        <v>242247610</v>
      </c>
      <c r="M2536">
        <v>-45812111</v>
      </c>
      <c r="N2536">
        <v>-80391674</v>
      </c>
      <c r="O2536">
        <v>221392163</v>
      </c>
      <c r="P2536">
        <v>79</v>
      </c>
      <c r="Q2536" t="s">
        <v>5406</v>
      </c>
    </row>
    <row r="2537" spans="1:17" x14ac:dyDescent="0.3">
      <c r="A2537" t="s">
        <v>17</v>
      </c>
      <c r="B2537" t="str">
        <f>"688081"</f>
        <v>688081</v>
      </c>
      <c r="C2537" t="s">
        <v>5407</v>
      </c>
      <c r="D2537" t="s">
        <v>617</v>
      </c>
      <c r="E2537">
        <v>-14241179</v>
      </c>
      <c r="F2537">
        <v>-26716015</v>
      </c>
      <c r="G2537">
        <v>-11630310</v>
      </c>
      <c r="H2537">
        <v>-308551</v>
      </c>
      <c r="P2537">
        <v>55</v>
      </c>
      <c r="Q2537" t="s">
        <v>5408</v>
      </c>
    </row>
    <row r="2538" spans="1:17" x14ac:dyDescent="0.3">
      <c r="A2538" t="s">
        <v>17</v>
      </c>
      <c r="B2538" t="str">
        <f>"600281"</f>
        <v>600281</v>
      </c>
      <c r="C2538" t="s">
        <v>5409</v>
      </c>
      <c r="D2538" t="s">
        <v>720</v>
      </c>
      <c r="E2538">
        <v>-14269495</v>
      </c>
      <c r="F2538">
        <v>-10230011</v>
      </c>
      <c r="G2538">
        <v>-18571920</v>
      </c>
      <c r="H2538">
        <v>-32384365</v>
      </c>
      <c r="I2538">
        <v>-70301379</v>
      </c>
      <c r="J2538">
        <v>-49203092</v>
      </c>
      <c r="K2538">
        <v>-150907205</v>
      </c>
      <c r="L2538">
        <v>-14239051</v>
      </c>
      <c r="M2538">
        <v>-24878329</v>
      </c>
      <c r="N2538">
        <v>-19028646</v>
      </c>
      <c r="O2538">
        <v>-45611040</v>
      </c>
      <c r="P2538">
        <v>68</v>
      </c>
      <c r="Q2538" t="s">
        <v>5410</v>
      </c>
    </row>
    <row r="2539" spans="1:17" x14ac:dyDescent="0.3">
      <c r="A2539" t="s">
        <v>33</v>
      </c>
      <c r="B2539" t="str">
        <f>"300984"</f>
        <v>300984</v>
      </c>
      <c r="C2539" t="s">
        <v>5411</v>
      </c>
      <c r="D2539" t="s">
        <v>1033</v>
      </c>
      <c r="E2539">
        <v>-14271313</v>
      </c>
      <c r="F2539">
        <v>18947698</v>
      </c>
      <c r="G2539">
        <v>23601217</v>
      </c>
      <c r="P2539">
        <v>18</v>
      </c>
      <c r="Q2539" t="s">
        <v>5412</v>
      </c>
    </row>
    <row r="2540" spans="1:17" x14ac:dyDescent="0.3">
      <c r="A2540" t="s">
        <v>33</v>
      </c>
      <c r="B2540" t="str">
        <f>"002876"</f>
        <v>002876</v>
      </c>
      <c r="C2540" t="s">
        <v>5413</v>
      </c>
      <c r="D2540" t="s">
        <v>102</v>
      </c>
      <c r="E2540">
        <v>-14411429</v>
      </c>
      <c r="F2540">
        <v>80890460</v>
      </c>
      <c r="G2540">
        <v>-108226402</v>
      </c>
      <c r="H2540">
        <v>-427216</v>
      </c>
      <c r="I2540">
        <v>26089525</v>
      </c>
      <c r="J2540">
        <v>-133381300</v>
      </c>
      <c r="P2540">
        <v>212</v>
      </c>
      <c r="Q2540" t="s">
        <v>5414</v>
      </c>
    </row>
    <row r="2541" spans="1:17" x14ac:dyDescent="0.3">
      <c r="A2541" t="s">
        <v>33</v>
      </c>
      <c r="B2541" t="str">
        <f>"002395"</f>
        <v>002395</v>
      </c>
      <c r="C2541" t="s">
        <v>5415</v>
      </c>
      <c r="D2541" t="s">
        <v>1817</v>
      </c>
      <c r="E2541">
        <v>-14462627</v>
      </c>
      <c r="F2541">
        <v>-52677020</v>
      </c>
      <c r="G2541">
        <v>-10350578</v>
      </c>
      <c r="H2541">
        <v>-59244965</v>
      </c>
      <c r="I2541">
        <v>-29327406</v>
      </c>
      <c r="J2541">
        <v>-66271794</v>
      </c>
      <c r="K2541">
        <v>-8453029</v>
      </c>
      <c r="L2541">
        <v>23003671</v>
      </c>
      <c r="M2541">
        <v>-97235510</v>
      </c>
      <c r="N2541">
        <v>-16298500</v>
      </c>
      <c r="O2541">
        <v>-5230251</v>
      </c>
      <c r="P2541">
        <v>59</v>
      </c>
      <c r="Q2541" t="s">
        <v>5416</v>
      </c>
    </row>
    <row r="2542" spans="1:17" x14ac:dyDescent="0.3">
      <c r="A2542" t="s">
        <v>17</v>
      </c>
      <c r="B2542" t="str">
        <f>"600650"</f>
        <v>600650</v>
      </c>
      <c r="C2542" t="s">
        <v>5417</v>
      </c>
      <c r="D2542" t="s">
        <v>1216</v>
      </c>
      <c r="E2542">
        <v>-14608862</v>
      </c>
      <c r="F2542">
        <v>-22562290</v>
      </c>
      <c r="G2542">
        <v>-21692582</v>
      </c>
      <c r="H2542">
        <v>36764052</v>
      </c>
      <c r="I2542">
        <v>-25759176</v>
      </c>
      <c r="J2542">
        <v>31166579</v>
      </c>
      <c r="K2542">
        <v>10752430</v>
      </c>
      <c r="L2542">
        <v>54242501</v>
      </c>
      <c r="M2542">
        <v>30067636</v>
      </c>
      <c r="N2542">
        <v>22793019</v>
      </c>
      <c r="O2542">
        <v>16271128</v>
      </c>
      <c r="P2542">
        <v>114</v>
      </c>
      <c r="Q2542" t="s">
        <v>5418</v>
      </c>
    </row>
    <row r="2543" spans="1:17" x14ac:dyDescent="0.3">
      <c r="A2543" t="s">
        <v>17</v>
      </c>
      <c r="B2543" t="str">
        <f>"900953"</f>
        <v>900953</v>
      </c>
      <c r="C2543" t="s">
        <v>5419</v>
      </c>
      <c r="E2543">
        <v>-14615005.5648</v>
      </c>
      <c r="F2543">
        <v>-20227966.655999999</v>
      </c>
      <c r="G2543">
        <v>-7256490.7934999997</v>
      </c>
      <c r="H2543">
        <v>23415938.848000001</v>
      </c>
      <c r="I2543">
        <v>-13192615.073999999</v>
      </c>
      <c r="J2543">
        <v>9828071.0879999995</v>
      </c>
      <c r="K2543">
        <v>13587752.873500001</v>
      </c>
      <c r="L2543">
        <v>6608311.3136</v>
      </c>
      <c r="M2543">
        <v>-8537212.7352000009</v>
      </c>
      <c r="N2543">
        <v>16539649.140000001</v>
      </c>
      <c r="O2543">
        <v>8713514.9587999992</v>
      </c>
      <c r="P2543">
        <v>6</v>
      </c>
      <c r="Q2543" t="s">
        <v>5420</v>
      </c>
    </row>
    <row r="2544" spans="1:17" x14ac:dyDescent="0.3">
      <c r="A2544" t="s">
        <v>17</v>
      </c>
      <c r="B2544" t="str">
        <f>"600322"</f>
        <v>600322</v>
      </c>
      <c r="C2544" t="s">
        <v>5421</v>
      </c>
      <c r="D2544" t="s">
        <v>167</v>
      </c>
      <c r="E2544">
        <v>-14689031</v>
      </c>
      <c r="F2544">
        <v>389342883</v>
      </c>
      <c r="G2544">
        <v>-103438455</v>
      </c>
      <c r="H2544">
        <v>-12190965</v>
      </c>
      <c r="I2544">
        <v>146676154</v>
      </c>
      <c r="J2544">
        <v>-1432978579</v>
      </c>
      <c r="K2544">
        <v>-60890949</v>
      </c>
      <c r="L2544">
        <v>-446796659</v>
      </c>
      <c r="M2544">
        <v>-224921463</v>
      </c>
      <c r="N2544">
        <v>-18287116</v>
      </c>
      <c r="O2544">
        <v>-154428244</v>
      </c>
      <c r="P2544">
        <v>84</v>
      </c>
      <c r="Q2544" t="s">
        <v>5422</v>
      </c>
    </row>
    <row r="2545" spans="1:17" x14ac:dyDescent="0.3">
      <c r="A2545" t="s">
        <v>17</v>
      </c>
      <c r="B2545" t="str">
        <f>"605177"</f>
        <v>605177</v>
      </c>
      <c r="C2545" t="s">
        <v>5423</v>
      </c>
      <c r="D2545" t="s">
        <v>941</v>
      </c>
      <c r="E2545">
        <v>-14747411</v>
      </c>
      <c r="F2545">
        <v>46869088</v>
      </c>
      <c r="G2545">
        <v>-5659165</v>
      </c>
      <c r="P2545">
        <v>38</v>
      </c>
      <c r="Q2545" t="s">
        <v>5424</v>
      </c>
    </row>
    <row r="2546" spans="1:17" x14ac:dyDescent="0.3">
      <c r="A2546" t="s">
        <v>33</v>
      </c>
      <c r="B2546" t="str">
        <f>"301070"</f>
        <v>301070</v>
      </c>
      <c r="C2546" t="s">
        <v>5425</v>
      </c>
      <c r="D2546" t="s">
        <v>1033</v>
      </c>
      <c r="E2546">
        <v>-14843728</v>
      </c>
      <c r="P2546">
        <v>19</v>
      </c>
      <c r="Q2546" t="s">
        <v>5426</v>
      </c>
    </row>
    <row r="2547" spans="1:17" x14ac:dyDescent="0.3">
      <c r="A2547" t="s">
        <v>33</v>
      </c>
      <c r="B2547" t="str">
        <f>"300335"</f>
        <v>300335</v>
      </c>
      <c r="C2547" t="s">
        <v>5427</v>
      </c>
      <c r="D2547" t="s">
        <v>1094</v>
      </c>
      <c r="E2547">
        <v>-14900985</v>
      </c>
      <c r="F2547">
        <v>-42501703</v>
      </c>
      <c r="G2547">
        <v>-64304321</v>
      </c>
      <c r="H2547">
        <v>-24731183</v>
      </c>
      <c r="I2547">
        <v>-46265613</v>
      </c>
      <c r="J2547">
        <v>-74264343</v>
      </c>
      <c r="K2547">
        <v>41585918</v>
      </c>
      <c r="L2547">
        <v>34636185</v>
      </c>
      <c r="M2547">
        <v>36438073</v>
      </c>
      <c r="N2547">
        <v>15047610</v>
      </c>
      <c r="O2547">
        <v>-10367338</v>
      </c>
      <c r="P2547">
        <v>231</v>
      </c>
      <c r="Q2547" t="s">
        <v>5428</v>
      </c>
    </row>
    <row r="2548" spans="1:17" x14ac:dyDescent="0.3">
      <c r="A2548" t="s">
        <v>17</v>
      </c>
      <c r="B2548" t="str">
        <f>"600880"</f>
        <v>600880</v>
      </c>
      <c r="C2548" t="s">
        <v>5429</v>
      </c>
      <c r="D2548" t="s">
        <v>5430</v>
      </c>
      <c r="E2548">
        <v>-14934835</v>
      </c>
      <c r="F2548">
        <v>-23410144</v>
      </c>
      <c r="G2548">
        <v>-43271548</v>
      </c>
      <c r="H2548">
        <v>21385910</v>
      </c>
      <c r="I2548">
        <v>-65651730</v>
      </c>
      <c r="J2548">
        <v>-129307409</v>
      </c>
      <c r="K2548">
        <v>37153986</v>
      </c>
      <c r="L2548">
        <v>-16874906</v>
      </c>
      <c r="M2548">
        <v>92812646</v>
      </c>
      <c r="N2548">
        <v>27369451</v>
      </c>
      <c r="O2548">
        <v>-20425585</v>
      </c>
      <c r="P2548">
        <v>314</v>
      </c>
      <c r="Q2548" t="s">
        <v>5431</v>
      </c>
    </row>
    <row r="2549" spans="1:17" x14ac:dyDescent="0.3">
      <c r="A2549" t="s">
        <v>33</v>
      </c>
      <c r="B2549" t="str">
        <f>"300147"</f>
        <v>300147</v>
      </c>
      <c r="C2549" t="s">
        <v>5432</v>
      </c>
      <c r="D2549" t="s">
        <v>533</v>
      </c>
      <c r="E2549">
        <v>-14969307</v>
      </c>
      <c r="F2549">
        <v>47990277</v>
      </c>
      <c r="G2549">
        <v>-434108601</v>
      </c>
      <c r="H2549">
        <v>-127987505</v>
      </c>
      <c r="I2549">
        <v>-247423957</v>
      </c>
      <c r="J2549">
        <v>-33665157</v>
      </c>
      <c r="K2549">
        <v>13181782</v>
      </c>
      <c r="L2549">
        <v>-45819786</v>
      </c>
      <c r="M2549">
        <v>7007047</v>
      </c>
      <c r="N2549">
        <v>44063687</v>
      </c>
      <c r="O2549">
        <v>-8634111</v>
      </c>
      <c r="P2549">
        <v>166</v>
      </c>
      <c r="Q2549" t="s">
        <v>5433</v>
      </c>
    </row>
    <row r="2550" spans="1:17" x14ac:dyDescent="0.3">
      <c r="A2550" t="s">
        <v>33</v>
      </c>
      <c r="B2550" t="str">
        <f>"002686"</f>
        <v>002686</v>
      </c>
      <c r="C2550" t="s">
        <v>5434</v>
      </c>
      <c r="D2550" t="s">
        <v>2883</v>
      </c>
      <c r="E2550">
        <v>-15019486</v>
      </c>
      <c r="F2550">
        <v>37789392</v>
      </c>
      <c r="G2550">
        <v>-13104447</v>
      </c>
      <c r="H2550">
        <v>-29041219</v>
      </c>
      <c r="I2550">
        <v>-27494871</v>
      </c>
      <c r="J2550">
        <v>9213736</v>
      </c>
      <c r="K2550">
        <v>34629334</v>
      </c>
      <c r="L2550">
        <v>12335764</v>
      </c>
      <c r="M2550">
        <v>-8245267</v>
      </c>
      <c r="N2550">
        <v>5890744</v>
      </c>
      <c r="O2550">
        <v>-953787</v>
      </c>
      <c r="P2550">
        <v>78</v>
      </c>
      <c r="Q2550" t="s">
        <v>5435</v>
      </c>
    </row>
    <row r="2551" spans="1:17" x14ac:dyDescent="0.3">
      <c r="A2551" t="s">
        <v>17</v>
      </c>
      <c r="B2551" t="str">
        <f>"600462"</f>
        <v>600462</v>
      </c>
      <c r="C2551" t="s">
        <v>5436</v>
      </c>
      <c r="D2551" t="s">
        <v>1347</v>
      </c>
      <c r="E2551">
        <v>-15022739</v>
      </c>
      <c r="F2551">
        <v>-50443933</v>
      </c>
      <c r="G2551">
        <v>-17043473</v>
      </c>
      <c r="H2551">
        <v>3692966</v>
      </c>
      <c r="I2551">
        <v>43648216</v>
      </c>
      <c r="J2551">
        <v>-37032602</v>
      </c>
      <c r="K2551">
        <v>-13673700</v>
      </c>
      <c r="L2551">
        <v>10709772</v>
      </c>
      <c r="M2551">
        <v>11087411</v>
      </c>
      <c r="N2551">
        <v>-50106132</v>
      </c>
      <c r="O2551">
        <v>12709725</v>
      </c>
      <c r="P2551">
        <v>51</v>
      </c>
      <c r="Q2551" t="s">
        <v>5437</v>
      </c>
    </row>
    <row r="2552" spans="1:17" x14ac:dyDescent="0.3">
      <c r="A2552" t="s">
        <v>17</v>
      </c>
      <c r="B2552" t="str">
        <f>"688191"</f>
        <v>688191</v>
      </c>
      <c r="C2552" t="s">
        <v>5438</v>
      </c>
      <c r="D2552" t="s">
        <v>1182</v>
      </c>
      <c r="E2552">
        <v>-15133088</v>
      </c>
      <c r="F2552">
        <v>-45882103</v>
      </c>
      <c r="G2552">
        <v>-29312696</v>
      </c>
      <c r="P2552">
        <v>56</v>
      </c>
      <c r="Q2552" t="s">
        <v>5439</v>
      </c>
    </row>
    <row r="2553" spans="1:17" x14ac:dyDescent="0.3">
      <c r="A2553" t="s">
        <v>33</v>
      </c>
      <c r="B2553" t="str">
        <f>"301041"</f>
        <v>301041</v>
      </c>
      <c r="C2553" t="s">
        <v>5440</v>
      </c>
      <c r="D2553" t="s">
        <v>239</v>
      </c>
      <c r="E2553">
        <v>-15141093</v>
      </c>
      <c r="F2553">
        <v>-34009772</v>
      </c>
      <c r="G2553">
        <v>-6537252</v>
      </c>
      <c r="P2553">
        <v>31</v>
      </c>
      <c r="Q2553" t="s">
        <v>5441</v>
      </c>
    </row>
    <row r="2554" spans="1:17" x14ac:dyDescent="0.3">
      <c r="A2554" t="s">
        <v>33</v>
      </c>
      <c r="B2554" t="str">
        <f>"300354"</f>
        <v>300354</v>
      </c>
      <c r="C2554" t="s">
        <v>5442</v>
      </c>
      <c r="D2554" t="s">
        <v>2417</v>
      </c>
      <c r="E2554">
        <v>-15144591</v>
      </c>
      <c r="F2554">
        <v>-19704932</v>
      </c>
      <c r="G2554">
        <v>-25589490</v>
      </c>
      <c r="H2554">
        <v>-10518650</v>
      </c>
      <c r="I2554">
        <v>-16249959</v>
      </c>
      <c r="J2554">
        <v>-9253452</v>
      </c>
      <c r="K2554">
        <v>-10615398</v>
      </c>
      <c r="L2554">
        <v>-9148999</v>
      </c>
      <c r="M2554">
        <v>-9417034</v>
      </c>
      <c r="N2554">
        <v>-8366211</v>
      </c>
      <c r="O2554">
        <v>-15383719</v>
      </c>
      <c r="P2554">
        <v>139</v>
      </c>
      <c r="Q2554" t="s">
        <v>5443</v>
      </c>
    </row>
    <row r="2555" spans="1:17" x14ac:dyDescent="0.3">
      <c r="A2555" t="s">
        <v>17</v>
      </c>
      <c r="B2555" t="str">
        <f>"600640"</f>
        <v>600640</v>
      </c>
      <c r="C2555" t="s">
        <v>5444</v>
      </c>
      <c r="D2555" t="s">
        <v>5445</v>
      </c>
      <c r="E2555">
        <v>-15187857</v>
      </c>
      <c r="F2555">
        <v>-35507376</v>
      </c>
      <c r="G2555">
        <v>57322818</v>
      </c>
      <c r="H2555">
        <v>-137352269</v>
      </c>
      <c r="I2555">
        <v>555301320</v>
      </c>
      <c r="J2555">
        <v>88963734</v>
      </c>
      <c r="K2555">
        <v>-20943141</v>
      </c>
      <c r="L2555">
        <v>-90430587</v>
      </c>
      <c r="M2555">
        <v>-32814189</v>
      </c>
      <c r="N2555">
        <v>34282667</v>
      </c>
      <c r="O2555">
        <v>1434923</v>
      </c>
      <c r="P2555">
        <v>163</v>
      </c>
      <c r="Q2555" t="s">
        <v>5446</v>
      </c>
    </row>
    <row r="2556" spans="1:17" x14ac:dyDescent="0.3">
      <c r="A2556" t="s">
        <v>17</v>
      </c>
      <c r="B2556" t="str">
        <f>"688060"</f>
        <v>688060</v>
      </c>
      <c r="C2556" t="s">
        <v>5447</v>
      </c>
      <c r="D2556" t="s">
        <v>1571</v>
      </c>
      <c r="E2556">
        <v>-15215969</v>
      </c>
      <c r="F2556">
        <v>-16388935</v>
      </c>
      <c r="G2556">
        <v>-13482631</v>
      </c>
      <c r="H2556">
        <v>-1966076</v>
      </c>
      <c r="P2556">
        <v>75</v>
      </c>
      <c r="Q2556" t="s">
        <v>5448</v>
      </c>
    </row>
    <row r="2557" spans="1:17" x14ac:dyDescent="0.3">
      <c r="A2557" t="s">
        <v>33</v>
      </c>
      <c r="B2557" t="str">
        <f>"002058"</f>
        <v>002058</v>
      </c>
      <c r="C2557" t="s">
        <v>5449</v>
      </c>
      <c r="D2557" t="s">
        <v>2128</v>
      </c>
      <c r="E2557">
        <v>-15252273</v>
      </c>
      <c r="F2557">
        <v>-5823251</v>
      </c>
      <c r="G2557">
        <v>-2530928</v>
      </c>
      <c r="H2557">
        <v>-9084060</v>
      </c>
      <c r="I2557">
        <v>-11579166</v>
      </c>
      <c r="J2557">
        <v>-3166512</v>
      </c>
      <c r="K2557">
        <v>-8371521</v>
      </c>
      <c r="L2557">
        <v>-13565543</v>
      </c>
      <c r="M2557">
        <v>-5153076</v>
      </c>
      <c r="N2557">
        <v>-406423</v>
      </c>
      <c r="O2557">
        <v>-2575256</v>
      </c>
      <c r="P2557">
        <v>55</v>
      </c>
      <c r="Q2557" t="s">
        <v>5450</v>
      </c>
    </row>
    <row r="2558" spans="1:17" x14ac:dyDescent="0.3">
      <c r="A2558" t="s">
        <v>33</v>
      </c>
      <c r="B2558" t="str">
        <f>"002693"</f>
        <v>002693</v>
      </c>
      <c r="C2558" t="s">
        <v>5451</v>
      </c>
      <c r="D2558" t="s">
        <v>756</v>
      </c>
      <c r="E2558">
        <v>-15284943</v>
      </c>
      <c r="F2558">
        <v>-3990117</v>
      </c>
      <c r="G2558">
        <v>-30544561</v>
      </c>
      <c r="H2558">
        <v>17760557</v>
      </c>
      <c r="I2558">
        <v>20457146</v>
      </c>
      <c r="J2558">
        <v>-12801829</v>
      </c>
      <c r="K2558">
        <v>-1527457</v>
      </c>
      <c r="L2558">
        <v>-7991401</v>
      </c>
      <c r="M2558">
        <v>-8217789</v>
      </c>
      <c r="N2558">
        <v>-2417227</v>
      </c>
      <c r="O2558">
        <v>7634938</v>
      </c>
      <c r="P2558">
        <v>95</v>
      </c>
      <c r="Q2558" t="s">
        <v>5452</v>
      </c>
    </row>
    <row r="2559" spans="1:17" x14ac:dyDescent="0.3">
      <c r="A2559" t="s">
        <v>17</v>
      </c>
      <c r="B2559" t="str">
        <f>"600819"</f>
        <v>600819</v>
      </c>
      <c r="C2559" t="s">
        <v>5453</v>
      </c>
      <c r="D2559" t="s">
        <v>1025</v>
      </c>
      <c r="E2559">
        <v>-15291798</v>
      </c>
      <c r="F2559">
        <v>8845368</v>
      </c>
      <c r="G2559">
        <v>-47998960</v>
      </c>
      <c r="H2559">
        <v>-26123517</v>
      </c>
      <c r="I2559">
        <v>29040696</v>
      </c>
      <c r="J2559">
        <v>39143956</v>
      </c>
      <c r="K2559">
        <v>58684321</v>
      </c>
      <c r="L2559">
        <v>34601015</v>
      </c>
      <c r="M2559">
        <v>-22643204</v>
      </c>
      <c r="N2559">
        <v>-92590662</v>
      </c>
      <c r="O2559">
        <v>70842428</v>
      </c>
      <c r="P2559">
        <v>94</v>
      </c>
      <c r="Q2559" t="s">
        <v>5454</v>
      </c>
    </row>
    <row r="2560" spans="1:17" x14ac:dyDescent="0.3">
      <c r="A2560" t="s">
        <v>17</v>
      </c>
      <c r="B2560" t="str">
        <f>"605005"</f>
        <v>605005</v>
      </c>
      <c r="C2560" t="s">
        <v>5455</v>
      </c>
      <c r="D2560" t="s">
        <v>603</v>
      </c>
      <c r="E2560">
        <v>-15308070</v>
      </c>
      <c r="F2560">
        <v>-15511735</v>
      </c>
      <c r="G2560">
        <v>40114122</v>
      </c>
      <c r="P2560">
        <v>62</v>
      </c>
      <c r="Q2560" t="s">
        <v>5456</v>
      </c>
    </row>
    <row r="2561" spans="1:17" x14ac:dyDescent="0.3">
      <c r="A2561" t="s">
        <v>33</v>
      </c>
      <c r="B2561" t="str">
        <f>"002981"</f>
        <v>002981</v>
      </c>
      <c r="C2561" t="s">
        <v>5457</v>
      </c>
      <c r="D2561" t="s">
        <v>226</v>
      </c>
      <c r="E2561">
        <v>-15402260</v>
      </c>
      <c r="F2561">
        <v>36515958</v>
      </c>
      <c r="G2561">
        <v>48311920</v>
      </c>
      <c r="H2561">
        <v>14350058</v>
      </c>
      <c r="P2561">
        <v>73</v>
      </c>
      <c r="Q2561" t="s">
        <v>5458</v>
      </c>
    </row>
    <row r="2562" spans="1:17" x14ac:dyDescent="0.3">
      <c r="A2562" t="s">
        <v>33</v>
      </c>
      <c r="B2562" t="str">
        <f>"002952"</f>
        <v>002952</v>
      </c>
      <c r="C2562" t="s">
        <v>5459</v>
      </c>
      <c r="D2562" t="s">
        <v>102</v>
      </c>
      <c r="E2562">
        <v>-15426540</v>
      </c>
      <c r="F2562">
        <v>-24788345</v>
      </c>
      <c r="G2562">
        <v>-162735</v>
      </c>
      <c r="H2562">
        <v>15008918</v>
      </c>
      <c r="I2562">
        <v>32679742</v>
      </c>
      <c r="J2562">
        <v>172546</v>
      </c>
      <c r="P2562">
        <v>79</v>
      </c>
      <c r="Q2562" t="s">
        <v>5460</v>
      </c>
    </row>
    <row r="2563" spans="1:17" x14ac:dyDescent="0.3">
      <c r="A2563" t="s">
        <v>33</v>
      </c>
      <c r="B2563" t="str">
        <f>"300127"</f>
        <v>300127</v>
      </c>
      <c r="C2563" t="s">
        <v>5461</v>
      </c>
      <c r="D2563" t="s">
        <v>1559</v>
      </c>
      <c r="E2563">
        <v>-15478697</v>
      </c>
      <c r="F2563">
        <v>23235561</v>
      </c>
      <c r="G2563">
        <v>23822449</v>
      </c>
      <c r="H2563">
        <v>31111876</v>
      </c>
      <c r="I2563">
        <v>23677782</v>
      </c>
      <c r="J2563">
        <v>9073906</v>
      </c>
      <c r="K2563">
        <v>31094349</v>
      </c>
      <c r="L2563">
        <v>14301045</v>
      </c>
      <c r="M2563">
        <v>36312100</v>
      </c>
      <c r="N2563">
        <v>11591805</v>
      </c>
      <c r="O2563">
        <v>41146875</v>
      </c>
      <c r="P2563">
        <v>205</v>
      </c>
      <c r="Q2563" t="s">
        <v>5462</v>
      </c>
    </row>
    <row r="2564" spans="1:17" x14ac:dyDescent="0.3">
      <c r="A2564" t="s">
        <v>17</v>
      </c>
      <c r="B2564" t="str">
        <f>"688551"</f>
        <v>688551</v>
      </c>
      <c r="C2564" t="s">
        <v>5463</v>
      </c>
      <c r="D2564" t="s">
        <v>2956</v>
      </c>
      <c r="E2564">
        <v>-15500469</v>
      </c>
      <c r="F2564">
        <v>2737229</v>
      </c>
      <c r="G2564">
        <v>9833600</v>
      </c>
      <c r="H2564">
        <v>-1597800</v>
      </c>
      <c r="P2564">
        <v>39</v>
      </c>
      <c r="Q2564" t="s">
        <v>5464</v>
      </c>
    </row>
    <row r="2565" spans="1:17" x14ac:dyDescent="0.3">
      <c r="A2565" t="s">
        <v>33</v>
      </c>
      <c r="B2565" t="str">
        <f>"300900"</f>
        <v>300900</v>
      </c>
      <c r="C2565" t="s">
        <v>5465</v>
      </c>
      <c r="D2565" t="s">
        <v>2262</v>
      </c>
      <c r="E2565">
        <v>-15549895</v>
      </c>
      <c r="F2565">
        <v>-35188425</v>
      </c>
      <c r="G2565">
        <v>-19104213</v>
      </c>
      <c r="P2565">
        <v>76</v>
      </c>
      <c r="Q2565" t="s">
        <v>5466</v>
      </c>
    </row>
    <row r="2566" spans="1:17" x14ac:dyDescent="0.3">
      <c r="A2566" t="s">
        <v>33</v>
      </c>
      <c r="B2566" t="str">
        <f>"002474"</f>
        <v>002474</v>
      </c>
      <c r="C2566" t="s">
        <v>5467</v>
      </c>
      <c r="D2566" t="s">
        <v>508</v>
      </c>
      <c r="E2566">
        <v>-15607909</v>
      </c>
      <c r="F2566">
        <v>-17320264</v>
      </c>
      <c r="G2566">
        <v>-54057446</v>
      </c>
      <c r="H2566">
        <v>-2849530</v>
      </c>
      <c r="I2566">
        <v>-32806846</v>
      </c>
      <c r="J2566">
        <v>-27986029</v>
      </c>
      <c r="K2566">
        <v>-38290420</v>
      </c>
      <c r="L2566">
        <v>-53655364</v>
      </c>
      <c r="M2566">
        <v>-58332697</v>
      </c>
      <c r="N2566">
        <v>-4527825</v>
      </c>
      <c r="O2566">
        <v>21418787</v>
      </c>
      <c r="P2566">
        <v>180</v>
      </c>
      <c r="Q2566" t="s">
        <v>5468</v>
      </c>
    </row>
    <row r="2567" spans="1:17" x14ac:dyDescent="0.3">
      <c r="A2567" t="s">
        <v>33</v>
      </c>
      <c r="B2567" t="str">
        <f>"301075"</f>
        <v>301075</v>
      </c>
      <c r="C2567" t="s">
        <v>5469</v>
      </c>
      <c r="D2567" t="s">
        <v>590</v>
      </c>
      <c r="E2567">
        <v>-15632963</v>
      </c>
      <c r="G2567">
        <v>13618566</v>
      </c>
      <c r="P2567">
        <v>22</v>
      </c>
      <c r="Q2567" t="s">
        <v>5470</v>
      </c>
    </row>
    <row r="2568" spans="1:17" x14ac:dyDescent="0.3">
      <c r="A2568" t="s">
        <v>33</v>
      </c>
      <c r="B2568" t="str">
        <f>"002629"</f>
        <v>002629</v>
      </c>
      <c r="C2568" t="s">
        <v>5471</v>
      </c>
      <c r="D2568" t="s">
        <v>348</v>
      </c>
      <c r="E2568">
        <v>-15636002</v>
      </c>
      <c r="F2568">
        <v>-27412276</v>
      </c>
      <c r="G2568">
        <v>-10902962</v>
      </c>
      <c r="H2568">
        <v>-8579159</v>
      </c>
      <c r="I2568">
        <v>3450195</v>
      </c>
      <c r="J2568">
        <v>-139020549</v>
      </c>
      <c r="K2568">
        <v>-13519704</v>
      </c>
      <c r="L2568">
        <v>62393412</v>
      </c>
      <c r="M2568">
        <v>114683784</v>
      </c>
      <c r="N2568">
        <v>-1210764</v>
      </c>
      <c r="O2568">
        <v>-4796439</v>
      </c>
      <c r="P2568">
        <v>60</v>
      </c>
      <c r="Q2568" t="s">
        <v>5472</v>
      </c>
    </row>
    <row r="2569" spans="1:17" x14ac:dyDescent="0.3">
      <c r="A2569" t="s">
        <v>33</v>
      </c>
      <c r="B2569" t="str">
        <f>"300743"</f>
        <v>300743</v>
      </c>
      <c r="C2569" t="s">
        <v>5473</v>
      </c>
      <c r="D2569" t="s">
        <v>1571</v>
      </c>
      <c r="E2569">
        <v>-15648840</v>
      </c>
      <c r="F2569">
        <v>-7045596</v>
      </c>
      <c r="G2569">
        <v>2152351</v>
      </c>
      <c r="H2569">
        <v>-12783704</v>
      </c>
      <c r="I2569">
        <v>5052608</v>
      </c>
      <c r="J2569">
        <v>5596880</v>
      </c>
      <c r="P2569">
        <v>54</v>
      </c>
      <c r="Q2569" t="s">
        <v>5474</v>
      </c>
    </row>
    <row r="2570" spans="1:17" x14ac:dyDescent="0.3">
      <c r="A2570" t="s">
        <v>17</v>
      </c>
      <c r="B2570" t="str">
        <f>"600768"</f>
        <v>600768</v>
      </c>
      <c r="C2570" t="s">
        <v>5475</v>
      </c>
      <c r="D2570" t="s">
        <v>140</v>
      </c>
      <c r="E2570">
        <v>-15661701</v>
      </c>
      <c r="F2570">
        <v>-22569286</v>
      </c>
      <c r="G2570">
        <v>-17018617</v>
      </c>
      <c r="H2570">
        <v>36158641</v>
      </c>
      <c r="I2570">
        <v>-38687955</v>
      </c>
      <c r="J2570">
        <v>-19829474</v>
      </c>
      <c r="K2570">
        <v>9970650</v>
      </c>
      <c r="L2570">
        <v>-24388393</v>
      </c>
      <c r="M2570">
        <v>-15779517</v>
      </c>
      <c r="N2570">
        <v>-26921900</v>
      </c>
      <c r="O2570">
        <v>-40676934</v>
      </c>
      <c r="P2570">
        <v>88</v>
      </c>
      <c r="Q2570" t="s">
        <v>5476</v>
      </c>
    </row>
    <row r="2571" spans="1:17" x14ac:dyDescent="0.3">
      <c r="A2571" t="s">
        <v>17</v>
      </c>
      <c r="B2571" t="str">
        <f>"603236"</f>
        <v>603236</v>
      </c>
      <c r="C2571" t="s">
        <v>5477</v>
      </c>
      <c r="D2571" t="s">
        <v>1347</v>
      </c>
      <c r="E2571">
        <v>-15681470</v>
      </c>
      <c r="F2571">
        <v>-260787938</v>
      </c>
      <c r="G2571">
        <v>-390099666</v>
      </c>
      <c r="H2571">
        <v>-144516300</v>
      </c>
      <c r="I2571">
        <v>-147141700</v>
      </c>
      <c r="P2571">
        <v>589</v>
      </c>
      <c r="Q2571" t="s">
        <v>5478</v>
      </c>
    </row>
    <row r="2572" spans="1:17" x14ac:dyDescent="0.3">
      <c r="A2572" t="s">
        <v>33</v>
      </c>
      <c r="B2572" t="str">
        <f>"000025"</f>
        <v>000025</v>
      </c>
      <c r="C2572" t="s">
        <v>5479</v>
      </c>
      <c r="D2572" t="s">
        <v>2643</v>
      </c>
      <c r="E2572">
        <v>-15687977</v>
      </c>
      <c r="F2572">
        <v>-4764233</v>
      </c>
      <c r="G2572">
        <v>6507973</v>
      </c>
      <c r="H2572">
        <v>2986868</v>
      </c>
      <c r="I2572">
        <v>-8305634</v>
      </c>
      <c r="J2572">
        <v>6177083</v>
      </c>
      <c r="K2572">
        <v>3260760</v>
      </c>
      <c r="L2572">
        <v>29617359</v>
      </c>
      <c r="M2572">
        <v>-14227400</v>
      </c>
      <c r="N2572">
        <v>-4583172</v>
      </c>
      <c r="O2572">
        <v>-15234784</v>
      </c>
      <c r="P2572">
        <v>140</v>
      </c>
      <c r="Q2572" t="s">
        <v>5480</v>
      </c>
    </row>
    <row r="2573" spans="1:17" x14ac:dyDescent="0.3">
      <c r="A2573" t="s">
        <v>33</v>
      </c>
      <c r="B2573" t="str">
        <f>"300729"</f>
        <v>300729</v>
      </c>
      <c r="C2573" t="s">
        <v>5481</v>
      </c>
      <c r="D2573" t="s">
        <v>927</v>
      </c>
      <c r="E2573">
        <v>-15710546</v>
      </c>
      <c r="F2573">
        <v>6228937</v>
      </c>
      <c r="G2573">
        <v>6297020</v>
      </c>
      <c r="H2573">
        <v>30991642</v>
      </c>
      <c r="I2573">
        <v>13751336</v>
      </c>
      <c r="J2573">
        <v>8032042</v>
      </c>
      <c r="P2573">
        <v>219</v>
      </c>
      <c r="Q2573" t="s">
        <v>5482</v>
      </c>
    </row>
    <row r="2574" spans="1:17" x14ac:dyDescent="0.3">
      <c r="A2574" t="s">
        <v>33</v>
      </c>
      <c r="B2574" t="str">
        <f>"002780"</f>
        <v>002780</v>
      </c>
      <c r="C2574" t="s">
        <v>5483</v>
      </c>
      <c r="D2574" t="s">
        <v>5484</v>
      </c>
      <c r="E2574">
        <v>-15794949</v>
      </c>
      <c r="F2574">
        <v>-7803283</v>
      </c>
      <c r="G2574">
        <v>-61600328</v>
      </c>
      <c r="H2574">
        <v>-19456884</v>
      </c>
      <c r="I2574">
        <v>-19497148</v>
      </c>
      <c r="J2574">
        <v>-39591003</v>
      </c>
      <c r="K2574">
        <v>-39526086</v>
      </c>
      <c r="L2574">
        <v>-25096400</v>
      </c>
      <c r="M2574">
        <v>-26032600</v>
      </c>
      <c r="P2574">
        <v>85</v>
      </c>
      <c r="Q2574" t="s">
        <v>5485</v>
      </c>
    </row>
    <row r="2575" spans="1:17" x14ac:dyDescent="0.3">
      <c r="A2575" t="s">
        <v>33</v>
      </c>
      <c r="B2575" t="str">
        <f>"002809"</f>
        <v>002809</v>
      </c>
      <c r="C2575" t="s">
        <v>5486</v>
      </c>
      <c r="D2575" t="s">
        <v>418</v>
      </c>
      <c r="E2575">
        <v>-15942392</v>
      </c>
      <c r="F2575">
        <v>-89713179</v>
      </c>
      <c r="G2575">
        <v>-1919797</v>
      </c>
      <c r="H2575">
        <v>-40762904</v>
      </c>
      <c r="I2575">
        <v>32728194</v>
      </c>
      <c r="J2575">
        <v>-45495584</v>
      </c>
      <c r="K2575">
        <v>-19251484</v>
      </c>
      <c r="P2575">
        <v>99</v>
      </c>
      <c r="Q2575" t="s">
        <v>5487</v>
      </c>
    </row>
    <row r="2576" spans="1:17" x14ac:dyDescent="0.3">
      <c r="A2576" t="s">
        <v>33</v>
      </c>
      <c r="B2576" t="str">
        <f>"000726"</f>
        <v>000726</v>
      </c>
      <c r="C2576" t="s">
        <v>5488</v>
      </c>
      <c r="D2576" t="s">
        <v>693</v>
      </c>
      <c r="E2576">
        <v>-15953828</v>
      </c>
      <c r="F2576">
        <v>-36745428</v>
      </c>
      <c r="G2576">
        <v>145916524</v>
      </c>
      <c r="H2576">
        <v>-89714180</v>
      </c>
      <c r="I2576">
        <v>84118827</v>
      </c>
      <c r="J2576">
        <v>-73576928</v>
      </c>
      <c r="K2576">
        <v>183258283</v>
      </c>
      <c r="L2576">
        <v>-97329128</v>
      </c>
      <c r="M2576">
        <v>55775239</v>
      </c>
      <c r="N2576">
        <v>105086762</v>
      </c>
      <c r="O2576">
        <v>99375807</v>
      </c>
      <c r="P2576">
        <v>980</v>
      </c>
      <c r="Q2576" t="s">
        <v>5489</v>
      </c>
    </row>
    <row r="2577" spans="1:17" x14ac:dyDescent="0.3">
      <c r="A2577" t="s">
        <v>33</v>
      </c>
      <c r="B2577" t="str">
        <f>"300871"</f>
        <v>300871</v>
      </c>
      <c r="C2577" t="s">
        <v>5490</v>
      </c>
      <c r="D2577" t="s">
        <v>2035</v>
      </c>
      <c r="E2577">
        <v>-16025128</v>
      </c>
      <c r="F2577">
        <v>-20061571</v>
      </c>
      <c r="P2577">
        <v>83</v>
      </c>
      <c r="Q2577" t="s">
        <v>5491</v>
      </c>
    </row>
    <row r="2578" spans="1:17" x14ac:dyDescent="0.3">
      <c r="A2578" t="s">
        <v>33</v>
      </c>
      <c r="B2578" t="str">
        <f>"300837"</f>
        <v>300837</v>
      </c>
      <c r="C2578" t="s">
        <v>5492</v>
      </c>
      <c r="D2578" t="s">
        <v>1132</v>
      </c>
      <c r="E2578">
        <v>-16031390</v>
      </c>
      <c r="F2578">
        <v>43785678</v>
      </c>
      <c r="G2578">
        <v>37819129</v>
      </c>
      <c r="H2578">
        <v>30316960</v>
      </c>
      <c r="P2578">
        <v>154</v>
      </c>
      <c r="Q2578" t="s">
        <v>5493</v>
      </c>
    </row>
    <row r="2579" spans="1:17" x14ac:dyDescent="0.3">
      <c r="A2579" t="s">
        <v>33</v>
      </c>
      <c r="B2579" t="str">
        <f>"002197"</f>
        <v>002197</v>
      </c>
      <c r="C2579" t="s">
        <v>5494</v>
      </c>
      <c r="D2579" t="s">
        <v>1571</v>
      </c>
      <c r="E2579">
        <v>-16038604</v>
      </c>
      <c r="F2579">
        <v>8684748</v>
      </c>
      <c r="G2579">
        <v>83701268</v>
      </c>
      <c r="H2579">
        <v>149713667</v>
      </c>
      <c r="I2579">
        <v>-202679396</v>
      </c>
      <c r="J2579">
        <v>-483695571</v>
      </c>
      <c r="K2579">
        <v>-246221795</v>
      </c>
      <c r="L2579">
        <v>-151095825</v>
      </c>
      <c r="M2579">
        <v>-127309333</v>
      </c>
      <c r="N2579">
        <v>-67906695</v>
      </c>
      <c r="O2579">
        <v>-63392983</v>
      </c>
      <c r="P2579">
        <v>230</v>
      </c>
      <c r="Q2579" t="s">
        <v>5495</v>
      </c>
    </row>
    <row r="2580" spans="1:17" x14ac:dyDescent="0.3">
      <c r="A2580" t="s">
        <v>17</v>
      </c>
      <c r="B2580" t="str">
        <f>"603157"</f>
        <v>603157</v>
      </c>
      <c r="C2580" t="s">
        <v>5496</v>
      </c>
      <c r="D2580" t="s">
        <v>581</v>
      </c>
      <c r="E2580">
        <v>-16179000</v>
      </c>
      <c r="F2580">
        <v>25347000</v>
      </c>
      <c r="G2580">
        <v>-54414000</v>
      </c>
      <c r="H2580">
        <v>288915000</v>
      </c>
      <c r="I2580">
        <v>-175011000</v>
      </c>
      <c r="J2580">
        <v>183866000</v>
      </c>
      <c r="P2580">
        <v>88</v>
      </c>
      <c r="Q2580" t="s">
        <v>5497</v>
      </c>
    </row>
    <row r="2581" spans="1:17" x14ac:dyDescent="0.3">
      <c r="A2581" t="s">
        <v>17</v>
      </c>
      <c r="B2581" t="str">
        <f>"603959"</f>
        <v>603959</v>
      </c>
      <c r="C2581" t="s">
        <v>5498</v>
      </c>
      <c r="D2581" t="s">
        <v>1461</v>
      </c>
      <c r="E2581">
        <v>-16260911</v>
      </c>
      <c r="F2581">
        <v>21183788</v>
      </c>
      <c r="G2581">
        <v>-230053217</v>
      </c>
      <c r="H2581">
        <v>-89136684</v>
      </c>
      <c r="I2581">
        <v>173748343</v>
      </c>
      <c r="J2581">
        <v>-160809984</v>
      </c>
      <c r="K2581">
        <v>-57805728</v>
      </c>
      <c r="L2581">
        <v>47548658</v>
      </c>
      <c r="P2581">
        <v>80</v>
      </c>
      <c r="Q2581" t="s">
        <v>5499</v>
      </c>
    </row>
    <row r="2582" spans="1:17" x14ac:dyDescent="0.3">
      <c r="A2582" t="s">
        <v>17</v>
      </c>
      <c r="B2582" t="str">
        <f>"688377"</f>
        <v>688377</v>
      </c>
      <c r="C2582" t="s">
        <v>5500</v>
      </c>
      <c r="D2582" t="s">
        <v>1132</v>
      </c>
      <c r="E2582">
        <v>-16374267</v>
      </c>
      <c r="F2582">
        <v>21019790</v>
      </c>
      <c r="G2582">
        <v>41085134</v>
      </c>
      <c r="H2582">
        <v>19416220</v>
      </c>
      <c r="P2582">
        <v>52</v>
      </c>
      <c r="Q2582" t="s">
        <v>5501</v>
      </c>
    </row>
    <row r="2583" spans="1:17" x14ac:dyDescent="0.3">
      <c r="A2583" t="s">
        <v>33</v>
      </c>
      <c r="B2583" t="str">
        <f>"300963"</f>
        <v>300963</v>
      </c>
      <c r="C2583" t="s">
        <v>5502</v>
      </c>
      <c r="D2583" t="s">
        <v>2576</v>
      </c>
      <c r="E2583">
        <v>-16429075</v>
      </c>
      <c r="F2583">
        <v>-50110738</v>
      </c>
      <c r="G2583">
        <v>-16879103</v>
      </c>
      <c r="P2583">
        <v>35</v>
      </c>
      <c r="Q2583" t="s">
        <v>5503</v>
      </c>
    </row>
    <row r="2584" spans="1:17" x14ac:dyDescent="0.3">
      <c r="A2584" t="s">
        <v>33</v>
      </c>
      <c r="B2584" t="str">
        <f>"300611"</f>
        <v>300611</v>
      </c>
      <c r="C2584" t="s">
        <v>5504</v>
      </c>
      <c r="D2584" t="s">
        <v>858</v>
      </c>
      <c r="E2584">
        <v>-16495612</v>
      </c>
      <c r="F2584">
        <v>-14078490</v>
      </c>
      <c r="G2584">
        <v>33559974</v>
      </c>
      <c r="H2584">
        <v>-4392538</v>
      </c>
      <c r="I2584">
        <v>-1921361</v>
      </c>
      <c r="J2584">
        <v>-572360</v>
      </c>
      <c r="K2584">
        <v>10482472</v>
      </c>
      <c r="P2584">
        <v>97</v>
      </c>
      <c r="Q2584" t="s">
        <v>5505</v>
      </c>
    </row>
    <row r="2585" spans="1:17" x14ac:dyDescent="0.3">
      <c r="A2585" t="s">
        <v>17</v>
      </c>
      <c r="B2585" t="str">
        <f>"600112"</f>
        <v>600112</v>
      </c>
      <c r="C2585" t="s">
        <v>5506</v>
      </c>
      <c r="D2585" t="s">
        <v>298</v>
      </c>
      <c r="E2585">
        <v>-16497111</v>
      </c>
      <c r="F2585">
        <v>-8042916</v>
      </c>
      <c r="G2585">
        <v>1284365</v>
      </c>
      <c r="H2585">
        <v>-6683659</v>
      </c>
      <c r="I2585">
        <v>10155973</v>
      </c>
      <c r="J2585">
        <v>6757941</v>
      </c>
      <c r="K2585">
        <v>28149766</v>
      </c>
      <c r="L2585">
        <v>36660716</v>
      </c>
      <c r="M2585">
        <v>-72166223</v>
      </c>
      <c r="N2585">
        <v>-64574996</v>
      </c>
      <c r="O2585">
        <v>-64554292</v>
      </c>
      <c r="P2585">
        <v>56</v>
      </c>
      <c r="Q2585" t="s">
        <v>5507</v>
      </c>
    </row>
    <row r="2586" spans="1:17" x14ac:dyDescent="0.3">
      <c r="A2586" t="s">
        <v>33</v>
      </c>
      <c r="B2586" t="str">
        <f>"300031"</f>
        <v>300031</v>
      </c>
      <c r="C2586" t="s">
        <v>5508</v>
      </c>
      <c r="D2586" t="s">
        <v>751</v>
      </c>
      <c r="E2586">
        <v>-16511710</v>
      </c>
      <c r="F2586">
        <v>-12019713</v>
      </c>
      <c r="G2586">
        <v>41498964</v>
      </c>
      <c r="H2586">
        <v>49542234</v>
      </c>
      <c r="I2586">
        <v>12583461</v>
      </c>
      <c r="J2586">
        <v>41775950</v>
      </c>
      <c r="K2586">
        <v>61697916</v>
      </c>
      <c r="L2586">
        <v>44369976</v>
      </c>
      <c r="M2586">
        <v>14677689</v>
      </c>
      <c r="N2586">
        <v>13653088</v>
      </c>
      <c r="O2586">
        <v>6810389</v>
      </c>
      <c r="P2586">
        <v>259</v>
      </c>
      <c r="Q2586" t="s">
        <v>5509</v>
      </c>
    </row>
    <row r="2587" spans="1:17" x14ac:dyDescent="0.3">
      <c r="A2587" t="s">
        <v>33</v>
      </c>
      <c r="B2587" t="str">
        <f>"002245"</f>
        <v>002245</v>
      </c>
      <c r="C2587" t="s">
        <v>5510</v>
      </c>
      <c r="D2587" t="s">
        <v>156</v>
      </c>
      <c r="E2587">
        <v>-16537490</v>
      </c>
      <c r="F2587">
        <v>347917153</v>
      </c>
      <c r="G2587">
        <v>155447501</v>
      </c>
      <c r="H2587">
        <v>396910574</v>
      </c>
      <c r="I2587">
        <v>15651857</v>
      </c>
      <c r="J2587">
        <v>13032577</v>
      </c>
      <c r="K2587">
        <v>154868107</v>
      </c>
      <c r="L2587">
        <v>133580902</v>
      </c>
      <c r="M2587">
        <v>14531329</v>
      </c>
      <c r="N2587">
        <v>18048814</v>
      </c>
      <c r="O2587">
        <v>78095722</v>
      </c>
      <c r="P2587">
        <v>377</v>
      </c>
      <c r="Q2587" t="s">
        <v>5511</v>
      </c>
    </row>
    <row r="2588" spans="1:17" x14ac:dyDescent="0.3">
      <c r="A2588" t="s">
        <v>33</v>
      </c>
      <c r="B2588" t="str">
        <f>"300222"</f>
        <v>300222</v>
      </c>
      <c r="C2588" t="s">
        <v>5512</v>
      </c>
      <c r="D2588" t="s">
        <v>1182</v>
      </c>
      <c r="E2588">
        <v>-16639991</v>
      </c>
      <c r="F2588">
        <v>-62717079</v>
      </c>
      <c r="G2588">
        <v>-78948488</v>
      </c>
      <c r="H2588">
        <v>-100951437</v>
      </c>
      <c r="I2588">
        <v>-225417336</v>
      </c>
      <c r="J2588">
        <v>-207984697</v>
      </c>
      <c r="K2588">
        <v>-50792650</v>
      </c>
      <c r="L2588">
        <v>-39049227</v>
      </c>
      <c r="M2588">
        <v>-27316785</v>
      </c>
      <c r="N2588">
        <v>-31756698</v>
      </c>
      <c r="O2588">
        <v>-31935552</v>
      </c>
      <c r="P2588">
        <v>221</v>
      </c>
      <c r="Q2588" t="s">
        <v>5513</v>
      </c>
    </row>
    <row r="2589" spans="1:17" x14ac:dyDescent="0.3">
      <c r="A2589" t="s">
        <v>33</v>
      </c>
      <c r="B2589" t="str">
        <f>"301198"</f>
        <v>301198</v>
      </c>
      <c r="C2589" t="s">
        <v>5514</v>
      </c>
      <c r="D2589" t="s">
        <v>1609</v>
      </c>
      <c r="E2589">
        <v>-16704147</v>
      </c>
      <c r="P2589">
        <v>16</v>
      </c>
      <c r="Q2589" t="s">
        <v>5515</v>
      </c>
    </row>
    <row r="2590" spans="1:17" x14ac:dyDescent="0.3">
      <c r="A2590" t="s">
        <v>33</v>
      </c>
      <c r="B2590" t="str">
        <f>"300515"</f>
        <v>300515</v>
      </c>
      <c r="C2590" t="s">
        <v>5516</v>
      </c>
      <c r="D2590" t="s">
        <v>2417</v>
      </c>
      <c r="E2590">
        <v>-16757094</v>
      </c>
      <c r="F2590">
        <v>12319736</v>
      </c>
      <c r="G2590">
        <v>-4892128</v>
      </c>
      <c r="H2590">
        <v>2335548</v>
      </c>
      <c r="I2590">
        <v>-7045629</v>
      </c>
      <c r="J2590">
        <v>-10863271</v>
      </c>
      <c r="K2590">
        <v>4122111</v>
      </c>
      <c r="L2590">
        <v>-7817621</v>
      </c>
      <c r="P2590">
        <v>80</v>
      </c>
      <c r="Q2590" t="s">
        <v>5517</v>
      </c>
    </row>
    <row r="2591" spans="1:17" x14ac:dyDescent="0.3">
      <c r="A2591" t="s">
        <v>33</v>
      </c>
      <c r="B2591" t="str">
        <f>"300722"</f>
        <v>300722</v>
      </c>
      <c r="C2591" t="s">
        <v>5518</v>
      </c>
      <c r="D2591" t="s">
        <v>2671</v>
      </c>
      <c r="E2591">
        <v>-16820701</v>
      </c>
      <c r="F2591">
        <v>-29670409</v>
      </c>
      <c r="G2591">
        <v>-15946563</v>
      </c>
      <c r="H2591">
        <v>-27537708</v>
      </c>
      <c r="I2591">
        <v>-27382417</v>
      </c>
      <c r="J2591">
        <v>-16430173</v>
      </c>
      <c r="P2591">
        <v>113</v>
      </c>
      <c r="Q2591" t="s">
        <v>5519</v>
      </c>
    </row>
    <row r="2592" spans="1:17" x14ac:dyDescent="0.3">
      <c r="A2592" t="s">
        <v>33</v>
      </c>
      <c r="B2592" t="str">
        <f>"300116"</f>
        <v>300116</v>
      </c>
      <c r="C2592" t="s">
        <v>5520</v>
      </c>
      <c r="D2592" t="s">
        <v>156</v>
      </c>
      <c r="E2592">
        <v>-16854515</v>
      </c>
      <c r="F2592">
        <v>-55058258</v>
      </c>
      <c r="G2592">
        <v>-35607767</v>
      </c>
      <c r="H2592">
        <v>-1950803</v>
      </c>
      <c r="I2592">
        <v>297246636</v>
      </c>
      <c r="J2592">
        <v>-917290510</v>
      </c>
      <c r="K2592">
        <v>-16279801</v>
      </c>
      <c r="L2592">
        <v>-11338950</v>
      </c>
      <c r="M2592">
        <v>5757275</v>
      </c>
      <c r="N2592">
        <v>-28706581</v>
      </c>
      <c r="O2592">
        <v>-35406749</v>
      </c>
      <c r="P2592">
        <v>173</v>
      </c>
      <c r="Q2592" t="s">
        <v>5521</v>
      </c>
    </row>
    <row r="2593" spans="1:17" x14ac:dyDescent="0.3">
      <c r="A2593" t="s">
        <v>17</v>
      </c>
      <c r="B2593" t="str">
        <f>"603826"</f>
        <v>603826</v>
      </c>
      <c r="C2593" t="s">
        <v>5522</v>
      </c>
      <c r="D2593" t="s">
        <v>790</v>
      </c>
      <c r="E2593">
        <v>-16864486</v>
      </c>
      <c r="F2593">
        <v>32839668</v>
      </c>
      <c r="G2593">
        <v>31273871</v>
      </c>
      <c r="H2593">
        <v>240160</v>
      </c>
      <c r="I2593">
        <v>29078413</v>
      </c>
      <c r="J2593">
        <v>12531815</v>
      </c>
      <c r="K2593">
        <v>5277255</v>
      </c>
      <c r="P2593">
        <v>265</v>
      </c>
      <c r="Q2593" t="s">
        <v>5523</v>
      </c>
    </row>
    <row r="2594" spans="1:17" x14ac:dyDescent="0.3">
      <c r="A2594" t="s">
        <v>17</v>
      </c>
      <c r="B2594" t="str">
        <f>"603656"</f>
        <v>603656</v>
      </c>
      <c r="C2594" t="s">
        <v>5524</v>
      </c>
      <c r="D2594" t="s">
        <v>1895</v>
      </c>
      <c r="E2594">
        <v>-16882989</v>
      </c>
      <c r="F2594">
        <v>-39793405</v>
      </c>
      <c r="G2594">
        <v>-23797808</v>
      </c>
      <c r="H2594">
        <v>-16327441</v>
      </c>
      <c r="I2594">
        <v>-18161913</v>
      </c>
      <c r="J2594">
        <v>-6582703</v>
      </c>
      <c r="K2594">
        <v>-5663312</v>
      </c>
      <c r="P2594">
        <v>80</v>
      </c>
      <c r="Q2594" t="s">
        <v>5525</v>
      </c>
    </row>
    <row r="2595" spans="1:17" x14ac:dyDescent="0.3">
      <c r="A2595" t="s">
        <v>17</v>
      </c>
      <c r="B2595" t="str">
        <f>"600354"</f>
        <v>600354</v>
      </c>
      <c r="C2595" t="s">
        <v>5526</v>
      </c>
      <c r="D2595" t="s">
        <v>1990</v>
      </c>
      <c r="E2595">
        <v>-16902447</v>
      </c>
      <c r="F2595">
        <v>-38793751</v>
      </c>
      <c r="G2595">
        <v>-44025390</v>
      </c>
      <c r="H2595">
        <v>-97325673</v>
      </c>
      <c r="I2595">
        <v>-122863643</v>
      </c>
      <c r="J2595">
        <v>-169104417</v>
      </c>
      <c r="K2595">
        <v>-221352682</v>
      </c>
      <c r="L2595">
        <v>-55099891</v>
      </c>
      <c r="M2595">
        <v>-22248020</v>
      </c>
      <c r="N2595">
        <v>39733404</v>
      </c>
      <c r="O2595">
        <v>14691302</v>
      </c>
      <c r="P2595">
        <v>121</v>
      </c>
      <c r="Q2595" t="s">
        <v>5527</v>
      </c>
    </row>
    <row r="2596" spans="1:17" x14ac:dyDescent="0.3">
      <c r="A2596" t="s">
        <v>33</v>
      </c>
      <c r="B2596" t="str">
        <f>"002801"</f>
        <v>002801</v>
      </c>
      <c r="C2596" t="s">
        <v>5528</v>
      </c>
      <c r="D2596" t="s">
        <v>1091</v>
      </c>
      <c r="E2596">
        <v>-16904820</v>
      </c>
      <c r="F2596">
        <v>-40029563</v>
      </c>
      <c r="G2596">
        <v>-8294854</v>
      </c>
      <c r="H2596">
        <v>17292499</v>
      </c>
      <c r="I2596">
        <v>-3950406</v>
      </c>
      <c r="J2596">
        <v>-2280233</v>
      </c>
      <c r="K2596">
        <v>14965020</v>
      </c>
      <c r="L2596">
        <v>12366988</v>
      </c>
      <c r="P2596">
        <v>201</v>
      </c>
      <c r="Q2596" t="s">
        <v>5529</v>
      </c>
    </row>
    <row r="2597" spans="1:17" x14ac:dyDescent="0.3">
      <c r="A2597" t="s">
        <v>33</v>
      </c>
      <c r="B2597" t="str">
        <f>"301056"</f>
        <v>301056</v>
      </c>
      <c r="C2597" t="s">
        <v>5530</v>
      </c>
      <c r="D2597" t="s">
        <v>2528</v>
      </c>
      <c r="E2597">
        <v>-16948489</v>
      </c>
      <c r="P2597">
        <v>16</v>
      </c>
      <c r="Q2597" t="s">
        <v>5531</v>
      </c>
    </row>
    <row r="2598" spans="1:17" x14ac:dyDescent="0.3">
      <c r="A2598" t="s">
        <v>17</v>
      </c>
      <c r="B2598" t="str">
        <f>"600291"</f>
        <v>600291</v>
      </c>
      <c r="C2598" t="s">
        <v>5532</v>
      </c>
      <c r="D2598" t="s">
        <v>26</v>
      </c>
      <c r="E2598">
        <v>-16969459</v>
      </c>
      <c r="F2598">
        <v>67454070</v>
      </c>
      <c r="G2598">
        <v>-1428791482</v>
      </c>
      <c r="H2598">
        <v>-33505583590</v>
      </c>
      <c r="I2598">
        <v>-74077177884</v>
      </c>
      <c r="J2598">
        <v>-42908130538</v>
      </c>
      <c r="K2598">
        <v>90710918046</v>
      </c>
      <c r="L2598">
        <v>39440274332</v>
      </c>
      <c r="M2598">
        <v>2386858638.4400001</v>
      </c>
      <c r="N2598">
        <v>820705287.16999996</v>
      </c>
      <c r="O2598">
        <v>18550845.629999999</v>
      </c>
      <c r="P2598">
        <v>276</v>
      </c>
      <c r="Q2598" t="s">
        <v>5533</v>
      </c>
    </row>
    <row r="2599" spans="1:17" x14ac:dyDescent="0.3">
      <c r="A2599" t="s">
        <v>33</v>
      </c>
      <c r="B2599" t="str">
        <f>"301083"</f>
        <v>301083</v>
      </c>
      <c r="C2599" t="s">
        <v>5534</v>
      </c>
      <c r="D2599" t="s">
        <v>1895</v>
      </c>
      <c r="E2599">
        <v>-17021636</v>
      </c>
      <c r="P2599">
        <v>16</v>
      </c>
      <c r="Q2599" t="s">
        <v>5535</v>
      </c>
    </row>
    <row r="2600" spans="1:17" x14ac:dyDescent="0.3">
      <c r="A2600" t="s">
        <v>33</v>
      </c>
      <c r="B2600" t="str">
        <f>"002235"</f>
        <v>002235</v>
      </c>
      <c r="C2600" t="s">
        <v>5536</v>
      </c>
      <c r="D2600" t="s">
        <v>1119</v>
      </c>
      <c r="E2600">
        <v>-17035177</v>
      </c>
      <c r="F2600">
        <v>836800</v>
      </c>
      <c r="G2600">
        <v>-66808862</v>
      </c>
      <c r="H2600">
        <v>19639926</v>
      </c>
      <c r="I2600">
        <v>-56786131</v>
      </c>
      <c r="J2600">
        <v>-70113973</v>
      </c>
      <c r="K2600">
        <v>-28167858</v>
      </c>
      <c r="L2600">
        <v>-21405445</v>
      </c>
      <c r="M2600">
        <v>-47874118</v>
      </c>
      <c r="N2600">
        <v>-41147973</v>
      </c>
      <c r="O2600">
        <v>-21530557</v>
      </c>
      <c r="P2600">
        <v>142</v>
      </c>
      <c r="Q2600" t="s">
        <v>5537</v>
      </c>
    </row>
    <row r="2601" spans="1:17" x14ac:dyDescent="0.3">
      <c r="A2601" t="s">
        <v>33</v>
      </c>
      <c r="B2601" t="str">
        <f>"301185"</f>
        <v>301185</v>
      </c>
      <c r="C2601" t="s">
        <v>5538</v>
      </c>
      <c r="D2601" t="s">
        <v>508</v>
      </c>
      <c r="E2601">
        <v>-17186728</v>
      </c>
      <c r="F2601">
        <v>-19465713</v>
      </c>
      <c r="P2601">
        <v>20</v>
      </c>
      <c r="Q2601" t="s">
        <v>5539</v>
      </c>
    </row>
    <row r="2602" spans="1:17" x14ac:dyDescent="0.3">
      <c r="A2602" t="s">
        <v>17</v>
      </c>
      <c r="B2602" t="str">
        <f>"688505"</f>
        <v>688505</v>
      </c>
      <c r="C2602" t="s">
        <v>5540</v>
      </c>
      <c r="D2602" t="s">
        <v>590</v>
      </c>
      <c r="E2602">
        <v>-17207380</v>
      </c>
      <c r="F2602">
        <v>-24454235</v>
      </c>
      <c r="G2602">
        <v>22749968</v>
      </c>
      <c r="H2602">
        <v>46638761</v>
      </c>
      <c r="P2602">
        <v>69</v>
      </c>
      <c r="Q2602" t="s">
        <v>5541</v>
      </c>
    </row>
    <row r="2603" spans="1:17" x14ac:dyDescent="0.3">
      <c r="A2603" t="s">
        <v>17</v>
      </c>
      <c r="B2603" t="str">
        <f>"605180"</f>
        <v>605180</v>
      </c>
      <c r="C2603" t="s">
        <v>5542</v>
      </c>
      <c r="D2603" t="s">
        <v>1292</v>
      </c>
      <c r="E2603">
        <v>-17208357</v>
      </c>
      <c r="F2603">
        <v>-44540194</v>
      </c>
      <c r="G2603">
        <v>-17074835</v>
      </c>
      <c r="P2603">
        <v>40</v>
      </c>
      <c r="Q2603" t="s">
        <v>5543</v>
      </c>
    </row>
    <row r="2604" spans="1:17" x14ac:dyDescent="0.3">
      <c r="A2604" t="s">
        <v>33</v>
      </c>
      <c r="B2604" t="str">
        <f>"000639"</f>
        <v>000639</v>
      </c>
      <c r="C2604" t="s">
        <v>5544</v>
      </c>
      <c r="D2604" t="s">
        <v>358</v>
      </c>
      <c r="E2604">
        <v>-17215188</v>
      </c>
      <c r="F2604">
        <v>51518861</v>
      </c>
      <c r="G2604">
        <v>-20616843</v>
      </c>
      <c r="H2604">
        <v>15625944</v>
      </c>
      <c r="I2604">
        <v>512189240</v>
      </c>
      <c r="J2604">
        <v>-203009288</v>
      </c>
      <c r="K2604">
        <v>-169865739</v>
      </c>
      <c r="L2604">
        <v>51993164</v>
      </c>
      <c r="M2604">
        <v>-139872228</v>
      </c>
      <c r="N2604">
        <v>-155549171</v>
      </c>
      <c r="O2604">
        <v>28928106</v>
      </c>
      <c r="P2604">
        <v>328</v>
      </c>
      <c r="Q2604" t="s">
        <v>5545</v>
      </c>
    </row>
    <row r="2605" spans="1:17" x14ac:dyDescent="0.3">
      <c r="A2605" t="s">
        <v>17</v>
      </c>
      <c r="B2605" t="str">
        <f>"600272"</f>
        <v>600272</v>
      </c>
      <c r="C2605" t="s">
        <v>5546</v>
      </c>
      <c r="D2605" t="s">
        <v>415</v>
      </c>
      <c r="E2605">
        <v>-17377534</v>
      </c>
      <c r="F2605">
        <v>-24993755</v>
      </c>
      <c r="G2605">
        <v>-17737669</v>
      </c>
      <c r="H2605">
        <v>4367970</v>
      </c>
      <c r="I2605">
        <v>-6675139</v>
      </c>
      <c r="J2605">
        <v>37940</v>
      </c>
      <c r="K2605">
        <v>-8851007</v>
      </c>
      <c r="L2605">
        <v>3161373</v>
      </c>
      <c r="M2605">
        <v>-3291633</v>
      </c>
      <c r="N2605">
        <v>6467054</v>
      </c>
      <c r="O2605">
        <v>-5069190</v>
      </c>
      <c r="P2605">
        <v>66</v>
      </c>
      <c r="Q2605" t="s">
        <v>5547</v>
      </c>
    </row>
    <row r="2606" spans="1:17" x14ac:dyDescent="0.3">
      <c r="A2606" t="s">
        <v>17</v>
      </c>
      <c r="B2606" t="str">
        <f>"688596"</f>
        <v>688596</v>
      </c>
      <c r="C2606" t="s">
        <v>5548</v>
      </c>
      <c r="D2606" t="s">
        <v>1895</v>
      </c>
      <c r="E2606">
        <v>-17395858</v>
      </c>
      <c r="F2606">
        <v>-38483337</v>
      </c>
      <c r="G2606">
        <v>-135158710</v>
      </c>
      <c r="H2606">
        <v>-107324473</v>
      </c>
      <c r="P2606">
        <v>61</v>
      </c>
      <c r="Q2606" t="s">
        <v>5549</v>
      </c>
    </row>
    <row r="2607" spans="1:17" x14ac:dyDescent="0.3">
      <c r="A2607" t="s">
        <v>17</v>
      </c>
      <c r="B2607" t="str">
        <f>"600099"</f>
        <v>600099</v>
      </c>
      <c r="C2607" t="s">
        <v>5550</v>
      </c>
      <c r="D2607" t="s">
        <v>545</v>
      </c>
      <c r="E2607">
        <v>-17432162</v>
      </c>
      <c r="F2607">
        <v>-29126506</v>
      </c>
      <c r="G2607">
        <v>-26184777</v>
      </c>
      <c r="H2607">
        <v>-42529158</v>
      </c>
      <c r="I2607">
        <v>-16562728</v>
      </c>
      <c r="J2607">
        <v>-28702590</v>
      </c>
      <c r="K2607">
        <v>-19166716</v>
      </c>
      <c r="L2607">
        <v>-19930047</v>
      </c>
      <c r="M2607">
        <v>-8619070</v>
      </c>
      <c r="N2607">
        <v>-12520813</v>
      </c>
      <c r="O2607">
        <v>-18327464</v>
      </c>
      <c r="P2607">
        <v>74</v>
      </c>
      <c r="Q2607" t="s">
        <v>5551</v>
      </c>
    </row>
    <row r="2608" spans="1:17" x14ac:dyDescent="0.3">
      <c r="A2608" t="s">
        <v>17</v>
      </c>
      <c r="B2608" t="str">
        <f>"600890"</f>
        <v>600890</v>
      </c>
      <c r="C2608" t="s">
        <v>5552</v>
      </c>
      <c r="D2608" t="s">
        <v>317</v>
      </c>
      <c r="E2608">
        <v>-17512737</v>
      </c>
      <c r="F2608">
        <v>-12759370</v>
      </c>
      <c r="G2608">
        <v>-15336664</v>
      </c>
      <c r="H2608">
        <v>-9807483</v>
      </c>
      <c r="I2608">
        <v>-19476897</v>
      </c>
      <c r="J2608">
        <v>-11814350</v>
      </c>
      <c r="K2608">
        <v>-19984331</v>
      </c>
      <c r="L2608">
        <v>-2840250</v>
      </c>
      <c r="M2608">
        <v>-5508123</v>
      </c>
      <c r="N2608">
        <v>-722271</v>
      </c>
      <c r="O2608">
        <v>-1292170</v>
      </c>
      <c r="P2608">
        <v>73</v>
      </c>
      <c r="Q2608" t="s">
        <v>5553</v>
      </c>
    </row>
    <row r="2609" spans="1:17" x14ac:dyDescent="0.3">
      <c r="A2609" t="s">
        <v>33</v>
      </c>
      <c r="B2609" t="str">
        <f>"300943"</f>
        <v>300943</v>
      </c>
      <c r="C2609" t="s">
        <v>5554</v>
      </c>
      <c r="D2609" t="s">
        <v>164</v>
      </c>
      <c r="E2609">
        <v>-17534095</v>
      </c>
      <c r="F2609">
        <v>-34028375</v>
      </c>
      <c r="G2609">
        <v>-13337427</v>
      </c>
      <c r="H2609">
        <v>18880781</v>
      </c>
      <c r="I2609">
        <v>-10243547</v>
      </c>
      <c r="P2609">
        <v>35</v>
      </c>
      <c r="Q2609" t="s">
        <v>5555</v>
      </c>
    </row>
    <row r="2610" spans="1:17" x14ac:dyDescent="0.3">
      <c r="A2610" t="s">
        <v>33</v>
      </c>
      <c r="B2610" t="str">
        <f>"002451"</f>
        <v>002451</v>
      </c>
      <c r="C2610" t="s">
        <v>5556</v>
      </c>
      <c r="D2610" t="s">
        <v>1282</v>
      </c>
      <c r="E2610">
        <v>-17591405</v>
      </c>
      <c r="F2610">
        <v>-56115723</v>
      </c>
      <c r="G2610">
        <v>-33750966</v>
      </c>
      <c r="H2610">
        <v>58147719</v>
      </c>
      <c r="I2610">
        <v>74782470</v>
      </c>
      <c r="J2610">
        <v>-2814250</v>
      </c>
      <c r="K2610">
        <v>61771474</v>
      </c>
      <c r="L2610">
        <v>-51985460</v>
      </c>
      <c r="M2610">
        <v>-46577068</v>
      </c>
      <c r="N2610">
        <v>-73398358</v>
      </c>
      <c r="O2610">
        <v>29116679</v>
      </c>
      <c r="P2610">
        <v>105</v>
      </c>
      <c r="Q2610" t="s">
        <v>5557</v>
      </c>
    </row>
    <row r="2611" spans="1:17" x14ac:dyDescent="0.3">
      <c r="A2611" t="s">
        <v>17</v>
      </c>
      <c r="B2611" t="str">
        <f>"603038"</f>
        <v>603038</v>
      </c>
      <c r="C2611" t="s">
        <v>5558</v>
      </c>
      <c r="D2611" t="s">
        <v>2632</v>
      </c>
      <c r="E2611">
        <v>-17617559</v>
      </c>
      <c r="F2611">
        <v>-79052787</v>
      </c>
      <c r="G2611">
        <v>-83870928</v>
      </c>
      <c r="H2611">
        <v>-35519149</v>
      </c>
      <c r="I2611">
        <v>-7253995</v>
      </c>
      <c r="J2611">
        <v>-22858452</v>
      </c>
      <c r="K2611">
        <v>-6472633</v>
      </c>
      <c r="P2611">
        <v>70</v>
      </c>
      <c r="Q2611" t="s">
        <v>5559</v>
      </c>
    </row>
    <row r="2612" spans="1:17" x14ac:dyDescent="0.3">
      <c r="A2612" t="s">
        <v>17</v>
      </c>
      <c r="B2612" t="str">
        <f>"688625"</f>
        <v>688625</v>
      </c>
      <c r="C2612" t="s">
        <v>5560</v>
      </c>
      <c r="D2612" t="s">
        <v>418</v>
      </c>
      <c r="E2612">
        <v>-17631843</v>
      </c>
      <c r="F2612">
        <v>29920892</v>
      </c>
      <c r="G2612">
        <v>26095950</v>
      </c>
      <c r="P2612">
        <v>63</v>
      </c>
      <c r="Q2612" t="s">
        <v>5561</v>
      </c>
    </row>
    <row r="2613" spans="1:17" x14ac:dyDescent="0.3">
      <c r="A2613" t="s">
        <v>17</v>
      </c>
      <c r="B2613" t="str">
        <f>"601579"</f>
        <v>601579</v>
      </c>
      <c r="C2613" t="s">
        <v>5562</v>
      </c>
      <c r="D2613" t="s">
        <v>1172</v>
      </c>
      <c r="E2613">
        <v>-17646193</v>
      </c>
      <c r="F2613">
        <v>346532</v>
      </c>
      <c r="G2613">
        <v>-87806585</v>
      </c>
      <c r="H2613">
        <v>-61859910</v>
      </c>
      <c r="I2613">
        <v>-81574044</v>
      </c>
      <c r="J2613">
        <v>-91302424</v>
      </c>
      <c r="K2613">
        <v>48333956</v>
      </c>
      <c r="L2613">
        <v>-62713888</v>
      </c>
      <c r="M2613">
        <v>-115686930</v>
      </c>
      <c r="P2613">
        <v>186</v>
      </c>
      <c r="Q2613" t="s">
        <v>5563</v>
      </c>
    </row>
    <row r="2614" spans="1:17" x14ac:dyDescent="0.3">
      <c r="A2614" t="s">
        <v>33</v>
      </c>
      <c r="B2614" t="str">
        <f>"300493"</f>
        <v>300493</v>
      </c>
      <c r="C2614" t="s">
        <v>5564</v>
      </c>
      <c r="D2614" t="s">
        <v>499</v>
      </c>
      <c r="E2614">
        <v>-17662044</v>
      </c>
      <c r="F2614">
        <v>13037222</v>
      </c>
      <c r="G2614">
        <v>93094161</v>
      </c>
      <c r="H2614">
        <v>152669557</v>
      </c>
      <c r="I2614">
        <v>53672807</v>
      </c>
      <c r="J2614">
        <v>43512588</v>
      </c>
      <c r="K2614">
        <v>-23525800</v>
      </c>
      <c r="L2614">
        <v>16642100</v>
      </c>
      <c r="P2614">
        <v>187</v>
      </c>
      <c r="Q2614" t="s">
        <v>5565</v>
      </c>
    </row>
    <row r="2615" spans="1:17" x14ac:dyDescent="0.3">
      <c r="A2615" t="s">
        <v>33</v>
      </c>
      <c r="B2615" t="str">
        <f>"000756"</f>
        <v>000756</v>
      </c>
      <c r="C2615" t="s">
        <v>5566</v>
      </c>
      <c r="D2615" t="s">
        <v>941</v>
      </c>
      <c r="E2615">
        <v>-17713947</v>
      </c>
      <c r="F2615">
        <v>89368875</v>
      </c>
      <c r="G2615">
        <v>104929222</v>
      </c>
      <c r="H2615">
        <v>56302680</v>
      </c>
      <c r="I2615">
        <v>-4063722</v>
      </c>
      <c r="J2615">
        <v>54305763</v>
      </c>
      <c r="K2615">
        <v>47488815</v>
      </c>
      <c r="L2615">
        <v>-18147579</v>
      </c>
      <c r="M2615">
        <v>52871464</v>
      </c>
      <c r="N2615">
        <v>-122640755</v>
      </c>
      <c r="O2615">
        <v>-70103840</v>
      </c>
      <c r="P2615">
        <v>218</v>
      </c>
      <c r="Q2615" t="s">
        <v>5567</v>
      </c>
    </row>
    <row r="2616" spans="1:17" x14ac:dyDescent="0.3">
      <c r="A2616" t="s">
        <v>33</v>
      </c>
      <c r="B2616" t="str">
        <f>"301229"</f>
        <v>301229</v>
      </c>
      <c r="C2616" t="s">
        <v>5568</v>
      </c>
      <c r="E2616">
        <v>-17775563</v>
      </c>
      <c r="P2616">
        <v>6</v>
      </c>
      <c r="Q2616" t="s">
        <v>5569</v>
      </c>
    </row>
    <row r="2617" spans="1:17" x14ac:dyDescent="0.3">
      <c r="A2617" t="s">
        <v>33</v>
      </c>
      <c r="B2617" t="str">
        <f>"301028"</f>
        <v>301028</v>
      </c>
      <c r="C2617" t="s">
        <v>5570</v>
      </c>
      <c r="D2617" t="s">
        <v>1033</v>
      </c>
      <c r="E2617">
        <v>-17872614</v>
      </c>
      <c r="F2617">
        <v>-1669509</v>
      </c>
      <c r="G2617">
        <v>-25316186</v>
      </c>
      <c r="P2617">
        <v>53</v>
      </c>
      <c r="Q2617" t="s">
        <v>5571</v>
      </c>
    </row>
    <row r="2618" spans="1:17" x14ac:dyDescent="0.3">
      <c r="A2618" t="s">
        <v>33</v>
      </c>
      <c r="B2618" t="str">
        <f>"300314"</f>
        <v>300314</v>
      </c>
      <c r="C2618" t="s">
        <v>5572</v>
      </c>
      <c r="D2618" t="s">
        <v>111</v>
      </c>
      <c r="E2618">
        <v>-17914206</v>
      </c>
      <c r="F2618">
        <v>-53198078</v>
      </c>
      <c r="G2618">
        <v>-25963279</v>
      </c>
      <c r="H2618">
        <v>-30614877</v>
      </c>
      <c r="I2618">
        <v>-29733796</v>
      </c>
      <c r="J2618">
        <v>-15544334</v>
      </c>
      <c r="K2618">
        <v>-10545748</v>
      </c>
      <c r="L2618">
        <v>-6556577</v>
      </c>
      <c r="M2618">
        <v>-12496745</v>
      </c>
      <c r="N2618">
        <v>-3798236</v>
      </c>
      <c r="O2618">
        <v>8586235</v>
      </c>
      <c r="P2618">
        <v>196</v>
      </c>
      <c r="Q2618" t="s">
        <v>5573</v>
      </c>
    </row>
    <row r="2619" spans="1:17" x14ac:dyDescent="0.3">
      <c r="A2619" t="s">
        <v>33</v>
      </c>
      <c r="B2619" t="str">
        <f>"300159"</f>
        <v>300159</v>
      </c>
      <c r="C2619" t="s">
        <v>5574</v>
      </c>
      <c r="D2619" t="s">
        <v>2262</v>
      </c>
      <c r="E2619">
        <v>-17942240</v>
      </c>
      <c r="F2619">
        <v>-20897752</v>
      </c>
      <c r="G2619">
        <v>-83429888</v>
      </c>
      <c r="H2619">
        <v>-64064132</v>
      </c>
      <c r="I2619">
        <v>-90286623</v>
      </c>
      <c r="J2619">
        <v>-99602811</v>
      </c>
      <c r="K2619">
        <v>-141190688</v>
      </c>
      <c r="L2619">
        <v>-5323865</v>
      </c>
      <c r="M2619">
        <v>-66108971</v>
      </c>
      <c r="N2619">
        <v>1411227</v>
      </c>
      <c r="O2619">
        <v>-20465419</v>
      </c>
      <c r="P2619">
        <v>126</v>
      </c>
      <c r="Q2619" t="s">
        <v>5575</v>
      </c>
    </row>
    <row r="2620" spans="1:17" x14ac:dyDescent="0.3">
      <c r="A2620" t="s">
        <v>17</v>
      </c>
      <c r="B2620" t="str">
        <f>"688560"</f>
        <v>688560</v>
      </c>
      <c r="C2620" t="s">
        <v>5576</v>
      </c>
      <c r="D2620" t="s">
        <v>800</v>
      </c>
      <c r="E2620">
        <v>-17967291</v>
      </c>
      <c r="F2620">
        <v>-140848488</v>
      </c>
      <c r="P2620">
        <v>38</v>
      </c>
      <c r="Q2620" t="s">
        <v>5577</v>
      </c>
    </row>
    <row r="2621" spans="1:17" x14ac:dyDescent="0.3">
      <c r="A2621" t="s">
        <v>33</v>
      </c>
      <c r="B2621" t="str">
        <f>"002193"</f>
        <v>002193</v>
      </c>
      <c r="C2621" t="s">
        <v>5578</v>
      </c>
      <c r="D2621" t="s">
        <v>1292</v>
      </c>
      <c r="E2621">
        <v>-18041050</v>
      </c>
      <c r="F2621">
        <v>-353503014</v>
      </c>
      <c r="G2621">
        <v>-10506302</v>
      </c>
      <c r="H2621">
        <v>-217903672</v>
      </c>
      <c r="I2621">
        <v>-52090175</v>
      </c>
      <c r="J2621">
        <v>-234740601</v>
      </c>
      <c r="K2621">
        <v>-87923899</v>
      </c>
      <c r="L2621">
        <v>-17780091</v>
      </c>
      <c r="M2621">
        <v>3746341</v>
      </c>
      <c r="N2621">
        <v>2246604</v>
      </c>
      <c r="O2621">
        <v>2686448</v>
      </c>
      <c r="P2621">
        <v>93</v>
      </c>
      <c r="Q2621" t="s">
        <v>5579</v>
      </c>
    </row>
    <row r="2622" spans="1:17" x14ac:dyDescent="0.3">
      <c r="A2622" t="s">
        <v>17</v>
      </c>
      <c r="B2622" t="str">
        <f>"603200"</f>
        <v>603200</v>
      </c>
      <c r="C2622" t="s">
        <v>5580</v>
      </c>
      <c r="D2622" t="s">
        <v>932</v>
      </c>
      <c r="E2622">
        <v>-18074050</v>
      </c>
      <c r="F2622">
        <v>19871595</v>
      </c>
      <c r="G2622">
        <v>-10507363</v>
      </c>
      <c r="H2622">
        <v>-37250629</v>
      </c>
      <c r="I2622">
        <v>-7362991</v>
      </c>
      <c r="J2622">
        <v>38001720</v>
      </c>
      <c r="P2622">
        <v>101</v>
      </c>
      <c r="Q2622" t="s">
        <v>5581</v>
      </c>
    </row>
    <row r="2623" spans="1:17" x14ac:dyDescent="0.3">
      <c r="A2623" t="s">
        <v>17</v>
      </c>
      <c r="B2623" t="str">
        <f>"603933"</f>
        <v>603933</v>
      </c>
      <c r="C2623" t="s">
        <v>5582</v>
      </c>
      <c r="D2623" t="s">
        <v>499</v>
      </c>
      <c r="E2623">
        <v>-18131253</v>
      </c>
      <c r="F2623">
        <v>16386778</v>
      </c>
      <c r="G2623">
        <v>-7058652</v>
      </c>
      <c r="H2623">
        <v>14165328</v>
      </c>
      <c r="I2623">
        <v>-63245931</v>
      </c>
      <c r="J2623">
        <v>-1264223</v>
      </c>
      <c r="K2623">
        <v>-41169312</v>
      </c>
      <c r="P2623">
        <v>122</v>
      </c>
      <c r="Q2623" t="s">
        <v>5583</v>
      </c>
    </row>
    <row r="2624" spans="1:17" x14ac:dyDescent="0.3">
      <c r="A2624" t="s">
        <v>33</v>
      </c>
      <c r="B2624" t="str">
        <f>"300923"</f>
        <v>300923</v>
      </c>
      <c r="C2624" t="s">
        <v>5584</v>
      </c>
      <c r="D2624" t="s">
        <v>1703</v>
      </c>
      <c r="E2624">
        <v>-18141672</v>
      </c>
      <c r="F2624">
        <v>-29553697</v>
      </c>
      <c r="G2624">
        <v>-6215001</v>
      </c>
      <c r="P2624">
        <v>28</v>
      </c>
      <c r="Q2624" t="s">
        <v>5585</v>
      </c>
    </row>
    <row r="2625" spans="1:17" x14ac:dyDescent="0.3">
      <c r="A2625" t="s">
        <v>33</v>
      </c>
      <c r="B2625" t="str">
        <f>"002445"</f>
        <v>002445</v>
      </c>
      <c r="C2625" t="s">
        <v>5586</v>
      </c>
      <c r="D2625" t="s">
        <v>751</v>
      </c>
      <c r="E2625">
        <v>-18185346</v>
      </c>
      <c r="F2625">
        <v>-39559316</v>
      </c>
      <c r="G2625">
        <v>-13839093</v>
      </c>
      <c r="H2625">
        <v>-7775270</v>
      </c>
      <c r="I2625">
        <v>-272589021</v>
      </c>
      <c r="J2625">
        <v>-228891771</v>
      </c>
      <c r="K2625">
        <v>80244775</v>
      </c>
      <c r="L2625">
        <v>117597439</v>
      </c>
      <c r="M2625">
        <v>-59025271</v>
      </c>
      <c r="N2625">
        <v>-94296190</v>
      </c>
      <c r="O2625">
        <v>-9380216</v>
      </c>
      <c r="P2625">
        <v>110</v>
      </c>
      <c r="Q2625" t="s">
        <v>5587</v>
      </c>
    </row>
    <row r="2626" spans="1:17" x14ac:dyDescent="0.3">
      <c r="A2626" t="s">
        <v>33</v>
      </c>
      <c r="B2626" t="str">
        <f>"300670"</f>
        <v>300670</v>
      </c>
      <c r="C2626" t="s">
        <v>5588</v>
      </c>
      <c r="D2626" t="s">
        <v>675</v>
      </c>
      <c r="E2626">
        <v>-18300657</v>
      </c>
      <c r="F2626">
        <v>-26890735</v>
      </c>
      <c r="G2626">
        <v>-27474757</v>
      </c>
      <c r="H2626">
        <v>-21310130</v>
      </c>
      <c r="I2626">
        <v>-26562268</v>
      </c>
      <c r="J2626">
        <v>-34087354</v>
      </c>
      <c r="K2626">
        <v>-22614279</v>
      </c>
      <c r="P2626">
        <v>67</v>
      </c>
      <c r="Q2626" t="s">
        <v>5589</v>
      </c>
    </row>
    <row r="2627" spans="1:17" x14ac:dyDescent="0.3">
      <c r="A2627" t="s">
        <v>33</v>
      </c>
      <c r="B2627" t="str">
        <f>"300688"</f>
        <v>300688</v>
      </c>
      <c r="C2627" t="s">
        <v>5590</v>
      </c>
      <c r="D2627" t="s">
        <v>761</v>
      </c>
      <c r="E2627">
        <v>-18388137</v>
      </c>
      <c r="F2627">
        <v>-17229321</v>
      </c>
      <c r="G2627">
        <v>-7398132</v>
      </c>
      <c r="H2627">
        <v>8981607</v>
      </c>
      <c r="I2627">
        <v>-20940116</v>
      </c>
      <c r="J2627">
        <v>-18606153</v>
      </c>
      <c r="K2627">
        <v>-4772007</v>
      </c>
      <c r="P2627">
        <v>83</v>
      </c>
      <c r="Q2627" t="s">
        <v>5591</v>
      </c>
    </row>
    <row r="2628" spans="1:17" x14ac:dyDescent="0.3">
      <c r="A2628" t="s">
        <v>33</v>
      </c>
      <c r="B2628" t="str">
        <f>"300554"</f>
        <v>300554</v>
      </c>
      <c r="C2628" t="s">
        <v>5592</v>
      </c>
      <c r="D2628" t="s">
        <v>1219</v>
      </c>
      <c r="E2628">
        <v>-18416656</v>
      </c>
      <c r="F2628">
        <v>33914024</v>
      </c>
      <c r="G2628">
        <v>-12664273</v>
      </c>
      <c r="H2628">
        <v>-18285222</v>
      </c>
      <c r="I2628">
        <v>-17188183</v>
      </c>
      <c r="J2628">
        <v>-68381</v>
      </c>
      <c r="K2628">
        <v>-8638184</v>
      </c>
      <c r="P2628">
        <v>123</v>
      </c>
      <c r="Q2628" t="s">
        <v>5593</v>
      </c>
    </row>
    <row r="2629" spans="1:17" x14ac:dyDescent="0.3">
      <c r="A2629" t="s">
        <v>33</v>
      </c>
      <c r="B2629" t="str">
        <f>"002923"</f>
        <v>002923</v>
      </c>
      <c r="C2629" t="s">
        <v>5594</v>
      </c>
      <c r="D2629" t="s">
        <v>590</v>
      </c>
      <c r="E2629">
        <v>-18417174</v>
      </c>
      <c r="F2629">
        <v>-22262320</v>
      </c>
      <c r="G2629">
        <v>56392334</v>
      </c>
      <c r="H2629">
        <v>46113251</v>
      </c>
      <c r="I2629">
        <v>19204268</v>
      </c>
      <c r="J2629">
        <v>34103899</v>
      </c>
      <c r="P2629">
        <v>165</v>
      </c>
      <c r="Q2629" t="s">
        <v>5595</v>
      </c>
    </row>
    <row r="2630" spans="1:17" x14ac:dyDescent="0.3">
      <c r="A2630" t="s">
        <v>33</v>
      </c>
      <c r="B2630" t="str">
        <f>"301011"</f>
        <v>301011</v>
      </c>
      <c r="C2630" t="s">
        <v>5596</v>
      </c>
      <c r="D2630" t="s">
        <v>1895</v>
      </c>
      <c r="E2630">
        <v>-18487131</v>
      </c>
      <c r="F2630">
        <v>3268387</v>
      </c>
      <c r="G2630">
        <v>-36504141</v>
      </c>
      <c r="P2630">
        <v>28</v>
      </c>
      <c r="Q2630" t="s">
        <v>5597</v>
      </c>
    </row>
    <row r="2631" spans="1:17" x14ac:dyDescent="0.3">
      <c r="A2631" t="s">
        <v>17</v>
      </c>
      <c r="B2631" t="str">
        <f>"600743"</f>
        <v>600743</v>
      </c>
      <c r="C2631" t="s">
        <v>5598</v>
      </c>
      <c r="D2631" t="s">
        <v>167</v>
      </c>
      <c r="E2631">
        <v>-18495614</v>
      </c>
      <c r="F2631">
        <v>-109559160</v>
      </c>
      <c r="G2631">
        <v>-1559818782</v>
      </c>
      <c r="H2631">
        <v>-2746058828</v>
      </c>
      <c r="I2631">
        <v>-2222501891</v>
      </c>
      <c r="J2631">
        <v>-1333102622</v>
      </c>
      <c r="K2631">
        <v>-2576238920</v>
      </c>
      <c r="L2631">
        <v>-229760276</v>
      </c>
      <c r="M2631">
        <v>-845650651</v>
      </c>
      <c r="N2631">
        <v>-132857323</v>
      </c>
      <c r="O2631">
        <v>404732508</v>
      </c>
      <c r="P2631">
        <v>603</v>
      </c>
      <c r="Q2631" t="s">
        <v>5599</v>
      </c>
    </row>
    <row r="2632" spans="1:17" x14ac:dyDescent="0.3">
      <c r="A2632" t="s">
        <v>17</v>
      </c>
      <c r="B2632" t="str">
        <f>"603380"</f>
        <v>603380</v>
      </c>
      <c r="C2632" t="s">
        <v>5600</v>
      </c>
      <c r="D2632" t="s">
        <v>226</v>
      </c>
      <c r="E2632">
        <v>-18504950</v>
      </c>
      <c r="F2632">
        <v>32207700</v>
      </c>
      <c r="G2632">
        <v>1139879</v>
      </c>
      <c r="H2632">
        <v>25613566</v>
      </c>
      <c r="I2632">
        <v>22364652</v>
      </c>
      <c r="J2632">
        <v>6683464</v>
      </c>
      <c r="P2632">
        <v>209</v>
      </c>
      <c r="Q2632" t="s">
        <v>5601</v>
      </c>
    </row>
    <row r="2633" spans="1:17" x14ac:dyDescent="0.3">
      <c r="A2633" t="s">
        <v>33</v>
      </c>
      <c r="B2633" t="str">
        <f>"300484"</f>
        <v>300484</v>
      </c>
      <c r="C2633" t="s">
        <v>5602</v>
      </c>
      <c r="D2633" t="s">
        <v>2148</v>
      </c>
      <c r="E2633">
        <v>-18517471</v>
      </c>
      <c r="F2633">
        <v>46231740</v>
      </c>
      <c r="G2633">
        <v>32350024</v>
      </c>
      <c r="H2633">
        <v>-5318438</v>
      </c>
      <c r="I2633">
        <v>-32111788</v>
      </c>
      <c r="J2633">
        <v>-1295550</v>
      </c>
      <c r="K2633">
        <v>4561505</v>
      </c>
      <c r="L2633">
        <v>-10635652</v>
      </c>
      <c r="P2633">
        <v>219</v>
      </c>
      <c r="Q2633" t="s">
        <v>5603</v>
      </c>
    </row>
    <row r="2634" spans="1:17" x14ac:dyDescent="0.3">
      <c r="A2634" t="s">
        <v>33</v>
      </c>
      <c r="B2634" t="str">
        <f>"002787"</f>
        <v>002787</v>
      </c>
      <c r="C2634" t="s">
        <v>5604</v>
      </c>
      <c r="D2634" t="s">
        <v>2115</v>
      </c>
      <c r="E2634">
        <v>-18521448</v>
      </c>
      <c r="F2634">
        <v>-134323820</v>
      </c>
      <c r="G2634">
        <v>21272691</v>
      </c>
      <c r="H2634">
        <v>28875046</v>
      </c>
      <c r="I2634">
        <v>-141818887</v>
      </c>
      <c r="J2634">
        <v>-4652197</v>
      </c>
      <c r="K2634">
        <v>89867734</v>
      </c>
      <c r="L2634">
        <v>-3808520</v>
      </c>
      <c r="M2634">
        <v>33238780</v>
      </c>
      <c r="P2634">
        <v>102</v>
      </c>
      <c r="Q2634" t="s">
        <v>5605</v>
      </c>
    </row>
    <row r="2635" spans="1:17" x14ac:dyDescent="0.3">
      <c r="A2635" t="s">
        <v>17</v>
      </c>
      <c r="B2635" t="str">
        <f>"603958"</f>
        <v>603958</v>
      </c>
      <c r="C2635" t="s">
        <v>5606</v>
      </c>
      <c r="D2635" t="s">
        <v>1680</v>
      </c>
      <c r="E2635">
        <v>-18689222</v>
      </c>
      <c r="F2635">
        <v>-21010500</v>
      </c>
      <c r="G2635">
        <v>-46126096</v>
      </c>
      <c r="H2635">
        <v>-26030558</v>
      </c>
      <c r="I2635">
        <v>66091625</v>
      </c>
      <c r="J2635">
        <v>24527439</v>
      </c>
      <c r="K2635">
        <v>-54003666</v>
      </c>
      <c r="L2635">
        <v>-39164368</v>
      </c>
      <c r="P2635">
        <v>67</v>
      </c>
      <c r="Q2635" t="s">
        <v>5607</v>
      </c>
    </row>
    <row r="2636" spans="1:17" x14ac:dyDescent="0.3">
      <c r="A2636" t="s">
        <v>33</v>
      </c>
      <c r="B2636" t="str">
        <f>"000833"</f>
        <v>000833</v>
      </c>
      <c r="C2636" t="s">
        <v>5608</v>
      </c>
      <c r="D2636" t="s">
        <v>523</v>
      </c>
      <c r="E2636">
        <v>-18699933</v>
      </c>
      <c r="F2636">
        <v>-198534465</v>
      </c>
      <c r="G2636">
        <v>-259413482</v>
      </c>
      <c r="H2636">
        <v>-111544393</v>
      </c>
      <c r="I2636">
        <v>-208041386</v>
      </c>
      <c r="J2636">
        <v>-255552588</v>
      </c>
      <c r="K2636">
        <v>-174748154</v>
      </c>
      <c r="L2636">
        <v>-165971707</v>
      </c>
      <c r="M2636">
        <v>-170234646</v>
      </c>
      <c r="N2636">
        <v>-168526622</v>
      </c>
      <c r="O2636">
        <v>-174911202</v>
      </c>
      <c r="P2636">
        <v>88</v>
      </c>
      <c r="Q2636" t="s">
        <v>5609</v>
      </c>
    </row>
    <row r="2637" spans="1:17" x14ac:dyDescent="0.3">
      <c r="A2637" t="s">
        <v>17</v>
      </c>
      <c r="B2637" t="str">
        <f>"600872"</f>
        <v>600872</v>
      </c>
      <c r="C2637" t="s">
        <v>5610</v>
      </c>
      <c r="D2637" t="s">
        <v>669</v>
      </c>
      <c r="E2637">
        <v>-18701905</v>
      </c>
      <c r="F2637">
        <v>232435494</v>
      </c>
      <c r="G2637">
        <v>382258719</v>
      </c>
      <c r="H2637">
        <v>385839532</v>
      </c>
      <c r="I2637">
        <v>182681620</v>
      </c>
      <c r="J2637">
        <v>170986949</v>
      </c>
      <c r="K2637">
        <v>102754389</v>
      </c>
      <c r="L2637">
        <v>18783620</v>
      </c>
      <c r="M2637">
        <v>34734486</v>
      </c>
      <c r="N2637">
        <v>-20931496</v>
      </c>
      <c r="O2637">
        <v>7629705</v>
      </c>
      <c r="P2637">
        <v>2534</v>
      </c>
      <c r="Q2637" t="s">
        <v>5611</v>
      </c>
    </row>
    <row r="2638" spans="1:17" x14ac:dyDescent="0.3">
      <c r="A2638" t="s">
        <v>33</v>
      </c>
      <c r="B2638" t="str">
        <f>"002066"</f>
        <v>002066</v>
      </c>
      <c r="C2638" t="s">
        <v>5612</v>
      </c>
      <c r="D2638" t="s">
        <v>5005</v>
      </c>
      <c r="E2638">
        <v>-18717396</v>
      </c>
      <c r="F2638">
        <v>-25475519</v>
      </c>
      <c r="G2638">
        <v>-74758927</v>
      </c>
      <c r="H2638">
        <v>-158168063</v>
      </c>
      <c r="I2638">
        <v>59335852</v>
      </c>
      <c r="J2638">
        <v>103568326</v>
      </c>
      <c r="K2638">
        <v>15278922</v>
      </c>
      <c r="L2638">
        <v>-12877805</v>
      </c>
      <c r="M2638">
        <v>-54300063</v>
      </c>
      <c r="N2638">
        <v>-61710131</v>
      </c>
      <c r="O2638">
        <v>-117154326</v>
      </c>
      <c r="P2638">
        <v>74</v>
      </c>
      <c r="Q2638" t="s">
        <v>5613</v>
      </c>
    </row>
    <row r="2639" spans="1:17" x14ac:dyDescent="0.3">
      <c r="A2639" t="s">
        <v>33</v>
      </c>
      <c r="B2639" t="str">
        <f>"002254"</f>
        <v>002254</v>
      </c>
      <c r="C2639" t="s">
        <v>5614</v>
      </c>
      <c r="D2639" t="s">
        <v>1428</v>
      </c>
      <c r="E2639">
        <v>-18738198</v>
      </c>
      <c r="F2639">
        <v>420884113</v>
      </c>
      <c r="G2639">
        <v>12826185</v>
      </c>
      <c r="H2639">
        <v>45749018</v>
      </c>
      <c r="I2639">
        <v>55620332</v>
      </c>
      <c r="J2639">
        <v>42757669</v>
      </c>
      <c r="K2639">
        <v>39805905</v>
      </c>
      <c r="L2639">
        <v>7671808</v>
      </c>
      <c r="M2639">
        <v>89533109</v>
      </c>
      <c r="N2639">
        <v>-14185504</v>
      </c>
      <c r="O2639">
        <v>44640070</v>
      </c>
      <c r="P2639">
        <v>215</v>
      </c>
      <c r="Q2639" t="s">
        <v>5615</v>
      </c>
    </row>
    <row r="2640" spans="1:17" x14ac:dyDescent="0.3">
      <c r="A2640" t="s">
        <v>17</v>
      </c>
      <c r="B2640" t="str">
        <f>"688607"</f>
        <v>688607</v>
      </c>
      <c r="C2640" t="s">
        <v>5616</v>
      </c>
      <c r="D2640" t="s">
        <v>111</v>
      </c>
      <c r="E2640">
        <v>-18775283</v>
      </c>
      <c r="F2640">
        <v>-4232063</v>
      </c>
      <c r="P2640">
        <v>55</v>
      </c>
      <c r="Q2640" t="s">
        <v>5617</v>
      </c>
    </row>
    <row r="2641" spans="1:17" x14ac:dyDescent="0.3">
      <c r="A2641" t="s">
        <v>33</v>
      </c>
      <c r="B2641" t="str">
        <f>"300733"</f>
        <v>300733</v>
      </c>
      <c r="C2641" t="s">
        <v>5618</v>
      </c>
      <c r="D2641" t="s">
        <v>858</v>
      </c>
      <c r="E2641">
        <v>-18817923</v>
      </c>
      <c r="F2641">
        <v>11590920</v>
      </c>
      <c r="G2641">
        <v>-9825716</v>
      </c>
      <c r="H2641">
        <v>3202700</v>
      </c>
      <c r="I2641">
        <v>170709</v>
      </c>
      <c r="J2641">
        <v>43387117</v>
      </c>
      <c r="P2641">
        <v>60</v>
      </c>
      <c r="Q2641" t="s">
        <v>5619</v>
      </c>
    </row>
    <row r="2642" spans="1:17" x14ac:dyDescent="0.3">
      <c r="A2642" t="s">
        <v>33</v>
      </c>
      <c r="B2642" t="str">
        <f>"002685"</f>
        <v>002685</v>
      </c>
      <c r="C2642" t="s">
        <v>5620</v>
      </c>
      <c r="D2642" t="s">
        <v>1910</v>
      </c>
      <c r="E2642">
        <v>-18834102</v>
      </c>
      <c r="F2642">
        <v>-65435232</v>
      </c>
      <c r="G2642">
        <v>43052771</v>
      </c>
      <c r="H2642">
        <v>25169542</v>
      </c>
      <c r="I2642">
        <v>52869143</v>
      </c>
      <c r="J2642">
        <v>-104868635</v>
      </c>
      <c r="K2642">
        <v>106446442</v>
      </c>
      <c r="L2642">
        <v>-100550310</v>
      </c>
      <c r="M2642">
        <v>-25128151</v>
      </c>
      <c r="N2642">
        <v>-2952215</v>
      </c>
      <c r="O2642">
        <v>-2282327</v>
      </c>
      <c r="P2642">
        <v>109</v>
      </c>
      <c r="Q2642" t="s">
        <v>5621</v>
      </c>
    </row>
    <row r="2643" spans="1:17" x14ac:dyDescent="0.3">
      <c r="A2643" t="s">
        <v>33</v>
      </c>
      <c r="B2643" t="str">
        <f>"300133"</f>
        <v>300133</v>
      </c>
      <c r="C2643" t="s">
        <v>5622</v>
      </c>
      <c r="D2643" t="s">
        <v>314</v>
      </c>
      <c r="E2643">
        <v>-18836914</v>
      </c>
      <c r="F2643">
        <v>521475116</v>
      </c>
      <c r="G2643">
        <v>64361297</v>
      </c>
      <c r="H2643">
        <v>-77413369</v>
      </c>
      <c r="I2643">
        <v>-331944543</v>
      </c>
      <c r="J2643">
        <v>-447758997</v>
      </c>
      <c r="K2643">
        <v>-369003954</v>
      </c>
      <c r="L2643">
        <v>-231124402</v>
      </c>
      <c r="M2643">
        <v>-97257894</v>
      </c>
      <c r="N2643">
        <v>-40510943</v>
      </c>
      <c r="O2643">
        <v>-91235921</v>
      </c>
      <c r="P2643">
        <v>349</v>
      </c>
      <c r="Q2643" t="s">
        <v>5623</v>
      </c>
    </row>
    <row r="2644" spans="1:17" x14ac:dyDescent="0.3">
      <c r="A2644" t="s">
        <v>17</v>
      </c>
      <c r="B2644" t="str">
        <f>"603090"</f>
        <v>603090</v>
      </c>
      <c r="C2644" t="s">
        <v>5624</v>
      </c>
      <c r="D2644" t="s">
        <v>1033</v>
      </c>
      <c r="E2644">
        <v>-18865708</v>
      </c>
      <c r="F2644">
        <v>-1519107</v>
      </c>
      <c r="G2644">
        <v>4148053</v>
      </c>
      <c r="H2644">
        <v>9560458</v>
      </c>
      <c r="I2644">
        <v>1044030</v>
      </c>
      <c r="J2644">
        <v>-3942430</v>
      </c>
      <c r="K2644">
        <v>5937423</v>
      </c>
      <c r="P2644">
        <v>51</v>
      </c>
      <c r="Q2644" t="s">
        <v>5625</v>
      </c>
    </row>
    <row r="2645" spans="1:17" x14ac:dyDescent="0.3">
      <c r="A2645" t="s">
        <v>33</v>
      </c>
      <c r="B2645" t="str">
        <f>"300581"</f>
        <v>300581</v>
      </c>
      <c r="C2645" t="s">
        <v>5626</v>
      </c>
      <c r="D2645" t="s">
        <v>2262</v>
      </c>
      <c r="E2645">
        <v>-18910191</v>
      </c>
      <c r="F2645">
        <v>23082877</v>
      </c>
      <c r="G2645">
        <v>-2191773</v>
      </c>
      <c r="H2645">
        <v>-13925258</v>
      </c>
      <c r="I2645">
        <v>-7292066</v>
      </c>
      <c r="J2645">
        <v>-42189278</v>
      </c>
      <c r="K2645">
        <v>-7436622</v>
      </c>
      <c r="P2645">
        <v>151</v>
      </c>
      <c r="Q2645" t="s">
        <v>5627</v>
      </c>
    </row>
    <row r="2646" spans="1:17" x14ac:dyDescent="0.3">
      <c r="A2646" t="s">
        <v>17</v>
      </c>
      <c r="B2646" t="str">
        <f>"688261"</f>
        <v>688261</v>
      </c>
      <c r="C2646" t="s">
        <v>5628</v>
      </c>
      <c r="E2646">
        <v>-18940839</v>
      </c>
      <c r="P2646">
        <v>11</v>
      </c>
      <c r="Q2646" t="s">
        <v>5629</v>
      </c>
    </row>
    <row r="2647" spans="1:17" x14ac:dyDescent="0.3">
      <c r="A2647" t="s">
        <v>33</v>
      </c>
      <c r="B2647" t="str">
        <f>"301162"</f>
        <v>301162</v>
      </c>
      <c r="C2647" t="s">
        <v>5630</v>
      </c>
      <c r="E2647">
        <v>-18962339</v>
      </c>
      <c r="P2647">
        <v>2</v>
      </c>
      <c r="Q2647" t="s">
        <v>5631</v>
      </c>
    </row>
    <row r="2648" spans="1:17" x14ac:dyDescent="0.3">
      <c r="A2648" t="s">
        <v>17</v>
      </c>
      <c r="B2648" t="str">
        <f>"688170"</f>
        <v>688170</v>
      </c>
      <c r="C2648" t="s">
        <v>5632</v>
      </c>
      <c r="E2648">
        <v>-18985943</v>
      </c>
      <c r="P2648">
        <v>2</v>
      </c>
      <c r="Q2648" t="s">
        <v>5633</v>
      </c>
    </row>
    <row r="2649" spans="1:17" x14ac:dyDescent="0.3">
      <c r="A2649" t="s">
        <v>17</v>
      </c>
      <c r="B2649" t="str">
        <f>"603688"</f>
        <v>603688</v>
      </c>
      <c r="C2649" t="s">
        <v>5634</v>
      </c>
      <c r="D2649" t="s">
        <v>790</v>
      </c>
      <c r="E2649">
        <v>-19012029</v>
      </c>
      <c r="F2649">
        <v>-2413664</v>
      </c>
      <c r="G2649">
        <v>-23742040</v>
      </c>
      <c r="H2649">
        <v>-2254290</v>
      </c>
      <c r="I2649">
        <v>12546562</v>
      </c>
      <c r="J2649">
        <v>10418122</v>
      </c>
      <c r="K2649">
        <v>11813115</v>
      </c>
      <c r="L2649">
        <v>642959</v>
      </c>
      <c r="M2649">
        <v>-20969979</v>
      </c>
      <c r="P2649">
        <v>219</v>
      </c>
      <c r="Q2649" t="s">
        <v>5635</v>
      </c>
    </row>
    <row r="2650" spans="1:17" x14ac:dyDescent="0.3">
      <c r="A2650" t="s">
        <v>33</v>
      </c>
      <c r="B2650" t="str">
        <f>"002658"</f>
        <v>002658</v>
      </c>
      <c r="C2650" t="s">
        <v>5636</v>
      </c>
      <c r="D2650" t="s">
        <v>1763</v>
      </c>
      <c r="E2650">
        <v>-19020946</v>
      </c>
      <c r="F2650">
        <v>-11279966</v>
      </c>
      <c r="G2650">
        <v>-29140980</v>
      </c>
      <c r="H2650">
        <v>-34906398</v>
      </c>
      <c r="I2650">
        <v>-28243217</v>
      </c>
      <c r="J2650">
        <v>2825342</v>
      </c>
      <c r="K2650">
        <v>14725763</v>
      </c>
      <c r="L2650">
        <v>57494147</v>
      </c>
      <c r="M2650">
        <v>-19747078</v>
      </c>
      <c r="N2650">
        <v>-161813</v>
      </c>
      <c r="O2650">
        <v>-27488228</v>
      </c>
      <c r="P2650">
        <v>231</v>
      </c>
      <c r="Q2650" t="s">
        <v>5637</v>
      </c>
    </row>
    <row r="2651" spans="1:17" x14ac:dyDescent="0.3">
      <c r="A2651" t="s">
        <v>33</v>
      </c>
      <c r="B2651" t="str">
        <f>"002898"</f>
        <v>002898</v>
      </c>
      <c r="C2651" t="s">
        <v>5638</v>
      </c>
      <c r="D2651" t="s">
        <v>590</v>
      </c>
      <c r="E2651">
        <v>-19037470</v>
      </c>
      <c r="F2651">
        <v>12261249</v>
      </c>
      <c r="G2651">
        <v>-7059640</v>
      </c>
      <c r="H2651">
        <v>-32700766</v>
      </c>
      <c r="I2651">
        <v>-47389288</v>
      </c>
      <c r="J2651">
        <v>7472250</v>
      </c>
      <c r="P2651">
        <v>90</v>
      </c>
      <c r="Q2651" t="s">
        <v>5639</v>
      </c>
    </row>
    <row r="2652" spans="1:17" x14ac:dyDescent="0.3">
      <c r="A2652" t="s">
        <v>17</v>
      </c>
      <c r="B2652" t="str">
        <f>"600730"</f>
        <v>600730</v>
      </c>
      <c r="C2652" t="s">
        <v>5640</v>
      </c>
      <c r="D2652" t="s">
        <v>761</v>
      </c>
      <c r="E2652">
        <v>-19042649</v>
      </c>
      <c r="F2652">
        <v>26053864</v>
      </c>
      <c r="G2652">
        <v>-13247989</v>
      </c>
      <c r="H2652">
        <v>-3226475</v>
      </c>
      <c r="I2652">
        <v>2381803</v>
      </c>
      <c r="J2652">
        <v>-171985797</v>
      </c>
      <c r="K2652">
        <v>-47155849</v>
      </c>
      <c r="L2652">
        <v>-88954543</v>
      </c>
      <c r="M2652">
        <v>-191988137</v>
      </c>
      <c r="N2652">
        <v>-60076453</v>
      </c>
      <c r="O2652">
        <v>-248817966</v>
      </c>
      <c r="P2652">
        <v>99</v>
      </c>
      <c r="Q2652" t="s">
        <v>5641</v>
      </c>
    </row>
    <row r="2653" spans="1:17" x14ac:dyDescent="0.3">
      <c r="A2653" t="s">
        <v>33</v>
      </c>
      <c r="B2653" t="str">
        <f>"300150"</f>
        <v>300150</v>
      </c>
      <c r="C2653" t="s">
        <v>5642</v>
      </c>
      <c r="D2653" t="s">
        <v>508</v>
      </c>
      <c r="E2653">
        <v>-19094661</v>
      </c>
      <c r="F2653">
        <v>-99762100</v>
      </c>
      <c r="G2653">
        <v>-100362938</v>
      </c>
      <c r="H2653">
        <v>-87472525</v>
      </c>
      <c r="I2653">
        <v>-69534819</v>
      </c>
      <c r="J2653">
        <v>-30690764</v>
      </c>
      <c r="K2653">
        <v>-69001385</v>
      </c>
      <c r="L2653">
        <v>-36372606</v>
      </c>
      <c r="M2653">
        <v>-50790472</v>
      </c>
      <c r="N2653">
        <v>3215732</v>
      </c>
      <c r="O2653">
        <v>22065304</v>
      </c>
      <c r="P2653">
        <v>121</v>
      </c>
      <c r="Q2653" t="s">
        <v>5643</v>
      </c>
    </row>
    <row r="2654" spans="1:17" x14ac:dyDescent="0.3">
      <c r="A2654" t="s">
        <v>33</v>
      </c>
      <c r="B2654" t="str">
        <f>"300202"</f>
        <v>300202</v>
      </c>
      <c r="C2654" t="s">
        <v>5644</v>
      </c>
      <c r="D2654" t="s">
        <v>1571</v>
      </c>
      <c r="E2654">
        <v>-19112623</v>
      </c>
      <c r="F2654">
        <v>-117999342</v>
      </c>
      <c r="G2654">
        <v>-114999410</v>
      </c>
      <c r="H2654">
        <v>-121433706</v>
      </c>
      <c r="I2654">
        <v>-71894676</v>
      </c>
      <c r="J2654">
        <v>-144012007</v>
      </c>
      <c r="K2654">
        <v>-85143998</v>
      </c>
      <c r="L2654">
        <v>-114088056</v>
      </c>
      <c r="M2654">
        <v>-110358332</v>
      </c>
      <c r="N2654">
        <v>-88896460</v>
      </c>
      <c r="O2654">
        <v>-51657617</v>
      </c>
      <c r="P2654">
        <v>2978</v>
      </c>
      <c r="Q2654" t="s">
        <v>5645</v>
      </c>
    </row>
    <row r="2655" spans="1:17" x14ac:dyDescent="0.3">
      <c r="A2655" t="s">
        <v>33</v>
      </c>
      <c r="B2655" t="str">
        <f>"300139"</f>
        <v>300139</v>
      </c>
      <c r="C2655" t="s">
        <v>5646</v>
      </c>
      <c r="D2655" t="s">
        <v>1007</v>
      </c>
      <c r="E2655">
        <v>-19115002</v>
      </c>
      <c r="F2655">
        <v>3540954</v>
      </c>
      <c r="G2655">
        <v>-7239955</v>
      </c>
      <c r="H2655">
        <v>-13245765</v>
      </c>
      <c r="I2655">
        <v>-10707277</v>
      </c>
      <c r="J2655">
        <v>-10514009</v>
      </c>
      <c r="K2655">
        <v>13502437</v>
      </c>
      <c r="L2655">
        <v>-5292527</v>
      </c>
      <c r="M2655">
        <v>1111395</v>
      </c>
      <c r="N2655">
        <v>-1107784</v>
      </c>
      <c r="O2655">
        <v>-19860546</v>
      </c>
      <c r="P2655">
        <v>147</v>
      </c>
      <c r="Q2655" t="s">
        <v>5647</v>
      </c>
    </row>
    <row r="2656" spans="1:17" x14ac:dyDescent="0.3">
      <c r="A2656" t="s">
        <v>33</v>
      </c>
      <c r="B2656" t="str">
        <f>"002256"</f>
        <v>002256</v>
      </c>
      <c r="C2656" t="s">
        <v>5648</v>
      </c>
      <c r="D2656" t="s">
        <v>1007</v>
      </c>
      <c r="E2656">
        <v>-19155589</v>
      </c>
      <c r="F2656">
        <v>-1023741</v>
      </c>
      <c r="G2656">
        <v>24616428</v>
      </c>
      <c r="H2656">
        <v>-1948132</v>
      </c>
      <c r="I2656">
        <v>71935086</v>
      </c>
      <c r="J2656">
        <v>17909759</v>
      </c>
      <c r="K2656">
        <v>8391171</v>
      </c>
      <c r="L2656">
        <v>41298299</v>
      </c>
      <c r="M2656">
        <v>-3367833</v>
      </c>
      <c r="N2656">
        <v>-25234352</v>
      </c>
      <c r="O2656">
        <v>-932564</v>
      </c>
      <c r="P2656">
        <v>151</v>
      </c>
      <c r="Q2656" t="s">
        <v>5649</v>
      </c>
    </row>
    <row r="2657" spans="1:17" x14ac:dyDescent="0.3">
      <c r="A2657" t="s">
        <v>17</v>
      </c>
      <c r="B2657" t="str">
        <f>"605338"</f>
        <v>605338</v>
      </c>
      <c r="C2657" t="s">
        <v>5650</v>
      </c>
      <c r="D2657" t="s">
        <v>886</v>
      </c>
      <c r="E2657">
        <v>-19175764</v>
      </c>
      <c r="F2657">
        <v>-21785926</v>
      </c>
      <c r="G2657">
        <v>-26576744</v>
      </c>
      <c r="P2657">
        <v>198</v>
      </c>
      <c r="Q2657" t="s">
        <v>5651</v>
      </c>
    </row>
    <row r="2658" spans="1:17" x14ac:dyDescent="0.3">
      <c r="A2658" t="s">
        <v>33</v>
      </c>
      <c r="B2658" t="str">
        <f>"300838"</f>
        <v>300838</v>
      </c>
      <c r="C2658" t="s">
        <v>5652</v>
      </c>
      <c r="D2658" t="s">
        <v>164</v>
      </c>
      <c r="E2658">
        <v>-19287289</v>
      </c>
      <c r="F2658">
        <v>7362795</v>
      </c>
      <c r="G2658">
        <v>-540674</v>
      </c>
      <c r="H2658">
        <v>-16555074</v>
      </c>
      <c r="P2658">
        <v>39</v>
      </c>
      <c r="Q2658" t="s">
        <v>5653</v>
      </c>
    </row>
    <row r="2659" spans="1:17" x14ac:dyDescent="0.3">
      <c r="A2659" t="s">
        <v>17</v>
      </c>
      <c r="B2659" t="str">
        <f>"688260"</f>
        <v>688260</v>
      </c>
      <c r="C2659" t="s">
        <v>5654</v>
      </c>
      <c r="D2659" t="s">
        <v>226</v>
      </c>
      <c r="E2659">
        <v>-19291388</v>
      </c>
      <c r="F2659">
        <v>-3381284</v>
      </c>
      <c r="G2659">
        <v>29630165</v>
      </c>
      <c r="P2659">
        <v>24</v>
      </c>
      <c r="Q2659" t="s">
        <v>5655</v>
      </c>
    </row>
    <row r="2660" spans="1:17" x14ac:dyDescent="0.3">
      <c r="A2660" t="s">
        <v>33</v>
      </c>
      <c r="B2660" t="str">
        <f>"300508"</f>
        <v>300508</v>
      </c>
      <c r="C2660" t="s">
        <v>5656</v>
      </c>
      <c r="D2660" t="s">
        <v>1571</v>
      </c>
      <c r="E2660">
        <v>-19296249</v>
      </c>
      <c r="F2660">
        <v>-7053098</v>
      </c>
      <c r="G2660">
        <v>-9152871</v>
      </c>
      <c r="H2660">
        <v>-4737880</v>
      </c>
      <c r="I2660">
        <v>-4677302</v>
      </c>
      <c r="J2660">
        <v>-1258645</v>
      </c>
      <c r="K2660">
        <v>-3936671</v>
      </c>
      <c r="L2660">
        <v>-818642</v>
      </c>
      <c r="P2660">
        <v>130</v>
      </c>
      <c r="Q2660" t="s">
        <v>5657</v>
      </c>
    </row>
    <row r="2661" spans="1:17" x14ac:dyDescent="0.3">
      <c r="A2661" t="s">
        <v>33</v>
      </c>
      <c r="B2661" t="str">
        <f>"300436"</f>
        <v>300436</v>
      </c>
      <c r="C2661" t="s">
        <v>5658</v>
      </c>
      <c r="D2661" t="s">
        <v>590</v>
      </c>
      <c r="E2661">
        <v>-19328170</v>
      </c>
      <c r="F2661">
        <v>3118900</v>
      </c>
      <c r="G2661">
        <v>6549411</v>
      </c>
      <c r="H2661">
        <v>6368867</v>
      </c>
      <c r="I2661">
        <v>-4630186</v>
      </c>
      <c r="J2661">
        <v>17570107</v>
      </c>
      <c r="K2661">
        <v>18866705</v>
      </c>
      <c r="L2661">
        <v>27364554</v>
      </c>
      <c r="M2661">
        <v>18953660</v>
      </c>
      <c r="P2661">
        <v>135</v>
      </c>
      <c r="Q2661" t="s">
        <v>5659</v>
      </c>
    </row>
    <row r="2662" spans="1:17" x14ac:dyDescent="0.3">
      <c r="A2662" t="s">
        <v>17</v>
      </c>
      <c r="B2662" t="str">
        <f>"600232"</f>
        <v>600232</v>
      </c>
      <c r="C2662" t="s">
        <v>5660</v>
      </c>
      <c r="D2662" t="s">
        <v>2847</v>
      </c>
      <c r="E2662">
        <v>-19337506</v>
      </c>
      <c r="F2662">
        <v>-69454611</v>
      </c>
      <c r="G2662">
        <v>-37980467</v>
      </c>
      <c r="H2662">
        <v>-84177091</v>
      </c>
      <c r="I2662">
        <v>-74766990</v>
      </c>
      <c r="J2662">
        <v>-31386517</v>
      </c>
      <c r="K2662">
        <v>-40115689</v>
      </c>
      <c r="L2662">
        <v>-8149492</v>
      </c>
      <c r="M2662">
        <v>41853127</v>
      </c>
      <c r="N2662">
        <v>46396367</v>
      </c>
      <c r="O2662">
        <v>10492261</v>
      </c>
      <c r="P2662">
        <v>89</v>
      </c>
      <c r="Q2662" t="s">
        <v>5661</v>
      </c>
    </row>
    <row r="2663" spans="1:17" x14ac:dyDescent="0.3">
      <c r="A2663" t="s">
        <v>33</v>
      </c>
      <c r="B2663" t="str">
        <f>"200025"</f>
        <v>200025</v>
      </c>
      <c r="C2663" t="s">
        <v>5662</v>
      </c>
      <c r="E2663">
        <v>-19358963.618000001</v>
      </c>
      <c r="F2663">
        <v>-5643233.9885</v>
      </c>
      <c r="G2663">
        <v>7112563.6917000003</v>
      </c>
      <c r="H2663">
        <v>3491947.3788000001</v>
      </c>
      <c r="I2663">
        <v>-10386195.317</v>
      </c>
      <c r="J2663">
        <v>6968985.0405999999</v>
      </c>
      <c r="K2663">
        <v>3917150.9879999999</v>
      </c>
      <c r="L2663">
        <v>37021698.75</v>
      </c>
      <c r="M2663">
        <v>-17761486.16</v>
      </c>
      <c r="N2663">
        <v>-5728048.3656000001</v>
      </c>
      <c r="O2663">
        <v>-18784488.671999998</v>
      </c>
      <c r="P2663">
        <v>7</v>
      </c>
      <c r="Q2663" t="s">
        <v>5663</v>
      </c>
    </row>
    <row r="2664" spans="1:17" x14ac:dyDescent="0.3">
      <c r="A2664" t="s">
        <v>33</v>
      </c>
      <c r="B2664" t="str">
        <f>"300713"</f>
        <v>300713</v>
      </c>
      <c r="C2664" t="s">
        <v>5664</v>
      </c>
      <c r="D2664" t="s">
        <v>2956</v>
      </c>
      <c r="E2664">
        <v>-19423981</v>
      </c>
      <c r="F2664">
        <v>-646829</v>
      </c>
      <c r="G2664">
        <v>17358384</v>
      </c>
      <c r="H2664">
        <v>-6918346</v>
      </c>
      <c r="I2664">
        <v>3965228</v>
      </c>
      <c r="J2664">
        <v>-542418</v>
      </c>
      <c r="P2664">
        <v>81</v>
      </c>
      <c r="Q2664" t="s">
        <v>5665</v>
      </c>
    </row>
    <row r="2665" spans="1:17" x14ac:dyDescent="0.3">
      <c r="A2665" t="s">
        <v>17</v>
      </c>
      <c r="B2665" t="str">
        <f>"600227"</f>
        <v>600227</v>
      </c>
      <c r="C2665" t="s">
        <v>5666</v>
      </c>
      <c r="D2665" t="s">
        <v>590</v>
      </c>
      <c r="E2665">
        <v>-19436613</v>
      </c>
      <c r="F2665">
        <v>114553376</v>
      </c>
      <c r="G2665">
        <v>76419556</v>
      </c>
      <c r="H2665">
        <v>32689674</v>
      </c>
      <c r="I2665">
        <v>23980150</v>
      </c>
      <c r="J2665">
        <v>-89007037</v>
      </c>
      <c r="K2665">
        <v>304472663</v>
      </c>
      <c r="L2665">
        <v>99846498</v>
      </c>
      <c r="M2665">
        <v>31004809</v>
      </c>
      <c r="N2665">
        <v>-130176014</v>
      </c>
      <c r="O2665">
        <v>11199798</v>
      </c>
      <c r="P2665">
        <v>114</v>
      </c>
      <c r="Q2665" t="s">
        <v>5667</v>
      </c>
    </row>
    <row r="2666" spans="1:17" x14ac:dyDescent="0.3">
      <c r="A2666" t="s">
        <v>33</v>
      </c>
      <c r="B2666" t="str">
        <f>"002282"</f>
        <v>002282</v>
      </c>
      <c r="C2666" t="s">
        <v>5668</v>
      </c>
      <c r="D2666" t="s">
        <v>1219</v>
      </c>
      <c r="E2666">
        <v>-19448789</v>
      </c>
      <c r="F2666">
        <v>28000118</v>
      </c>
      <c r="G2666">
        <v>-15623195</v>
      </c>
      <c r="H2666">
        <v>30678145</v>
      </c>
      <c r="I2666">
        <v>-32410199</v>
      </c>
      <c r="J2666">
        <v>-3365707</v>
      </c>
      <c r="K2666">
        <v>-9021354</v>
      </c>
      <c r="L2666">
        <v>-3341295</v>
      </c>
      <c r="M2666">
        <v>29093593</v>
      </c>
      <c r="N2666">
        <v>-46233392</v>
      </c>
      <c r="O2666">
        <v>-9525211</v>
      </c>
      <c r="P2666">
        <v>97</v>
      </c>
      <c r="Q2666" t="s">
        <v>5669</v>
      </c>
    </row>
    <row r="2667" spans="1:17" x14ac:dyDescent="0.3">
      <c r="A2667" t="s">
        <v>33</v>
      </c>
      <c r="B2667" t="str">
        <f>"300030"</f>
        <v>300030</v>
      </c>
      <c r="C2667" t="s">
        <v>5670</v>
      </c>
      <c r="D2667" t="s">
        <v>111</v>
      </c>
      <c r="E2667">
        <v>-19528641</v>
      </c>
      <c r="F2667">
        <v>37453519</v>
      </c>
      <c r="G2667">
        <v>3968096</v>
      </c>
      <c r="H2667">
        <v>11143832</v>
      </c>
      <c r="I2667">
        <v>-11553300</v>
      </c>
      <c r="J2667">
        <v>-50082819</v>
      </c>
      <c r="K2667">
        <v>-175889</v>
      </c>
      <c r="L2667">
        <v>-92496298</v>
      </c>
      <c r="M2667">
        <v>-29682412</v>
      </c>
      <c r="N2667">
        <v>-38468345</v>
      </c>
      <c r="O2667">
        <v>-19686525</v>
      </c>
      <c r="P2667">
        <v>182</v>
      </c>
      <c r="Q2667" t="s">
        <v>5671</v>
      </c>
    </row>
    <row r="2668" spans="1:17" x14ac:dyDescent="0.3">
      <c r="A2668" t="s">
        <v>17</v>
      </c>
      <c r="B2668" t="str">
        <f>"600405"</f>
        <v>600405</v>
      </c>
      <c r="C2668" t="s">
        <v>5672</v>
      </c>
      <c r="D2668" t="s">
        <v>2956</v>
      </c>
      <c r="E2668">
        <v>-19543794</v>
      </c>
      <c r="F2668">
        <v>-33500769</v>
      </c>
      <c r="G2668">
        <v>3161205</v>
      </c>
      <c r="H2668">
        <v>-48806005</v>
      </c>
      <c r="I2668">
        <v>-75573599</v>
      </c>
      <c r="J2668">
        <v>-29362016</v>
      </c>
      <c r="K2668">
        <v>-41215690</v>
      </c>
      <c r="L2668">
        <v>-32142602</v>
      </c>
      <c r="M2668">
        <v>-79895089</v>
      </c>
      <c r="N2668">
        <v>-24464735</v>
      </c>
      <c r="O2668">
        <v>-52021224</v>
      </c>
      <c r="P2668">
        <v>255</v>
      </c>
      <c r="Q2668" t="s">
        <v>5673</v>
      </c>
    </row>
    <row r="2669" spans="1:17" x14ac:dyDescent="0.3">
      <c r="A2669" t="s">
        <v>17</v>
      </c>
      <c r="B2669" t="str">
        <f>"600750"</f>
        <v>600750</v>
      </c>
      <c r="C2669" t="s">
        <v>5674</v>
      </c>
      <c r="D2669" t="s">
        <v>533</v>
      </c>
      <c r="E2669">
        <v>-19559417</v>
      </c>
      <c r="F2669">
        <v>63402049</v>
      </c>
      <c r="G2669">
        <v>155522194</v>
      </c>
      <c r="H2669">
        <v>83115380</v>
      </c>
      <c r="I2669">
        <v>106155124</v>
      </c>
      <c r="J2669">
        <v>-13686917</v>
      </c>
      <c r="K2669">
        <v>115890768</v>
      </c>
      <c r="L2669">
        <v>92770985</v>
      </c>
      <c r="M2669">
        <v>11741103</v>
      </c>
      <c r="N2669">
        <v>46972347</v>
      </c>
      <c r="O2669">
        <v>135562700</v>
      </c>
      <c r="P2669">
        <v>817</v>
      </c>
      <c r="Q2669" t="s">
        <v>5675</v>
      </c>
    </row>
    <row r="2670" spans="1:17" x14ac:dyDescent="0.3">
      <c r="A2670" t="s">
        <v>33</v>
      </c>
      <c r="B2670" t="str">
        <f>"300486"</f>
        <v>300486</v>
      </c>
      <c r="C2670" t="s">
        <v>5676</v>
      </c>
      <c r="D2670" t="s">
        <v>4171</v>
      </c>
      <c r="E2670">
        <v>-19579375</v>
      </c>
      <c r="F2670">
        <v>-43396649</v>
      </c>
      <c r="G2670">
        <v>-26944029</v>
      </c>
      <c r="H2670">
        <v>3150219</v>
      </c>
      <c r="I2670">
        <v>-19856933</v>
      </c>
      <c r="J2670">
        <v>1532613</v>
      </c>
      <c r="K2670">
        <v>-11916962</v>
      </c>
      <c r="L2670">
        <v>-51670614</v>
      </c>
      <c r="M2670">
        <v>-47195511</v>
      </c>
      <c r="P2670">
        <v>74</v>
      </c>
      <c r="Q2670" t="s">
        <v>5677</v>
      </c>
    </row>
    <row r="2671" spans="1:17" x14ac:dyDescent="0.3">
      <c r="A2671" t="s">
        <v>33</v>
      </c>
      <c r="B2671" t="str">
        <f>"000859"</f>
        <v>000859</v>
      </c>
      <c r="C2671" t="s">
        <v>5678</v>
      </c>
      <c r="D2671" t="s">
        <v>1734</v>
      </c>
      <c r="E2671">
        <v>-19605421</v>
      </c>
      <c r="F2671">
        <v>52559153</v>
      </c>
      <c r="G2671">
        <v>60250631</v>
      </c>
      <c r="H2671">
        <v>-2221919</v>
      </c>
      <c r="I2671">
        <v>-40400357</v>
      </c>
      <c r="J2671">
        <v>841241</v>
      </c>
      <c r="K2671">
        <v>-851782</v>
      </c>
      <c r="L2671">
        <v>7958600</v>
      </c>
      <c r="M2671">
        <v>7264593</v>
      </c>
      <c r="N2671">
        <v>-11381244</v>
      </c>
      <c r="O2671">
        <v>11659581</v>
      </c>
      <c r="P2671">
        <v>118</v>
      </c>
      <c r="Q2671" t="s">
        <v>5679</v>
      </c>
    </row>
    <row r="2672" spans="1:17" x14ac:dyDescent="0.3">
      <c r="A2672" t="s">
        <v>33</v>
      </c>
      <c r="B2672" t="str">
        <f>"300018"</f>
        <v>300018</v>
      </c>
      <c r="C2672" t="s">
        <v>5680</v>
      </c>
      <c r="D2672" t="s">
        <v>1182</v>
      </c>
      <c r="E2672">
        <v>-19633558</v>
      </c>
      <c r="F2672">
        <v>-16381419</v>
      </c>
      <c r="G2672">
        <v>-4263673</v>
      </c>
      <c r="H2672">
        <v>8321017</v>
      </c>
      <c r="I2672">
        <v>-24800213</v>
      </c>
      <c r="J2672">
        <v>-9974539</v>
      </c>
      <c r="K2672">
        <v>-7650912</v>
      </c>
      <c r="L2672">
        <v>3330978</v>
      </c>
      <c r="M2672">
        <v>-4894027</v>
      </c>
      <c r="N2672">
        <v>-11387994</v>
      </c>
      <c r="O2672">
        <v>-24437339</v>
      </c>
      <c r="P2672">
        <v>127</v>
      </c>
      <c r="Q2672" t="s">
        <v>5681</v>
      </c>
    </row>
    <row r="2673" spans="1:17" x14ac:dyDescent="0.3">
      <c r="A2673" t="s">
        <v>17</v>
      </c>
      <c r="B2673" t="str">
        <f>"603639"</f>
        <v>603639</v>
      </c>
      <c r="C2673" t="s">
        <v>5682</v>
      </c>
      <c r="D2673" t="s">
        <v>636</v>
      </c>
      <c r="E2673">
        <v>-19665221</v>
      </c>
      <c r="F2673">
        <v>6688395</v>
      </c>
      <c r="G2673">
        <v>-50932665</v>
      </c>
      <c r="H2673">
        <v>-61904237</v>
      </c>
      <c r="I2673">
        <v>-62531725</v>
      </c>
      <c r="J2673">
        <v>-83917070</v>
      </c>
      <c r="K2673">
        <v>16159894</v>
      </c>
      <c r="P2673">
        <v>1565</v>
      </c>
      <c r="Q2673" t="s">
        <v>5683</v>
      </c>
    </row>
    <row r="2674" spans="1:17" x14ac:dyDescent="0.3">
      <c r="A2674" t="s">
        <v>17</v>
      </c>
      <c r="B2674" t="str">
        <f>"603136"</f>
        <v>603136</v>
      </c>
      <c r="C2674" t="s">
        <v>5684</v>
      </c>
      <c r="D2674" t="s">
        <v>3669</v>
      </c>
      <c r="E2674">
        <v>-19667984</v>
      </c>
      <c r="F2674">
        <v>-10964561</v>
      </c>
      <c r="G2674">
        <v>-25194983</v>
      </c>
      <c r="H2674">
        <v>25235832</v>
      </c>
      <c r="I2674">
        <v>26489202</v>
      </c>
      <c r="J2674">
        <v>38770403</v>
      </c>
      <c r="P2674">
        <v>194</v>
      </c>
      <c r="Q2674" t="s">
        <v>5685</v>
      </c>
    </row>
    <row r="2675" spans="1:17" x14ac:dyDescent="0.3">
      <c r="A2675" t="s">
        <v>33</v>
      </c>
      <c r="B2675" t="str">
        <f>"200726"</f>
        <v>200726</v>
      </c>
      <c r="C2675" t="s">
        <v>5686</v>
      </c>
      <c r="E2675">
        <v>-19687023.752</v>
      </c>
      <c r="F2675">
        <v>-43524959.465999998</v>
      </c>
      <c r="G2675">
        <v>159472169.07960001</v>
      </c>
      <c r="H2675">
        <v>-104884847.838</v>
      </c>
      <c r="I2675">
        <v>105190593.1635</v>
      </c>
      <c r="J2675">
        <v>-83009490.169599995</v>
      </c>
      <c r="K2675">
        <v>220148175.36790001</v>
      </c>
      <c r="L2675">
        <v>-121661410</v>
      </c>
      <c r="M2675">
        <v>69629808.367599994</v>
      </c>
      <c r="N2675">
        <v>131337435.1476</v>
      </c>
      <c r="O2675">
        <v>122530370.031</v>
      </c>
      <c r="P2675">
        <v>329</v>
      </c>
      <c r="Q2675" t="s">
        <v>5687</v>
      </c>
    </row>
    <row r="2676" spans="1:17" x14ac:dyDescent="0.3">
      <c r="A2676" t="s">
        <v>17</v>
      </c>
      <c r="B2676" t="str">
        <f>"688056"</f>
        <v>688056</v>
      </c>
      <c r="C2676" t="s">
        <v>5688</v>
      </c>
      <c r="D2676" t="s">
        <v>2417</v>
      </c>
      <c r="E2676">
        <v>-19793010</v>
      </c>
      <c r="F2676">
        <v>-1042761</v>
      </c>
      <c r="G2676">
        <v>-3079937</v>
      </c>
      <c r="P2676">
        <v>50</v>
      </c>
      <c r="Q2676" t="s">
        <v>5689</v>
      </c>
    </row>
    <row r="2677" spans="1:17" x14ac:dyDescent="0.3">
      <c r="A2677" t="s">
        <v>17</v>
      </c>
      <c r="B2677" t="str">
        <f>"603197"</f>
        <v>603197</v>
      </c>
      <c r="C2677" t="s">
        <v>5690</v>
      </c>
      <c r="D2677" t="s">
        <v>1419</v>
      </c>
      <c r="E2677">
        <v>-19892003</v>
      </c>
      <c r="F2677">
        <v>69746108</v>
      </c>
      <c r="G2677">
        <v>9257073</v>
      </c>
      <c r="H2677">
        <v>35838512</v>
      </c>
      <c r="I2677">
        <v>85520661</v>
      </c>
      <c r="J2677">
        <v>34223968</v>
      </c>
      <c r="K2677">
        <v>60179109</v>
      </c>
      <c r="P2677">
        <v>357</v>
      </c>
      <c r="Q2677" t="s">
        <v>5691</v>
      </c>
    </row>
    <row r="2678" spans="1:17" x14ac:dyDescent="0.3">
      <c r="A2678" t="s">
        <v>17</v>
      </c>
      <c r="B2678" t="str">
        <f>"603021"</f>
        <v>603021</v>
      </c>
      <c r="C2678" t="s">
        <v>5692</v>
      </c>
      <c r="D2678" t="s">
        <v>927</v>
      </c>
      <c r="E2678">
        <v>-19940395</v>
      </c>
      <c r="F2678">
        <v>-42200303</v>
      </c>
      <c r="G2678">
        <v>-36951306</v>
      </c>
      <c r="H2678">
        <v>-26552087</v>
      </c>
      <c r="I2678">
        <v>12041077</v>
      </c>
      <c r="J2678">
        <v>11753919</v>
      </c>
      <c r="K2678">
        <v>16910511</v>
      </c>
      <c r="L2678">
        <v>8229487</v>
      </c>
      <c r="M2678">
        <v>14510655</v>
      </c>
      <c r="P2678">
        <v>59</v>
      </c>
      <c r="Q2678" t="s">
        <v>5693</v>
      </c>
    </row>
    <row r="2679" spans="1:17" x14ac:dyDescent="0.3">
      <c r="A2679" t="s">
        <v>17</v>
      </c>
      <c r="B2679" t="str">
        <f>"600391"</f>
        <v>600391</v>
      </c>
      <c r="C2679" t="s">
        <v>5694</v>
      </c>
      <c r="D2679" t="s">
        <v>2262</v>
      </c>
      <c r="E2679">
        <v>-19960461</v>
      </c>
      <c r="F2679">
        <v>-187747530</v>
      </c>
      <c r="G2679">
        <v>3586430</v>
      </c>
      <c r="H2679">
        <v>11166504</v>
      </c>
      <c r="I2679">
        <v>32430450</v>
      </c>
      <c r="J2679">
        <v>123598691</v>
      </c>
      <c r="K2679">
        <v>-16373650</v>
      </c>
      <c r="L2679">
        <v>-28358430</v>
      </c>
      <c r="M2679">
        <v>-20696514</v>
      </c>
      <c r="N2679">
        <v>-17882890</v>
      </c>
      <c r="O2679">
        <v>-61150840</v>
      </c>
      <c r="P2679">
        <v>233</v>
      </c>
      <c r="Q2679" t="s">
        <v>5695</v>
      </c>
    </row>
    <row r="2680" spans="1:17" x14ac:dyDescent="0.3">
      <c r="A2680" t="s">
        <v>33</v>
      </c>
      <c r="B2680" t="str">
        <f>"003007"</f>
        <v>003007</v>
      </c>
      <c r="C2680" t="s">
        <v>5696</v>
      </c>
      <c r="D2680" t="s">
        <v>807</v>
      </c>
      <c r="E2680">
        <v>-20053946</v>
      </c>
      <c r="F2680">
        <v>-45623211</v>
      </c>
      <c r="G2680">
        <v>-16417807</v>
      </c>
      <c r="P2680">
        <v>38</v>
      </c>
      <c r="Q2680" t="s">
        <v>5697</v>
      </c>
    </row>
    <row r="2681" spans="1:17" x14ac:dyDescent="0.3">
      <c r="A2681" t="s">
        <v>17</v>
      </c>
      <c r="B2681" t="str">
        <f>"688236"</f>
        <v>688236</v>
      </c>
      <c r="C2681" t="s">
        <v>5698</v>
      </c>
      <c r="D2681" t="s">
        <v>903</v>
      </c>
      <c r="E2681">
        <v>-20120816</v>
      </c>
      <c r="P2681">
        <v>20</v>
      </c>
      <c r="Q2681" t="s">
        <v>5699</v>
      </c>
    </row>
    <row r="2682" spans="1:17" x14ac:dyDescent="0.3">
      <c r="A2682" t="s">
        <v>33</v>
      </c>
      <c r="B2682" t="str">
        <f>"300563"</f>
        <v>300563</v>
      </c>
      <c r="C2682" t="s">
        <v>5700</v>
      </c>
      <c r="D2682" t="s">
        <v>1302</v>
      </c>
      <c r="E2682">
        <v>-20204066</v>
      </c>
      <c r="F2682">
        <v>20614552</v>
      </c>
      <c r="G2682">
        <v>23717287</v>
      </c>
      <c r="H2682">
        <v>5472209</v>
      </c>
      <c r="I2682">
        <v>9313318</v>
      </c>
      <c r="J2682">
        <v>9301047</v>
      </c>
      <c r="K2682">
        <v>7100517</v>
      </c>
      <c r="P2682">
        <v>144</v>
      </c>
      <c r="Q2682" t="s">
        <v>5701</v>
      </c>
    </row>
    <row r="2683" spans="1:17" x14ac:dyDescent="0.3">
      <c r="A2683" t="s">
        <v>33</v>
      </c>
      <c r="B2683" t="str">
        <f>"300259"</f>
        <v>300259</v>
      </c>
      <c r="C2683" t="s">
        <v>5702</v>
      </c>
      <c r="D2683" t="s">
        <v>2417</v>
      </c>
      <c r="E2683">
        <v>-20356249</v>
      </c>
      <c r="F2683">
        <v>-47504038</v>
      </c>
      <c r="G2683">
        <v>-8600102</v>
      </c>
      <c r="H2683">
        <v>-365833</v>
      </c>
      <c r="I2683">
        <v>-57142794</v>
      </c>
      <c r="J2683">
        <v>318248</v>
      </c>
      <c r="K2683">
        <v>-2068000</v>
      </c>
      <c r="L2683">
        <v>-10040875</v>
      </c>
      <c r="M2683">
        <v>-3302192</v>
      </c>
      <c r="N2683">
        <v>6865905</v>
      </c>
      <c r="O2683">
        <v>-4051454</v>
      </c>
      <c r="P2683">
        <v>360</v>
      </c>
      <c r="Q2683" t="s">
        <v>5703</v>
      </c>
    </row>
    <row r="2684" spans="1:17" x14ac:dyDescent="0.3">
      <c r="A2684" t="s">
        <v>17</v>
      </c>
      <c r="B2684" t="str">
        <f>"688027"</f>
        <v>688027</v>
      </c>
      <c r="C2684" t="s">
        <v>5704</v>
      </c>
      <c r="D2684" t="s">
        <v>1347</v>
      </c>
      <c r="E2684">
        <v>-20384959</v>
      </c>
      <c r="F2684">
        <v>-36288237</v>
      </c>
      <c r="G2684">
        <v>-16714863</v>
      </c>
      <c r="H2684">
        <v>-9706984</v>
      </c>
      <c r="P2684">
        <v>98</v>
      </c>
      <c r="Q2684" t="s">
        <v>5705</v>
      </c>
    </row>
    <row r="2685" spans="1:17" x14ac:dyDescent="0.3">
      <c r="A2685" t="s">
        <v>17</v>
      </c>
      <c r="B2685" t="str">
        <f>"600538"</f>
        <v>600538</v>
      </c>
      <c r="C2685" t="s">
        <v>5706</v>
      </c>
      <c r="D2685" t="s">
        <v>415</v>
      </c>
      <c r="E2685">
        <v>-20497877</v>
      </c>
      <c r="F2685">
        <v>-28765845</v>
      </c>
      <c r="G2685">
        <v>6743994</v>
      </c>
      <c r="H2685">
        <v>-9907850</v>
      </c>
      <c r="I2685">
        <v>-13957026</v>
      </c>
      <c r="J2685">
        <v>-26364928</v>
      </c>
      <c r="K2685">
        <v>-22776344</v>
      </c>
      <c r="L2685">
        <v>-6076623</v>
      </c>
      <c r="M2685">
        <v>-11170339</v>
      </c>
      <c r="N2685">
        <v>2684259</v>
      </c>
      <c r="O2685">
        <v>-8553269</v>
      </c>
      <c r="P2685">
        <v>69</v>
      </c>
      <c r="Q2685" t="s">
        <v>5707</v>
      </c>
    </row>
    <row r="2686" spans="1:17" x14ac:dyDescent="0.3">
      <c r="A2686" t="s">
        <v>17</v>
      </c>
      <c r="B2686" t="str">
        <f>"603389"</f>
        <v>603389</v>
      </c>
      <c r="C2686" t="s">
        <v>5708</v>
      </c>
      <c r="D2686" t="s">
        <v>664</v>
      </c>
      <c r="E2686">
        <v>-20576064</v>
      </c>
      <c r="F2686">
        <v>-54618992</v>
      </c>
      <c r="G2686">
        <v>-19783650</v>
      </c>
      <c r="H2686">
        <v>-23630677</v>
      </c>
      <c r="I2686">
        <v>-84890294</v>
      </c>
      <c r="J2686">
        <v>-36159502</v>
      </c>
      <c r="K2686">
        <v>-46159211</v>
      </c>
      <c r="P2686">
        <v>80</v>
      </c>
      <c r="Q2686" t="s">
        <v>5709</v>
      </c>
    </row>
    <row r="2687" spans="1:17" x14ac:dyDescent="0.3">
      <c r="A2687" t="s">
        <v>33</v>
      </c>
      <c r="B2687" t="str">
        <f>"002942"</f>
        <v>002942</v>
      </c>
      <c r="C2687" t="s">
        <v>5710</v>
      </c>
      <c r="D2687" t="s">
        <v>636</v>
      </c>
      <c r="E2687">
        <v>-20578021</v>
      </c>
      <c r="F2687">
        <v>-19785743</v>
      </c>
      <c r="G2687">
        <v>-46107702</v>
      </c>
      <c r="H2687">
        <v>49531262</v>
      </c>
      <c r="I2687">
        <v>38602013</v>
      </c>
      <c r="P2687">
        <v>414</v>
      </c>
      <c r="Q2687" t="s">
        <v>5711</v>
      </c>
    </row>
    <row r="2688" spans="1:17" x14ac:dyDescent="0.3">
      <c r="A2688" t="s">
        <v>17</v>
      </c>
      <c r="B2688" t="str">
        <f>"688265"</f>
        <v>688265</v>
      </c>
      <c r="C2688" t="s">
        <v>5712</v>
      </c>
      <c r="D2688" t="s">
        <v>846</v>
      </c>
      <c r="E2688">
        <v>-20580327</v>
      </c>
      <c r="P2688">
        <v>17</v>
      </c>
      <c r="Q2688" t="s">
        <v>5713</v>
      </c>
    </row>
    <row r="2689" spans="1:17" x14ac:dyDescent="0.3">
      <c r="A2689" t="s">
        <v>33</v>
      </c>
      <c r="B2689" t="str">
        <f>"300462"</f>
        <v>300462</v>
      </c>
      <c r="C2689" t="s">
        <v>5714</v>
      </c>
      <c r="D2689" t="s">
        <v>1571</v>
      </c>
      <c r="E2689">
        <v>-20651105</v>
      </c>
      <c r="F2689">
        <v>51978553</v>
      </c>
      <c r="G2689">
        <v>-326360332</v>
      </c>
      <c r="H2689">
        <v>-13326726</v>
      </c>
      <c r="I2689">
        <v>10179526</v>
      </c>
      <c r="J2689">
        <v>-43755431</v>
      </c>
      <c r="K2689">
        <v>2826971</v>
      </c>
      <c r="L2689">
        <v>-3475707</v>
      </c>
      <c r="M2689">
        <v>18619585</v>
      </c>
      <c r="P2689">
        <v>176</v>
      </c>
      <c r="Q2689" t="s">
        <v>5715</v>
      </c>
    </row>
    <row r="2690" spans="1:17" x14ac:dyDescent="0.3">
      <c r="A2690" t="s">
        <v>33</v>
      </c>
      <c r="B2690" t="str">
        <f>"301081"</f>
        <v>301081</v>
      </c>
      <c r="C2690" t="s">
        <v>5716</v>
      </c>
      <c r="D2690" t="s">
        <v>1763</v>
      </c>
      <c r="E2690">
        <v>-20723981</v>
      </c>
      <c r="P2690">
        <v>21</v>
      </c>
      <c r="Q2690" t="s">
        <v>5717</v>
      </c>
    </row>
    <row r="2691" spans="1:17" x14ac:dyDescent="0.3">
      <c r="A2691" t="s">
        <v>33</v>
      </c>
      <c r="B2691" t="str">
        <f>"300893"</f>
        <v>300893</v>
      </c>
      <c r="C2691" t="s">
        <v>5718</v>
      </c>
      <c r="D2691" t="s">
        <v>1419</v>
      </c>
      <c r="E2691">
        <v>-20759230</v>
      </c>
      <c r="F2691">
        <v>-22174299</v>
      </c>
      <c r="G2691">
        <v>6873307</v>
      </c>
      <c r="H2691">
        <v>-540789</v>
      </c>
      <c r="P2691">
        <v>48</v>
      </c>
      <c r="Q2691" t="s">
        <v>5719</v>
      </c>
    </row>
    <row r="2692" spans="1:17" x14ac:dyDescent="0.3">
      <c r="A2692" t="s">
        <v>33</v>
      </c>
      <c r="B2692" t="str">
        <f>"002943"</f>
        <v>002943</v>
      </c>
      <c r="C2692" t="s">
        <v>5720</v>
      </c>
      <c r="D2692" t="s">
        <v>1910</v>
      </c>
      <c r="E2692">
        <v>-20846863</v>
      </c>
      <c r="F2692">
        <v>-23033926</v>
      </c>
      <c r="G2692">
        <v>20736718</v>
      </c>
      <c r="H2692">
        <v>-57872909</v>
      </c>
      <c r="I2692">
        <v>-17605820</v>
      </c>
      <c r="P2692">
        <v>74</v>
      </c>
      <c r="Q2692" t="s">
        <v>5721</v>
      </c>
    </row>
    <row r="2693" spans="1:17" x14ac:dyDescent="0.3">
      <c r="A2693" t="s">
        <v>33</v>
      </c>
      <c r="B2693" t="str">
        <f>"002308"</f>
        <v>002308</v>
      </c>
      <c r="C2693" t="s">
        <v>5722</v>
      </c>
      <c r="D2693" t="s">
        <v>1571</v>
      </c>
      <c r="E2693">
        <v>-20932337</v>
      </c>
      <c r="F2693">
        <v>-20510044</v>
      </c>
      <c r="G2693">
        <v>-184268771</v>
      </c>
      <c r="H2693">
        <v>-83960185</v>
      </c>
      <c r="I2693">
        <v>-23595167</v>
      </c>
      <c r="J2693">
        <v>-50873006</v>
      </c>
      <c r="K2693">
        <v>12320962</v>
      </c>
      <c r="L2693">
        <v>-20547682</v>
      </c>
      <c r="M2693">
        <v>-104816061</v>
      </c>
      <c r="N2693">
        <v>-53901836</v>
      </c>
      <c r="O2693">
        <v>-26040665</v>
      </c>
      <c r="P2693">
        <v>218</v>
      </c>
      <c r="Q2693" t="s">
        <v>5723</v>
      </c>
    </row>
    <row r="2694" spans="1:17" x14ac:dyDescent="0.3">
      <c r="A2694" t="s">
        <v>33</v>
      </c>
      <c r="B2694" t="str">
        <f>"301040"</f>
        <v>301040</v>
      </c>
      <c r="C2694" t="s">
        <v>5724</v>
      </c>
      <c r="D2694" t="s">
        <v>1437</v>
      </c>
      <c r="E2694">
        <v>-20940458</v>
      </c>
      <c r="F2694">
        <v>-2337888</v>
      </c>
      <c r="G2694">
        <v>51999769</v>
      </c>
      <c r="P2694">
        <v>22</v>
      </c>
      <c r="Q2694" t="s">
        <v>5725</v>
      </c>
    </row>
    <row r="2695" spans="1:17" x14ac:dyDescent="0.3">
      <c r="A2695" t="s">
        <v>17</v>
      </c>
      <c r="B2695" t="str">
        <f>"600896"</f>
        <v>600896</v>
      </c>
      <c r="C2695" t="s">
        <v>5726</v>
      </c>
      <c r="D2695" t="s">
        <v>520</v>
      </c>
      <c r="E2695">
        <v>-20958119</v>
      </c>
      <c r="F2695">
        <v>-12882098</v>
      </c>
      <c r="G2695">
        <v>-22105401</v>
      </c>
      <c r="H2695">
        <v>-24581255</v>
      </c>
      <c r="I2695">
        <v>5101483</v>
      </c>
      <c r="J2695">
        <v>-180402801</v>
      </c>
      <c r="K2695">
        <v>42250604</v>
      </c>
      <c r="L2695">
        <v>45135189</v>
      </c>
      <c r="M2695">
        <v>32971466</v>
      </c>
      <c r="N2695">
        <v>-21235472</v>
      </c>
      <c r="O2695">
        <v>7551574</v>
      </c>
      <c r="P2695">
        <v>93</v>
      </c>
      <c r="Q2695" t="s">
        <v>5727</v>
      </c>
    </row>
    <row r="2696" spans="1:17" x14ac:dyDescent="0.3">
      <c r="A2696" t="s">
        <v>33</v>
      </c>
      <c r="B2696" t="str">
        <f>"300781"</f>
        <v>300781</v>
      </c>
      <c r="C2696" t="s">
        <v>5728</v>
      </c>
      <c r="D2696" t="s">
        <v>1125</v>
      </c>
      <c r="E2696">
        <v>-20962934</v>
      </c>
      <c r="F2696">
        <v>-33273746</v>
      </c>
      <c r="G2696">
        <v>5299696</v>
      </c>
      <c r="H2696">
        <v>-23847314</v>
      </c>
      <c r="I2696">
        <v>-46480415</v>
      </c>
      <c r="P2696">
        <v>100</v>
      </c>
      <c r="Q2696" t="s">
        <v>5729</v>
      </c>
    </row>
    <row r="2697" spans="1:17" x14ac:dyDescent="0.3">
      <c r="A2697" t="s">
        <v>33</v>
      </c>
      <c r="B2697" t="str">
        <f>"300042"</f>
        <v>300042</v>
      </c>
      <c r="C2697" t="s">
        <v>5730</v>
      </c>
      <c r="D2697" t="s">
        <v>1571</v>
      </c>
      <c r="E2697">
        <v>-21020103</v>
      </c>
      <c r="F2697">
        <v>-8954804</v>
      </c>
      <c r="G2697">
        <v>9392919</v>
      </c>
      <c r="H2697">
        <v>-33738384</v>
      </c>
      <c r="I2697">
        <v>-19172866</v>
      </c>
      <c r="J2697">
        <v>-55907782</v>
      </c>
      <c r="K2697">
        <v>-11257932</v>
      </c>
      <c r="L2697">
        <v>-5850194</v>
      </c>
      <c r="M2697">
        <v>11271933</v>
      </c>
      <c r="N2697">
        <v>7534367</v>
      </c>
      <c r="O2697">
        <v>21244735</v>
      </c>
      <c r="P2697">
        <v>116</v>
      </c>
      <c r="Q2697" t="s">
        <v>5731</v>
      </c>
    </row>
    <row r="2698" spans="1:17" x14ac:dyDescent="0.3">
      <c r="A2698" t="s">
        <v>17</v>
      </c>
      <c r="B2698" t="str">
        <f>"600503"</f>
        <v>600503</v>
      </c>
      <c r="C2698" t="s">
        <v>5732</v>
      </c>
      <c r="D2698" t="s">
        <v>167</v>
      </c>
      <c r="E2698">
        <v>-21105567</v>
      </c>
      <c r="F2698">
        <v>-197886746</v>
      </c>
      <c r="G2698">
        <v>-215536962</v>
      </c>
      <c r="H2698">
        <v>-55911496</v>
      </c>
      <c r="I2698">
        <v>-76174353</v>
      </c>
      <c r="J2698">
        <v>-283223993</v>
      </c>
      <c r="K2698">
        <v>340413745</v>
      </c>
      <c r="L2698">
        <v>-130534101</v>
      </c>
      <c r="M2698">
        <v>90100527</v>
      </c>
      <c r="N2698">
        <v>120186929</v>
      </c>
      <c r="O2698">
        <v>11095526</v>
      </c>
      <c r="P2698">
        <v>200</v>
      </c>
      <c r="Q2698" t="s">
        <v>5733</v>
      </c>
    </row>
    <row r="2699" spans="1:17" x14ac:dyDescent="0.3">
      <c r="A2699" t="s">
        <v>33</v>
      </c>
      <c r="B2699" t="str">
        <f>"301188"</f>
        <v>301188</v>
      </c>
      <c r="C2699" t="s">
        <v>5734</v>
      </c>
      <c r="D2699" t="s">
        <v>927</v>
      </c>
      <c r="E2699">
        <v>-21106625</v>
      </c>
      <c r="P2699">
        <v>18</v>
      </c>
      <c r="Q2699" t="s">
        <v>5735</v>
      </c>
    </row>
    <row r="2700" spans="1:17" x14ac:dyDescent="0.3">
      <c r="A2700" t="s">
        <v>33</v>
      </c>
      <c r="B2700" t="str">
        <f>"300697"</f>
        <v>300697</v>
      </c>
      <c r="C2700" t="s">
        <v>5736</v>
      </c>
      <c r="D2700" t="s">
        <v>153</v>
      </c>
      <c r="E2700">
        <v>-21124894</v>
      </c>
      <c r="F2700">
        <v>-40891525</v>
      </c>
      <c r="G2700">
        <v>31060819</v>
      </c>
      <c r="H2700">
        <v>-16946626</v>
      </c>
      <c r="I2700">
        <v>18432558</v>
      </c>
      <c r="J2700">
        <v>-13800789</v>
      </c>
      <c r="P2700">
        <v>77</v>
      </c>
      <c r="Q2700" t="s">
        <v>5737</v>
      </c>
    </row>
    <row r="2701" spans="1:17" x14ac:dyDescent="0.3">
      <c r="A2701" t="s">
        <v>17</v>
      </c>
      <c r="B2701" t="str">
        <f>"603033"</f>
        <v>603033</v>
      </c>
      <c r="C2701" t="s">
        <v>5738</v>
      </c>
      <c r="D2701" t="s">
        <v>2369</v>
      </c>
      <c r="E2701">
        <v>-21185331</v>
      </c>
      <c r="F2701">
        <v>-13244548</v>
      </c>
      <c r="G2701">
        <v>25879144</v>
      </c>
      <c r="H2701">
        <v>5547996</v>
      </c>
      <c r="I2701">
        <v>-69845562</v>
      </c>
      <c r="J2701">
        <v>-178844136</v>
      </c>
      <c r="K2701">
        <v>-40335651</v>
      </c>
      <c r="P2701">
        <v>99</v>
      </c>
      <c r="Q2701" t="s">
        <v>5739</v>
      </c>
    </row>
    <row r="2702" spans="1:17" x14ac:dyDescent="0.3">
      <c r="A2702" t="s">
        <v>33</v>
      </c>
      <c r="B2702" t="str">
        <f>"300178"</f>
        <v>300178</v>
      </c>
      <c r="C2702" t="s">
        <v>5740</v>
      </c>
      <c r="D2702" t="s">
        <v>4691</v>
      </c>
      <c r="E2702">
        <v>-21229241</v>
      </c>
      <c r="F2702">
        <v>44815066</v>
      </c>
      <c r="G2702">
        <v>9694523</v>
      </c>
      <c r="H2702">
        <v>-305201931</v>
      </c>
      <c r="I2702">
        <v>-789414622</v>
      </c>
      <c r="J2702">
        <v>-286599303</v>
      </c>
      <c r="K2702">
        <v>-43105280</v>
      </c>
      <c r="L2702">
        <v>-18018560</v>
      </c>
      <c r="M2702">
        <v>-44287882</v>
      </c>
      <c r="N2702">
        <v>31219195</v>
      </c>
      <c r="O2702">
        <v>25068283</v>
      </c>
      <c r="P2702">
        <v>152</v>
      </c>
      <c r="Q2702" t="s">
        <v>5741</v>
      </c>
    </row>
    <row r="2703" spans="1:17" x14ac:dyDescent="0.3">
      <c r="A2703" t="s">
        <v>33</v>
      </c>
      <c r="B2703" t="str">
        <f>"002213"</f>
        <v>002213</v>
      </c>
      <c r="C2703" t="s">
        <v>5742</v>
      </c>
      <c r="D2703" t="s">
        <v>858</v>
      </c>
      <c r="E2703">
        <v>-21256761</v>
      </c>
      <c r="F2703">
        <v>-31096480</v>
      </c>
      <c r="G2703">
        <v>-11147199</v>
      </c>
      <c r="H2703">
        <v>-14202234</v>
      </c>
      <c r="I2703">
        <v>6784768</v>
      </c>
      <c r="J2703">
        <v>1608823</v>
      </c>
      <c r="K2703">
        <v>3685819</v>
      </c>
      <c r="L2703">
        <v>-17087653</v>
      </c>
      <c r="M2703">
        <v>-33563703</v>
      </c>
      <c r="N2703">
        <v>24581032</v>
      </c>
      <c r="O2703">
        <v>12444375</v>
      </c>
      <c r="P2703">
        <v>90</v>
      </c>
      <c r="Q2703" t="s">
        <v>5743</v>
      </c>
    </row>
    <row r="2704" spans="1:17" x14ac:dyDescent="0.3">
      <c r="A2704" t="s">
        <v>33</v>
      </c>
      <c r="B2704" t="str">
        <f>"002827"</f>
        <v>002827</v>
      </c>
      <c r="C2704" t="s">
        <v>5744</v>
      </c>
      <c r="D2704" t="s">
        <v>1474</v>
      </c>
      <c r="E2704">
        <v>-21287842</v>
      </c>
      <c r="F2704">
        <v>-8996415</v>
      </c>
      <c r="G2704">
        <v>-17441852</v>
      </c>
      <c r="H2704">
        <v>-20927087</v>
      </c>
      <c r="I2704">
        <v>-6359349</v>
      </c>
      <c r="J2704">
        <v>7763965</v>
      </c>
      <c r="K2704">
        <v>14059931</v>
      </c>
      <c r="P2704">
        <v>89</v>
      </c>
      <c r="Q2704" t="s">
        <v>5745</v>
      </c>
    </row>
    <row r="2705" spans="1:17" x14ac:dyDescent="0.3">
      <c r="A2705" t="s">
        <v>17</v>
      </c>
      <c r="B2705" t="str">
        <f>"688737"</f>
        <v>688737</v>
      </c>
      <c r="C2705" t="s">
        <v>5746</v>
      </c>
      <c r="D2705" t="s">
        <v>1419</v>
      </c>
      <c r="E2705">
        <v>-21323327</v>
      </c>
      <c r="P2705">
        <v>15</v>
      </c>
      <c r="Q2705" t="s">
        <v>5747</v>
      </c>
    </row>
    <row r="2706" spans="1:17" x14ac:dyDescent="0.3">
      <c r="A2706" t="s">
        <v>17</v>
      </c>
      <c r="B2706" t="str">
        <f>"603980"</f>
        <v>603980</v>
      </c>
      <c r="C2706" t="s">
        <v>5748</v>
      </c>
      <c r="D2706" t="s">
        <v>735</v>
      </c>
      <c r="E2706">
        <v>-21338220</v>
      </c>
      <c r="F2706">
        <v>-52626638</v>
      </c>
      <c r="G2706">
        <v>115760637</v>
      </c>
      <c r="H2706">
        <v>185747701</v>
      </c>
      <c r="I2706">
        <v>29163375</v>
      </c>
      <c r="J2706">
        <v>87652056</v>
      </c>
      <c r="K2706">
        <v>532866693</v>
      </c>
      <c r="P2706">
        <v>195</v>
      </c>
      <c r="Q2706" t="s">
        <v>5749</v>
      </c>
    </row>
    <row r="2707" spans="1:17" x14ac:dyDescent="0.3">
      <c r="A2707" t="s">
        <v>17</v>
      </c>
      <c r="B2707" t="str">
        <f>"688078"</f>
        <v>688078</v>
      </c>
      <c r="C2707" t="s">
        <v>5750</v>
      </c>
      <c r="D2707" t="s">
        <v>1713</v>
      </c>
      <c r="E2707">
        <v>-21431799</v>
      </c>
      <c r="F2707">
        <v>-15923440</v>
      </c>
      <c r="G2707">
        <v>-20713007</v>
      </c>
      <c r="H2707">
        <v>-12251805</v>
      </c>
      <c r="P2707">
        <v>83</v>
      </c>
      <c r="Q2707" t="s">
        <v>5751</v>
      </c>
    </row>
    <row r="2708" spans="1:17" x14ac:dyDescent="0.3">
      <c r="A2708" t="s">
        <v>17</v>
      </c>
      <c r="B2708" t="str">
        <f>"600381"</f>
        <v>600381</v>
      </c>
      <c r="C2708" t="s">
        <v>5752</v>
      </c>
      <c r="D2708" t="s">
        <v>1772</v>
      </c>
      <c r="E2708">
        <v>-21460326</v>
      </c>
      <c r="F2708">
        <v>-28907922</v>
      </c>
      <c r="G2708">
        <v>-32443289</v>
      </c>
      <c r="H2708">
        <v>-51034402</v>
      </c>
      <c r="I2708">
        <v>-16708099</v>
      </c>
      <c r="J2708">
        <v>-15920095</v>
      </c>
      <c r="K2708">
        <v>-18164046</v>
      </c>
      <c r="L2708">
        <v>91449282</v>
      </c>
      <c r="M2708">
        <v>-32817545</v>
      </c>
      <c r="N2708">
        <v>27901222</v>
      </c>
      <c r="O2708">
        <v>1551695</v>
      </c>
      <c r="P2708">
        <v>131</v>
      </c>
      <c r="Q2708" t="s">
        <v>5753</v>
      </c>
    </row>
    <row r="2709" spans="1:17" x14ac:dyDescent="0.3">
      <c r="A2709" t="s">
        <v>17</v>
      </c>
      <c r="B2709" t="str">
        <f>"600215"</f>
        <v>600215</v>
      </c>
      <c r="C2709" t="s">
        <v>5754</v>
      </c>
      <c r="D2709" t="s">
        <v>167</v>
      </c>
      <c r="E2709">
        <v>-21495153</v>
      </c>
      <c r="F2709">
        <v>31935445</v>
      </c>
      <c r="G2709">
        <v>-17644009</v>
      </c>
      <c r="H2709">
        <v>28991596</v>
      </c>
      <c r="I2709">
        <v>-70708302</v>
      </c>
      <c r="J2709">
        <v>-50858773</v>
      </c>
      <c r="K2709">
        <v>-178573332</v>
      </c>
      <c r="L2709">
        <v>-82726120</v>
      </c>
      <c r="M2709">
        <v>118601715</v>
      </c>
      <c r="N2709">
        <v>-85912885</v>
      </c>
      <c r="O2709">
        <v>-69501547</v>
      </c>
      <c r="P2709">
        <v>77</v>
      </c>
      <c r="Q2709" t="s">
        <v>5755</v>
      </c>
    </row>
    <row r="2710" spans="1:17" x14ac:dyDescent="0.3">
      <c r="A2710" t="s">
        <v>33</v>
      </c>
      <c r="B2710" t="str">
        <f>"300338"</f>
        <v>300338</v>
      </c>
      <c r="C2710" t="s">
        <v>5756</v>
      </c>
      <c r="D2710" t="s">
        <v>761</v>
      </c>
      <c r="E2710">
        <v>-21495482</v>
      </c>
      <c r="F2710">
        <v>-57010052</v>
      </c>
      <c r="G2710">
        <v>-90535057</v>
      </c>
      <c r="H2710">
        <v>-36532406</v>
      </c>
      <c r="I2710">
        <v>-12802072</v>
      </c>
      <c r="J2710">
        <v>6071109</v>
      </c>
      <c r="K2710">
        <v>-30208928</v>
      </c>
      <c r="L2710">
        <v>-20292427</v>
      </c>
      <c r="M2710">
        <v>-14629516</v>
      </c>
      <c r="N2710">
        <v>-12349729</v>
      </c>
      <c r="O2710">
        <v>-49428966</v>
      </c>
      <c r="P2710">
        <v>118</v>
      </c>
      <c r="Q2710" t="s">
        <v>5757</v>
      </c>
    </row>
    <row r="2711" spans="1:17" x14ac:dyDescent="0.3">
      <c r="A2711" t="s">
        <v>33</v>
      </c>
      <c r="B2711" t="str">
        <f>"000565"</f>
        <v>000565</v>
      </c>
      <c r="C2711" t="s">
        <v>5758</v>
      </c>
      <c r="D2711" t="s">
        <v>1341</v>
      </c>
      <c r="E2711">
        <v>-21519110</v>
      </c>
      <c r="F2711">
        <v>4437251</v>
      </c>
      <c r="G2711">
        <v>-6098212</v>
      </c>
      <c r="H2711">
        <v>3096875</v>
      </c>
      <c r="I2711">
        <v>-73860977</v>
      </c>
      <c r="J2711">
        <v>-493230477</v>
      </c>
      <c r="K2711">
        <v>-130464658</v>
      </c>
      <c r="L2711">
        <v>-10629029</v>
      </c>
      <c r="M2711">
        <v>-8055265</v>
      </c>
      <c r="N2711">
        <v>-26058251</v>
      </c>
      <c r="O2711">
        <v>-44572905</v>
      </c>
      <c r="P2711">
        <v>79</v>
      </c>
      <c r="Q2711" t="s">
        <v>5759</v>
      </c>
    </row>
    <row r="2712" spans="1:17" x14ac:dyDescent="0.3">
      <c r="A2712" t="s">
        <v>33</v>
      </c>
      <c r="B2712" t="str">
        <f>"300164"</f>
        <v>300164</v>
      </c>
      <c r="C2712" t="s">
        <v>5760</v>
      </c>
      <c r="D2712" t="s">
        <v>1311</v>
      </c>
      <c r="E2712">
        <v>-21589146</v>
      </c>
      <c r="F2712">
        <v>10194803</v>
      </c>
      <c r="G2712">
        <v>-7707472</v>
      </c>
      <c r="H2712">
        <v>480455</v>
      </c>
      <c r="I2712">
        <v>10846595</v>
      </c>
      <c r="J2712">
        <v>-43463703</v>
      </c>
      <c r="K2712">
        <v>19315815</v>
      </c>
      <c r="L2712">
        <v>57532575</v>
      </c>
      <c r="M2712">
        <v>35292121</v>
      </c>
      <c r="N2712">
        <v>-20340155</v>
      </c>
      <c r="O2712">
        <v>-14105989</v>
      </c>
      <c r="P2712">
        <v>82</v>
      </c>
      <c r="Q2712" t="s">
        <v>5761</v>
      </c>
    </row>
    <row r="2713" spans="1:17" x14ac:dyDescent="0.3">
      <c r="A2713" t="s">
        <v>33</v>
      </c>
      <c r="B2713" t="str">
        <f>"300480"</f>
        <v>300480</v>
      </c>
      <c r="C2713" t="s">
        <v>5762</v>
      </c>
      <c r="D2713" t="s">
        <v>1132</v>
      </c>
      <c r="E2713">
        <v>-21631921</v>
      </c>
      <c r="F2713">
        <v>12876673</v>
      </c>
      <c r="G2713">
        <v>3596886</v>
      </c>
      <c r="H2713">
        <v>13425029</v>
      </c>
      <c r="I2713">
        <v>5493808</v>
      </c>
      <c r="J2713">
        <v>-24125004</v>
      </c>
      <c r="K2713">
        <v>-17967423</v>
      </c>
      <c r="L2713">
        <v>-6667600</v>
      </c>
      <c r="M2713">
        <v>-9533100</v>
      </c>
      <c r="P2713">
        <v>84</v>
      </c>
      <c r="Q2713" t="s">
        <v>5763</v>
      </c>
    </row>
    <row r="2714" spans="1:17" x14ac:dyDescent="0.3">
      <c r="A2714" t="s">
        <v>17</v>
      </c>
      <c r="B2714" t="str">
        <f>"600201"</f>
        <v>600201</v>
      </c>
      <c r="C2714" t="s">
        <v>5764</v>
      </c>
      <c r="D2714" t="s">
        <v>2035</v>
      </c>
      <c r="E2714">
        <v>-21635444</v>
      </c>
      <c r="F2714">
        <v>27069382</v>
      </c>
      <c r="G2714">
        <v>49859317</v>
      </c>
      <c r="H2714">
        <v>-71251367</v>
      </c>
      <c r="I2714">
        <v>58538667</v>
      </c>
      <c r="J2714">
        <v>163215396</v>
      </c>
      <c r="K2714">
        <v>95565231</v>
      </c>
      <c r="L2714">
        <v>6619947</v>
      </c>
      <c r="M2714">
        <v>131868043</v>
      </c>
      <c r="N2714">
        <v>-27597943</v>
      </c>
      <c r="O2714">
        <v>-70162642</v>
      </c>
      <c r="P2714">
        <v>1764</v>
      </c>
      <c r="Q2714" t="s">
        <v>5765</v>
      </c>
    </row>
    <row r="2715" spans="1:17" x14ac:dyDescent="0.3">
      <c r="A2715" t="s">
        <v>17</v>
      </c>
      <c r="B2715" t="str">
        <f>"603822"</f>
        <v>603822</v>
      </c>
      <c r="C2715" t="s">
        <v>5766</v>
      </c>
      <c r="D2715" t="s">
        <v>418</v>
      </c>
      <c r="E2715">
        <v>-21699621</v>
      </c>
      <c r="F2715">
        <v>-10442400</v>
      </c>
      <c r="G2715">
        <v>-66880734</v>
      </c>
      <c r="H2715">
        <v>42954029</v>
      </c>
      <c r="I2715">
        <v>-7800431</v>
      </c>
      <c r="J2715">
        <v>-10421587</v>
      </c>
      <c r="K2715">
        <v>-40916634</v>
      </c>
      <c r="L2715">
        <v>-32589400</v>
      </c>
      <c r="P2715">
        <v>124</v>
      </c>
      <c r="Q2715" t="s">
        <v>5767</v>
      </c>
    </row>
    <row r="2716" spans="1:17" x14ac:dyDescent="0.3">
      <c r="A2716" t="s">
        <v>17</v>
      </c>
      <c r="B2716" t="str">
        <f>"600816"</f>
        <v>600816</v>
      </c>
      <c r="C2716" t="s">
        <v>5768</v>
      </c>
      <c r="D2716" t="s">
        <v>5769</v>
      </c>
      <c r="E2716">
        <v>-21744823</v>
      </c>
      <c r="F2716">
        <v>-15598445</v>
      </c>
      <c r="G2716">
        <v>171948432</v>
      </c>
      <c r="H2716">
        <v>-443115246</v>
      </c>
      <c r="I2716">
        <v>-713819494</v>
      </c>
      <c r="J2716">
        <v>1420676106</v>
      </c>
      <c r="K2716">
        <v>549103710</v>
      </c>
      <c r="L2716">
        <v>-576964563</v>
      </c>
      <c r="M2716">
        <v>-708644722</v>
      </c>
      <c r="N2716">
        <v>-571240320</v>
      </c>
      <c r="O2716">
        <v>-223118458</v>
      </c>
      <c r="P2716">
        <v>6688</v>
      </c>
      <c r="Q2716" t="s">
        <v>5770</v>
      </c>
    </row>
    <row r="2717" spans="1:17" x14ac:dyDescent="0.3">
      <c r="A2717" t="s">
        <v>33</v>
      </c>
      <c r="B2717" t="str">
        <f>"300609"</f>
        <v>300609</v>
      </c>
      <c r="C2717" t="s">
        <v>5771</v>
      </c>
      <c r="D2717" t="s">
        <v>508</v>
      </c>
      <c r="E2717">
        <v>-21745588</v>
      </c>
      <c r="F2717">
        <v>-19884586</v>
      </c>
      <c r="G2717">
        <v>-29272953</v>
      </c>
      <c r="H2717">
        <v>-11862423</v>
      </c>
      <c r="I2717">
        <v>-800</v>
      </c>
      <c r="J2717">
        <v>-3556464</v>
      </c>
      <c r="K2717">
        <v>-12673676</v>
      </c>
      <c r="P2717">
        <v>155</v>
      </c>
      <c r="Q2717" t="s">
        <v>5772</v>
      </c>
    </row>
    <row r="2718" spans="1:17" x14ac:dyDescent="0.3">
      <c r="A2718" t="s">
        <v>17</v>
      </c>
      <c r="B2718" t="str">
        <f>"603388"</f>
        <v>603388</v>
      </c>
      <c r="C2718" t="s">
        <v>5773</v>
      </c>
      <c r="D2718" t="s">
        <v>2330</v>
      </c>
      <c r="E2718">
        <v>-21846875</v>
      </c>
      <c r="F2718">
        <v>-113226918</v>
      </c>
      <c r="G2718">
        <v>-129143483</v>
      </c>
      <c r="H2718">
        <v>-215512664</v>
      </c>
      <c r="I2718">
        <v>-166463387</v>
      </c>
      <c r="J2718">
        <v>-73517206</v>
      </c>
      <c r="K2718">
        <v>-13093706</v>
      </c>
      <c r="P2718">
        <v>63</v>
      </c>
      <c r="Q2718" t="s">
        <v>5774</v>
      </c>
    </row>
    <row r="2719" spans="1:17" x14ac:dyDescent="0.3">
      <c r="A2719" t="s">
        <v>17</v>
      </c>
      <c r="B2719" t="str">
        <f>"600234"</f>
        <v>600234</v>
      </c>
      <c r="C2719" t="s">
        <v>5775</v>
      </c>
      <c r="D2719" t="s">
        <v>523</v>
      </c>
      <c r="E2719">
        <v>-21847834</v>
      </c>
      <c r="F2719">
        <v>-42811090</v>
      </c>
      <c r="G2719">
        <v>-21143509</v>
      </c>
      <c r="H2719">
        <v>166474</v>
      </c>
      <c r="I2719">
        <v>-40980072</v>
      </c>
      <c r="J2719">
        <v>-2771672</v>
      </c>
      <c r="K2719">
        <v>272732</v>
      </c>
      <c r="L2719">
        <v>669499</v>
      </c>
      <c r="M2719">
        <v>-1700069</v>
      </c>
      <c r="N2719">
        <v>-23000</v>
      </c>
      <c r="O2719">
        <v>2072406</v>
      </c>
      <c r="P2719">
        <v>59</v>
      </c>
      <c r="Q2719" t="s">
        <v>5776</v>
      </c>
    </row>
    <row r="2720" spans="1:17" x14ac:dyDescent="0.3">
      <c r="A2720" t="s">
        <v>33</v>
      </c>
      <c r="B2720" t="str">
        <f>"300950"</f>
        <v>300950</v>
      </c>
      <c r="C2720" t="s">
        <v>5777</v>
      </c>
      <c r="D2720" t="s">
        <v>1132</v>
      </c>
      <c r="E2720">
        <v>-21893842</v>
      </c>
      <c r="F2720">
        <v>1243324</v>
      </c>
      <c r="G2720">
        <v>1742485</v>
      </c>
      <c r="P2720">
        <v>58</v>
      </c>
      <c r="Q2720" t="s">
        <v>5778</v>
      </c>
    </row>
    <row r="2721" spans="1:17" x14ac:dyDescent="0.3">
      <c r="A2721" t="s">
        <v>17</v>
      </c>
      <c r="B2721" t="str">
        <f>"688555"</f>
        <v>688555</v>
      </c>
      <c r="C2721" t="s">
        <v>5779</v>
      </c>
      <c r="D2721" t="s">
        <v>807</v>
      </c>
      <c r="E2721">
        <v>-21936352</v>
      </c>
      <c r="F2721">
        <v>-140227643</v>
      </c>
      <c r="G2721">
        <v>-25567380</v>
      </c>
      <c r="H2721">
        <v>-32207342</v>
      </c>
      <c r="P2721">
        <v>55</v>
      </c>
      <c r="Q2721" t="s">
        <v>5780</v>
      </c>
    </row>
    <row r="2722" spans="1:17" x14ac:dyDescent="0.3">
      <c r="A2722" t="s">
        <v>33</v>
      </c>
      <c r="B2722" t="str">
        <f>"002596"</f>
        <v>002596</v>
      </c>
      <c r="C2722" t="s">
        <v>5781</v>
      </c>
      <c r="D2722" t="s">
        <v>3447</v>
      </c>
      <c r="E2722">
        <v>-21980384</v>
      </c>
      <c r="F2722">
        <v>-128032445</v>
      </c>
      <c r="G2722">
        <v>35925044</v>
      </c>
      <c r="H2722">
        <v>-91706328</v>
      </c>
      <c r="I2722">
        <v>-57965294</v>
      </c>
      <c r="J2722">
        <v>-116182788</v>
      </c>
      <c r="K2722">
        <v>-32745656</v>
      </c>
      <c r="L2722">
        <v>12301556</v>
      </c>
      <c r="M2722">
        <v>4086613</v>
      </c>
      <c r="N2722">
        <v>2507969</v>
      </c>
      <c r="O2722">
        <v>-24250872</v>
      </c>
      <c r="P2722">
        <v>100</v>
      </c>
      <c r="Q2722" t="s">
        <v>5782</v>
      </c>
    </row>
    <row r="2723" spans="1:17" x14ac:dyDescent="0.3">
      <c r="A2723" t="s">
        <v>17</v>
      </c>
      <c r="B2723" t="str">
        <f>"600693"</f>
        <v>600693</v>
      </c>
      <c r="C2723" t="s">
        <v>5783</v>
      </c>
      <c r="D2723" t="s">
        <v>989</v>
      </c>
      <c r="E2723">
        <v>-21988334</v>
      </c>
      <c r="F2723">
        <v>47542159</v>
      </c>
      <c r="G2723">
        <v>-138515710</v>
      </c>
      <c r="H2723">
        <v>-106438229</v>
      </c>
      <c r="I2723">
        <v>-125846429</v>
      </c>
      <c r="J2723">
        <v>-58411518</v>
      </c>
      <c r="K2723">
        <v>2759119</v>
      </c>
      <c r="L2723">
        <v>-166003359</v>
      </c>
      <c r="M2723">
        <v>-328233323</v>
      </c>
      <c r="N2723">
        <v>-76694348</v>
      </c>
      <c r="O2723">
        <v>-87157030</v>
      </c>
      <c r="P2723">
        <v>103</v>
      </c>
      <c r="Q2723" t="s">
        <v>5784</v>
      </c>
    </row>
    <row r="2724" spans="1:17" x14ac:dyDescent="0.3">
      <c r="A2724" t="s">
        <v>17</v>
      </c>
      <c r="B2724" t="str">
        <f>"603099"</f>
        <v>603099</v>
      </c>
      <c r="C2724" t="s">
        <v>5785</v>
      </c>
      <c r="D2724" t="s">
        <v>5307</v>
      </c>
      <c r="E2724">
        <v>-21996473</v>
      </c>
      <c r="F2724">
        <v>-27404715</v>
      </c>
      <c r="G2724">
        <v>-26173757</v>
      </c>
      <c r="H2724">
        <v>-11326246</v>
      </c>
      <c r="I2724">
        <v>-39266649</v>
      </c>
      <c r="J2724">
        <v>-41125396</v>
      </c>
      <c r="K2724">
        <v>-6722554</v>
      </c>
      <c r="L2724">
        <v>-2982605</v>
      </c>
      <c r="M2724">
        <v>-1449100</v>
      </c>
      <c r="P2724">
        <v>97</v>
      </c>
      <c r="Q2724" t="s">
        <v>5786</v>
      </c>
    </row>
    <row r="2725" spans="1:17" x14ac:dyDescent="0.3">
      <c r="A2725" t="s">
        <v>17</v>
      </c>
      <c r="B2725" t="str">
        <f>"688325"</f>
        <v>688325</v>
      </c>
      <c r="C2725" t="s">
        <v>5787</v>
      </c>
      <c r="E2725">
        <v>-22001617</v>
      </c>
      <c r="P2725">
        <v>3</v>
      </c>
      <c r="Q2725" t="s">
        <v>5788</v>
      </c>
    </row>
    <row r="2726" spans="1:17" x14ac:dyDescent="0.3">
      <c r="A2726" t="s">
        <v>33</v>
      </c>
      <c r="B2726" t="str">
        <f>"002742"</f>
        <v>002742</v>
      </c>
      <c r="C2726" t="s">
        <v>5789</v>
      </c>
      <c r="D2726" t="s">
        <v>3447</v>
      </c>
      <c r="E2726">
        <v>-22050335</v>
      </c>
      <c r="F2726">
        <v>19705674</v>
      </c>
      <c r="G2726">
        <v>98797340</v>
      </c>
      <c r="H2726">
        <v>-29587544</v>
      </c>
      <c r="I2726">
        <v>-93627105</v>
      </c>
      <c r="J2726">
        <v>10612169</v>
      </c>
      <c r="K2726">
        <v>-13918853</v>
      </c>
      <c r="L2726">
        <v>-18880275</v>
      </c>
      <c r="M2726">
        <v>-107697728</v>
      </c>
      <c r="P2726">
        <v>67</v>
      </c>
      <c r="Q2726" t="s">
        <v>5790</v>
      </c>
    </row>
    <row r="2727" spans="1:17" x14ac:dyDescent="0.3">
      <c r="A2727" t="s">
        <v>17</v>
      </c>
      <c r="B2727" t="str">
        <f>"688096"</f>
        <v>688096</v>
      </c>
      <c r="C2727" t="s">
        <v>5791</v>
      </c>
      <c r="D2727" t="s">
        <v>932</v>
      </c>
      <c r="E2727">
        <v>-22070754</v>
      </c>
      <c r="F2727">
        <v>-44081253</v>
      </c>
      <c r="G2727">
        <v>-39151077</v>
      </c>
      <c r="H2727">
        <v>-2527122</v>
      </c>
      <c r="I2727">
        <v>-5129269</v>
      </c>
      <c r="P2727">
        <v>73</v>
      </c>
      <c r="Q2727" t="s">
        <v>5792</v>
      </c>
    </row>
    <row r="2728" spans="1:17" x14ac:dyDescent="0.3">
      <c r="A2728" t="s">
        <v>33</v>
      </c>
      <c r="B2728" t="str">
        <f>"002961"</f>
        <v>002961</v>
      </c>
      <c r="C2728" t="s">
        <v>5793</v>
      </c>
      <c r="D2728" t="s">
        <v>538</v>
      </c>
      <c r="E2728">
        <v>-22076988</v>
      </c>
      <c r="F2728">
        <v>-519302922</v>
      </c>
      <c r="G2728">
        <v>925507248</v>
      </c>
      <c r="H2728">
        <v>65325786</v>
      </c>
      <c r="P2728">
        <v>121</v>
      </c>
      <c r="Q2728" t="s">
        <v>5794</v>
      </c>
    </row>
    <row r="2729" spans="1:17" x14ac:dyDescent="0.3">
      <c r="A2729" t="s">
        <v>33</v>
      </c>
      <c r="B2729" t="str">
        <f>"002347"</f>
        <v>002347</v>
      </c>
      <c r="C2729" t="s">
        <v>5795</v>
      </c>
      <c r="D2729" t="s">
        <v>164</v>
      </c>
      <c r="E2729">
        <v>-22140567</v>
      </c>
      <c r="F2729">
        <v>-5267035</v>
      </c>
      <c r="G2729">
        <v>-114637272</v>
      </c>
      <c r="H2729">
        <v>-38058453</v>
      </c>
      <c r="I2729">
        <v>-84750956</v>
      </c>
      <c r="J2729">
        <v>-42617213</v>
      </c>
      <c r="K2729">
        <v>-63654287</v>
      </c>
      <c r="L2729">
        <v>-58058923</v>
      </c>
      <c r="M2729">
        <v>-5876894</v>
      </c>
      <c r="N2729">
        <v>-4315644</v>
      </c>
      <c r="O2729">
        <v>8077986</v>
      </c>
      <c r="P2729">
        <v>75</v>
      </c>
      <c r="Q2729" t="s">
        <v>5796</v>
      </c>
    </row>
    <row r="2730" spans="1:17" x14ac:dyDescent="0.3">
      <c r="A2730" t="s">
        <v>33</v>
      </c>
      <c r="B2730" t="str">
        <f>"300667"</f>
        <v>300667</v>
      </c>
      <c r="C2730" t="s">
        <v>5797</v>
      </c>
      <c r="D2730" t="s">
        <v>2417</v>
      </c>
      <c r="E2730">
        <v>-22187646</v>
      </c>
      <c r="F2730">
        <v>-42110857</v>
      </c>
      <c r="G2730">
        <v>-40735368</v>
      </c>
      <c r="H2730">
        <v>-5572441</v>
      </c>
      <c r="I2730">
        <v>-28246459</v>
      </c>
      <c r="J2730">
        <v>-23250071</v>
      </c>
      <c r="K2730">
        <v>-20908405</v>
      </c>
      <c r="P2730">
        <v>144</v>
      </c>
      <c r="Q2730" t="s">
        <v>5798</v>
      </c>
    </row>
    <row r="2731" spans="1:17" x14ac:dyDescent="0.3">
      <c r="A2731" t="s">
        <v>17</v>
      </c>
      <c r="B2731" t="str">
        <f>"600767"</f>
        <v>600767</v>
      </c>
      <c r="C2731" t="s">
        <v>5799</v>
      </c>
      <c r="D2731" t="s">
        <v>415</v>
      </c>
      <c r="E2731">
        <v>-22202456</v>
      </c>
      <c r="F2731">
        <v>-10045744</v>
      </c>
      <c r="G2731">
        <v>-19106052</v>
      </c>
      <c r="H2731">
        <v>-37467958</v>
      </c>
      <c r="I2731">
        <v>-36695254</v>
      </c>
      <c r="J2731">
        <v>-26641270</v>
      </c>
      <c r="K2731">
        <v>-27542184</v>
      </c>
      <c r="L2731">
        <v>-2270188</v>
      </c>
      <c r="M2731">
        <v>-25493759</v>
      </c>
      <c r="N2731">
        <v>-34676729</v>
      </c>
      <c r="O2731">
        <v>-23219918</v>
      </c>
      <c r="P2731">
        <v>62</v>
      </c>
      <c r="Q2731" t="s">
        <v>5800</v>
      </c>
    </row>
    <row r="2732" spans="1:17" x14ac:dyDescent="0.3">
      <c r="A2732" t="s">
        <v>33</v>
      </c>
      <c r="B2732" t="str">
        <f>"300227"</f>
        <v>300227</v>
      </c>
      <c r="C2732" t="s">
        <v>5801</v>
      </c>
      <c r="D2732" t="s">
        <v>3169</v>
      </c>
      <c r="E2732">
        <v>-22242533</v>
      </c>
      <c r="F2732">
        <v>941573</v>
      </c>
      <c r="G2732">
        <v>62215848</v>
      </c>
      <c r="H2732">
        <v>20036984</v>
      </c>
      <c r="I2732">
        <v>64160376</v>
      </c>
      <c r="J2732">
        <v>23826561</v>
      </c>
      <c r="K2732">
        <v>15269245</v>
      </c>
      <c r="L2732">
        <v>19101919</v>
      </c>
      <c r="M2732">
        <v>13663205</v>
      </c>
      <c r="N2732">
        <v>9387871</v>
      </c>
      <c r="O2732">
        <v>2876359</v>
      </c>
      <c r="P2732">
        <v>220</v>
      </c>
      <c r="Q2732" t="s">
        <v>5802</v>
      </c>
    </row>
    <row r="2733" spans="1:17" x14ac:dyDescent="0.3">
      <c r="A2733" t="s">
        <v>17</v>
      </c>
      <c r="B2733" t="str">
        <f>"688286"</f>
        <v>688286</v>
      </c>
      <c r="C2733" t="s">
        <v>5803</v>
      </c>
      <c r="D2733" t="s">
        <v>1192</v>
      </c>
      <c r="E2733">
        <v>-22288221</v>
      </c>
      <c r="F2733">
        <v>-12124153</v>
      </c>
      <c r="G2733">
        <v>-12930374</v>
      </c>
      <c r="H2733">
        <v>10016563</v>
      </c>
      <c r="P2733">
        <v>91</v>
      </c>
      <c r="Q2733" t="s">
        <v>5804</v>
      </c>
    </row>
    <row r="2734" spans="1:17" x14ac:dyDescent="0.3">
      <c r="A2734" t="s">
        <v>33</v>
      </c>
      <c r="B2734" t="str">
        <f>"300555"</f>
        <v>300555</v>
      </c>
      <c r="C2734" t="s">
        <v>5805</v>
      </c>
      <c r="D2734" t="s">
        <v>1347</v>
      </c>
      <c r="E2734">
        <v>-22291256</v>
      </c>
      <c r="F2734">
        <v>-1098759</v>
      </c>
      <c r="G2734">
        <v>20079469</v>
      </c>
      <c r="H2734">
        <v>-3237222</v>
      </c>
      <c r="I2734">
        <v>-26563522</v>
      </c>
      <c r="J2734">
        <v>-39423130</v>
      </c>
      <c r="K2734">
        <v>-29484234</v>
      </c>
      <c r="P2734">
        <v>72</v>
      </c>
      <c r="Q2734" t="s">
        <v>5806</v>
      </c>
    </row>
    <row r="2735" spans="1:17" x14ac:dyDescent="0.3">
      <c r="A2735" t="s">
        <v>17</v>
      </c>
      <c r="B2735" t="str">
        <f>"603859"</f>
        <v>603859</v>
      </c>
      <c r="C2735" t="s">
        <v>5807</v>
      </c>
      <c r="D2735" t="s">
        <v>2148</v>
      </c>
      <c r="E2735">
        <v>-22352126</v>
      </c>
      <c r="F2735">
        <v>-70992420</v>
      </c>
      <c r="G2735">
        <v>-68834393</v>
      </c>
      <c r="H2735">
        <v>-61120741</v>
      </c>
      <c r="I2735">
        <v>-35504680</v>
      </c>
      <c r="J2735">
        <v>-49673880</v>
      </c>
      <c r="K2735">
        <v>-22220572</v>
      </c>
      <c r="P2735">
        <v>205</v>
      </c>
      <c r="Q2735" t="s">
        <v>5808</v>
      </c>
    </row>
    <row r="2736" spans="1:17" x14ac:dyDescent="0.3">
      <c r="A2736" t="s">
        <v>33</v>
      </c>
      <c r="B2736" t="str">
        <f>"300187"</f>
        <v>300187</v>
      </c>
      <c r="C2736" t="s">
        <v>5809</v>
      </c>
      <c r="D2736" t="s">
        <v>897</v>
      </c>
      <c r="E2736">
        <v>-22417085</v>
      </c>
      <c r="F2736">
        <v>25433043</v>
      </c>
      <c r="G2736">
        <v>9027539</v>
      </c>
      <c r="H2736">
        <v>14313816</v>
      </c>
      <c r="I2736">
        <v>61291370</v>
      </c>
      <c r="J2736">
        <v>-170121283</v>
      </c>
      <c r="K2736">
        <v>-30468827</v>
      </c>
      <c r="L2736">
        <v>-20998562</v>
      </c>
      <c r="M2736">
        <v>-14516315</v>
      </c>
      <c r="N2736">
        <v>-24777634</v>
      </c>
      <c r="O2736">
        <v>-14164736</v>
      </c>
      <c r="P2736">
        <v>110</v>
      </c>
      <c r="Q2736" t="s">
        <v>5810</v>
      </c>
    </row>
    <row r="2737" spans="1:17" x14ac:dyDescent="0.3">
      <c r="A2737" t="s">
        <v>33</v>
      </c>
      <c r="B2737" t="str">
        <f>"300721"</f>
        <v>300721</v>
      </c>
      <c r="C2737" t="s">
        <v>5811</v>
      </c>
      <c r="D2737" t="s">
        <v>418</v>
      </c>
      <c r="E2737">
        <v>-22445055</v>
      </c>
      <c r="F2737">
        <v>-16568448</v>
      </c>
      <c r="G2737">
        <v>-54009337</v>
      </c>
      <c r="H2737">
        <v>-49343227</v>
      </c>
      <c r="I2737">
        <v>-28331999</v>
      </c>
      <c r="J2737">
        <v>-32545830</v>
      </c>
      <c r="P2737">
        <v>73</v>
      </c>
      <c r="Q2737" t="s">
        <v>5812</v>
      </c>
    </row>
    <row r="2738" spans="1:17" x14ac:dyDescent="0.3">
      <c r="A2738" t="s">
        <v>17</v>
      </c>
      <c r="B2738" t="str">
        <f>"605588"</f>
        <v>605588</v>
      </c>
      <c r="C2738" t="s">
        <v>5813</v>
      </c>
      <c r="D2738" t="s">
        <v>2017</v>
      </c>
      <c r="E2738">
        <v>-22457837</v>
      </c>
      <c r="F2738">
        <v>-74317705</v>
      </c>
      <c r="G2738">
        <v>-11204704</v>
      </c>
      <c r="P2738">
        <v>16</v>
      </c>
      <c r="Q2738" t="s">
        <v>5814</v>
      </c>
    </row>
    <row r="2739" spans="1:17" x14ac:dyDescent="0.3">
      <c r="A2739" t="s">
        <v>33</v>
      </c>
      <c r="B2739" t="str">
        <f>"300155"</f>
        <v>300155</v>
      </c>
      <c r="C2739" t="s">
        <v>5815</v>
      </c>
      <c r="D2739" t="s">
        <v>2597</v>
      </c>
      <c r="E2739">
        <v>-22672116</v>
      </c>
      <c r="F2739">
        <v>-78163326</v>
      </c>
      <c r="G2739">
        <v>-70639721</v>
      </c>
      <c r="H2739">
        <v>34888636</v>
      </c>
      <c r="I2739">
        <v>-25986414</v>
      </c>
      <c r="J2739">
        <v>-62913779</v>
      </c>
      <c r="K2739">
        <v>-45007796</v>
      </c>
      <c r="L2739">
        <v>-69376237</v>
      </c>
      <c r="M2739">
        <v>-54977660</v>
      </c>
      <c r="N2739">
        <v>-31449190</v>
      </c>
      <c r="O2739">
        <v>-20850615</v>
      </c>
      <c r="P2739">
        <v>68</v>
      </c>
      <c r="Q2739" t="s">
        <v>5816</v>
      </c>
    </row>
    <row r="2740" spans="1:17" x14ac:dyDescent="0.3">
      <c r="A2740" t="s">
        <v>33</v>
      </c>
      <c r="B2740" t="str">
        <f>"000564"</f>
        <v>000564</v>
      </c>
      <c r="C2740" t="s">
        <v>5817</v>
      </c>
      <c r="D2740" t="s">
        <v>989</v>
      </c>
      <c r="E2740">
        <v>-22682529</v>
      </c>
      <c r="F2740">
        <v>-212633239</v>
      </c>
      <c r="G2740">
        <v>271289082</v>
      </c>
      <c r="H2740">
        <v>76656253</v>
      </c>
      <c r="I2740">
        <v>1105132688</v>
      </c>
      <c r="J2740">
        <v>244270440</v>
      </c>
      <c r="K2740">
        <v>164136588</v>
      </c>
      <c r="L2740">
        <v>17424301</v>
      </c>
      <c r="M2740">
        <v>244589196</v>
      </c>
      <c r="N2740">
        <v>201445888</v>
      </c>
      <c r="O2740">
        <v>103118269</v>
      </c>
      <c r="P2740">
        <v>187</v>
      </c>
      <c r="Q2740" t="s">
        <v>5818</v>
      </c>
    </row>
    <row r="2741" spans="1:17" x14ac:dyDescent="0.3">
      <c r="A2741" t="s">
        <v>33</v>
      </c>
      <c r="B2741" t="str">
        <f>"000428"</f>
        <v>000428</v>
      </c>
      <c r="C2741" t="s">
        <v>5819</v>
      </c>
      <c r="D2741" t="s">
        <v>2043</v>
      </c>
      <c r="E2741">
        <v>-22727535</v>
      </c>
      <c r="F2741">
        <v>-37091236</v>
      </c>
      <c r="G2741">
        <v>-47518605</v>
      </c>
      <c r="H2741">
        <v>28964415</v>
      </c>
      <c r="I2741">
        <v>34738489</v>
      </c>
      <c r="J2741">
        <v>-4213995</v>
      </c>
      <c r="K2741">
        <v>2245294</v>
      </c>
      <c r="L2741">
        <v>6998249</v>
      </c>
      <c r="M2741">
        <v>176751026</v>
      </c>
      <c r="N2741">
        <v>144686370</v>
      </c>
      <c r="O2741">
        <v>16341510</v>
      </c>
      <c r="P2741">
        <v>104</v>
      </c>
      <c r="Q2741" t="s">
        <v>5820</v>
      </c>
    </row>
    <row r="2742" spans="1:17" x14ac:dyDescent="0.3">
      <c r="A2742" t="s">
        <v>33</v>
      </c>
      <c r="B2742" t="str">
        <f>"002291"</f>
        <v>002291</v>
      </c>
      <c r="C2742" t="s">
        <v>5821</v>
      </c>
      <c r="D2742" t="s">
        <v>1125</v>
      </c>
      <c r="E2742">
        <v>-22817008</v>
      </c>
      <c r="F2742">
        <v>8147542</v>
      </c>
      <c r="G2742">
        <v>-47014048</v>
      </c>
      <c r="H2742">
        <v>72218302</v>
      </c>
      <c r="I2742">
        <v>11855886</v>
      </c>
      <c r="J2742">
        <v>21653499</v>
      </c>
      <c r="K2742">
        <v>7752399</v>
      </c>
      <c r="L2742">
        <v>-42641085</v>
      </c>
      <c r="M2742">
        <v>69793113</v>
      </c>
      <c r="N2742">
        <v>-2272694</v>
      </c>
      <c r="O2742">
        <v>26039022</v>
      </c>
      <c r="P2742">
        <v>172</v>
      </c>
      <c r="Q2742" t="s">
        <v>5822</v>
      </c>
    </row>
    <row r="2743" spans="1:17" x14ac:dyDescent="0.3">
      <c r="A2743" t="s">
        <v>17</v>
      </c>
      <c r="B2743" t="str">
        <f>"603488"</f>
        <v>603488</v>
      </c>
      <c r="C2743" t="s">
        <v>5823</v>
      </c>
      <c r="D2743" t="s">
        <v>2528</v>
      </c>
      <c r="E2743">
        <v>-22824532</v>
      </c>
      <c r="F2743">
        <v>-30449231</v>
      </c>
      <c r="G2743">
        <v>-23315944</v>
      </c>
      <c r="H2743">
        <v>-8451780</v>
      </c>
      <c r="I2743">
        <v>1042184</v>
      </c>
      <c r="J2743">
        <v>-1496800</v>
      </c>
      <c r="K2743">
        <v>3665200</v>
      </c>
      <c r="P2743">
        <v>64</v>
      </c>
      <c r="Q2743" t="s">
        <v>5824</v>
      </c>
    </row>
    <row r="2744" spans="1:17" x14ac:dyDescent="0.3">
      <c r="A2744" t="s">
        <v>33</v>
      </c>
      <c r="B2744" t="str">
        <f>"002561"</f>
        <v>002561</v>
      </c>
      <c r="C2744" t="s">
        <v>5825</v>
      </c>
      <c r="D2744" t="s">
        <v>989</v>
      </c>
      <c r="E2744">
        <v>-22927926</v>
      </c>
      <c r="F2744">
        <v>42608785</v>
      </c>
      <c r="G2744">
        <v>-102508562</v>
      </c>
      <c r="H2744">
        <v>39704920</v>
      </c>
      <c r="I2744">
        <v>45772543</v>
      </c>
      <c r="J2744">
        <v>26487119</v>
      </c>
      <c r="K2744">
        <v>100533181</v>
      </c>
      <c r="L2744">
        <v>99382412</v>
      </c>
      <c r="M2744">
        <v>22824939</v>
      </c>
      <c r="N2744">
        <v>32670441</v>
      </c>
      <c r="O2744">
        <v>-4022839</v>
      </c>
      <c r="P2744">
        <v>183</v>
      </c>
      <c r="Q2744" t="s">
        <v>5826</v>
      </c>
    </row>
    <row r="2745" spans="1:17" x14ac:dyDescent="0.3">
      <c r="A2745" t="s">
        <v>33</v>
      </c>
      <c r="B2745" t="str">
        <f>"300700"</f>
        <v>300700</v>
      </c>
      <c r="C2745" t="s">
        <v>5827</v>
      </c>
      <c r="D2745" t="s">
        <v>1219</v>
      </c>
      <c r="E2745">
        <v>-23020844</v>
      </c>
      <c r="F2745">
        <v>-14690476</v>
      </c>
      <c r="G2745">
        <v>3576478</v>
      </c>
      <c r="H2745">
        <v>-12548207</v>
      </c>
      <c r="I2745">
        <v>8975655</v>
      </c>
      <c r="J2745">
        <v>4877715</v>
      </c>
      <c r="P2745">
        <v>140</v>
      </c>
      <c r="Q2745" t="s">
        <v>5828</v>
      </c>
    </row>
    <row r="2746" spans="1:17" x14ac:dyDescent="0.3">
      <c r="A2746" t="s">
        <v>33</v>
      </c>
      <c r="B2746" t="str">
        <f>"002659"</f>
        <v>002659</v>
      </c>
      <c r="C2746" t="s">
        <v>5829</v>
      </c>
      <c r="D2746" t="s">
        <v>5430</v>
      </c>
      <c r="E2746">
        <v>-23082651</v>
      </c>
      <c r="F2746">
        <v>-86480439</v>
      </c>
      <c r="G2746">
        <v>-78683119</v>
      </c>
      <c r="H2746">
        <v>-64995191</v>
      </c>
      <c r="I2746">
        <v>-38973474</v>
      </c>
      <c r="J2746">
        <v>-44451240</v>
      </c>
      <c r="K2746">
        <v>-66524286</v>
      </c>
      <c r="L2746">
        <v>14520593</v>
      </c>
      <c r="M2746">
        <v>-63959165</v>
      </c>
      <c r="N2746">
        <v>-94656227</v>
      </c>
      <c r="O2746">
        <v>-52729924</v>
      </c>
      <c r="P2746">
        <v>96</v>
      </c>
      <c r="Q2746" t="s">
        <v>5830</v>
      </c>
    </row>
    <row r="2747" spans="1:17" x14ac:dyDescent="0.3">
      <c r="A2747" t="s">
        <v>33</v>
      </c>
      <c r="B2747" t="str">
        <f>"002931"</f>
        <v>002931</v>
      </c>
      <c r="C2747" t="s">
        <v>5831</v>
      </c>
      <c r="D2747" t="s">
        <v>164</v>
      </c>
      <c r="E2747">
        <v>-23098460</v>
      </c>
      <c r="F2747">
        <v>-10913389</v>
      </c>
      <c r="G2747">
        <v>26178057</v>
      </c>
      <c r="H2747">
        <v>5017825</v>
      </c>
      <c r="I2747">
        <v>4158752</v>
      </c>
      <c r="J2747">
        <v>27480436</v>
      </c>
      <c r="P2747">
        <v>107</v>
      </c>
      <c r="Q2747" t="s">
        <v>5832</v>
      </c>
    </row>
    <row r="2748" spans="1:17" x14ac:dyDescent="0.3">
      <c r="A2748" t="s">
        <v>33</v>
      </c>
      <c r="B2748" t="str">
        <f>"300282"</f>
        <v>300282</v>
      </c>
      <c r="C2748" t="s">
        <v>5833</v>
      </c>
      <c r="D2748" t="s">
        <v>5834</v>
      </c>
      <c r="E2748">
        <v>-23108193</v>
      </c>
      <c r="F2748">
        <v>-25372412</v>
      </c>
      <c r="G2748">
        <v>-32898880</v>
      </c>
      <c r="H2748">
        <v>-43430487</v>
      </c>
      <c r="I2748">
        <v>-37559659</v>
      </c>
      <c r="J2748">
        <v>-106845853</v>
      </c>
      <c r="K2748">
        <v>-57936338</v>
      </c>
      <c r="L2748">
        <v>17598052</v>
      </c>
      <c r="M2748">
        <v>503597</v>
      </c>
      <c r="N2748">
        <v>-7961651</v>
      </c>
      <c r="O2748">
        <v>-17698999</v>
      </c>
      <c r="P2748">
        <v>100</v>
      </c>
      <c r="Q2748" t="s">
        <v>5835</v>
      </c>
    </row>
    <row r="2749" spans="1:17" x14ac:dyDescent="0.3">
      <c r="A2749" t="s">
        <v>33</v>
      </c>
      <c r="B2749" t="str">
        <f>"300189"</f>
        <v>300189</v>
      </c>
      <c r="C2749" t="s">
        <v>5836</v>
      </c>
      <c r="D2749" t="s">
        <v>1990</v>
      </c>
      <c r="E2749">
        <v>-23119815</v>
      </c>
      <c r="F2749">
        <v>4346136</v>
      </c>
      <c r="G2749">
        <v>-7450372</v>
      </c>
      <c r="H2749">
        <v>-15429369</v>
      </c>
      <c r="I2749">
        <v>246503204</v>
      </c>
      <c r="J2749">
        <v>-259989061</v>
      </c>
      <c r="K2749">
        <v>-50246503</v>
      </c>
      <c r="L2749">
        <v>-28262916</v>
      </c>
      <c r="M2749">
        <v>-36235123</v>
      </c>
      <c r="N2749">
        <v>-26236796</v>
      </c>
      <c r="O2749">
        <v>474940</v>
      </c>
      <c r="P2749">
        <v>111</v>
      </c>
      <c r="Q2749" t="s">
        <v>5837</v>
      </c>
    </row>
    <row r="2750" spans="1:17" x14ac:dyDescent="0.3">
      <c r="A2750" t="s">
        <v>33</v>
      </c>
      <c r="B2750" t="str">
        <f>"301061"</f>
        <v>301061</v>
      </c>
      <c r="C2750" t="s">
        <v>5838</v>
      </c>
      <c r="D2750" t="s">
        <v>664</v>
      </c>
      <c r="E2750">
        <v>-23139904</v>
      </c>
      <c r="P2750">
        <v>28</v>
      </c>
      <c r="Q2750" t="s">
        <v>5839</v>
      </c>
    </row>
    <row r="2751" spans="1:17" x14ac:dyDescent="0.3">
      <c r="A2751" t="s">
        <v>17</v>
      </c>
      <c r="B2751" t="str">
        <f>"603999"</f>
        <v>603999</v>
      </c>
      <c r="C2751" t="s">
        <v>5840</v>
      </c>
      <c r="D2751" t="s">
        <v>1501</v>
      </c>
      <c r="E2751">
        <v>-23166178</v>
      </c>
      <c r="F2751">
        <v>-43177704</v>
      </c>
      <c r="G2751">
        <v>25845302</v>
      </c>
      <c r="H2751">
        <v>-12090717</v>
      </c>
      <c r="I2751">
        <v>-41946226</v>
      </c>
      <c r="J2751">
        <v>-5691339</v>
      </c>
      <c r="K2751">
        <v>-27322770</v>
      </c>
      <c r="L2751">
        <v>-42961200</v>
      </c>
      <c r="M2751">
        <v>-33901800</v>
      </c>
      <c r="P2751">
        <v>85</v>
      </c>
      <c r="Q2751" t="s">
        <v>5841</v>
      </c>
    </row>
    <row r="2752" spans="1:17" x14ac:dyDescent="0.3">
      <c r="A2752" t="s">
        <v>33</v>
      </c>
      <c r="B2752" t="str">
        <f>"003041"</f>
        <v>003041</v>
      </c>
      <c r="C2752" t="s">
        <v>5842</v>
      </c>
      <c r="D2752" t="s">
        <v>2758</v>
      </c>
      <c r="E2752">
        <v>-23212133</v>
      </c>
      <c r="F2752">
        <v>5206136</v>
      </c>
      <c r="G2752">
        <v>16394895</v>
      </c>
      <c r="P2752">
        <v>30</v>
      </c>
      <c r="Q2752" t="s">
        <v>5843</v>
      </c>
    </row>
    <row r="2753" spans="1:17" x14ac:dyDescent="0.3">
      <c r="A2753" t="s">
        <v>33</v>
      </c>
      <c r="B2753" t="str">
        <f>"300518"</f>
        <v>300518</v>
      </c>
      <c r="C2753" t="s">
        <v>5844</v>
      </c>
      <c r="D2753" t="s">
        <v>751</v>
      </c>
      <c r="E2753">
        <v>-23226278</v>
      </c>
      <c r="F2753">
        <v>26136029</v>
      </c>
      <c r="G2753">
        <v>14380166</v>
      </c>
      <c r="H2753">
        <v>28746015</v>
      </c>
      <c r="I2753">
        <v>-14605723</v>
      </c>
      <c r="J2753">
        <v>8421129</v>
      </c>
      <c r="K2753">
        <v>7795337</v>
      </c>
      <c r="L2753">
        <v>1947221</v>
      </c>
      <c r="P2753">
        <v>91</v>
      </c>
      <c r="Q2753" t="s">
        <v>5845</v>
      </c>
    </row>
    <row r="2754" spans="1:17" x14ac:dyDescent="0.3">
      <c r="A2754" t="s">
        <v>17</v>
      </c>
      <c r="B2754" t="str">
        <f>"600734"</f>
        <v>600734</v>
      </c>
      <c r="C2754" t="s">
        <v>5846</v>
      </c>
      <c r="D2754" t="s">
        <v>1347</v>
      </c>
      <c r="E2754">
        <v>-23275089</v>
      </c>
      <c r="F2754">
        <v>-31708422</v>
      </c>
      <c r="G2754">
        <v>-96115519</v>
      </c>
      <c r="H2754">
        <v>-46951175</v>
      </c>
      <c r="I2754">
        <v>-527874602</v>
      </c>
      <c r="J2754">
        <v>-19301706</v>
      </c>
      <c r="K2754">
        <v>-4905297</v>
      </c>
      <c r="L2754">
        <v>-40782266</v>
      </c>
      <c r="M2754">
        <v>-87139767</v>
      </c>
      <c r="N2754">
        <v>230870599</v>
      </c>
      <c r="O2754">
        <v>-12556367</v>
      </c>
      <c r="P2754">
        <v>175</v>
      </c>
      <c r="Q2754" t="s">
        <v>5847</v>
      </c>
    </row>
    <row r="2755" spans="1:17" x14ac:dyDescent="0.3">
      <c r="A2755" t="s">
        <v>33</v>
      </c>
      <c r="B2755" t="str">
        <f>"300101"</f>
        <v>300101</v>
      </c>
      <c r="C2755" t="s">
        <v>5848</v>
      </c>
      <c r="D2755" t="s">
        <v>617</v>
      </c>
      <c r="E2755">
        <v>-23295066</v>
      </c>
      <c r="F2755">
        <v>-63349203</v>
      </c>
      <c r="G2755">
        <v>-31071744</v>
      </c>
      <c r="H2755">
        <v>-36375399</v>
      </c>
      <c r="I2755">
        <v>81629850</v>
      </c>
      <c r="J2755">
        <v>-50840801</v>
      </c>
      <c r="K2755">
        <v>-107335252</v>
      </c>
      <c r="L2755">
        <v>-91396848</v>
      </c>
      <c r="M2755">
        <v>-81523827</v>
      </c>
      <c r="N2755">
        <v>-27327534</v>
      </c>
      <c r="O2755">
        <v>-32628513</v>
      </c>
      <c r="P2755">
        <v>3120</v>
      </c>
      <c r="Q2755" t="s">
        <v>5849</v>
      </c>
    </row>
    <row r="2756" spans="1:17" x14ac:dyDescent="0.3">
      <c r="A2756" t="s">
        <v>17</v>
      </c>
      <c r="B2756" t="str">
        <f>"688268"</f>
        <v>688268</v>
      </c>
      <c r="C2756" t="s">
        <v>5850</v>
      </c>
      <c r="D2756" t="s">
        <v>1330</v>
      </c>
      <c r="E2756">
        <v>-23312825</v>
      </c>
      <c r="F2756">
        <v>-16322078</v>
      </c>
      <c r="G2756">
        <v>-4466851</v>
      </c>
      <c r="H2756">
        <v>6775015</v>
      </c>
      <c r="P2756">
        <v>184</v>
      </c>
      <c r="Q2756" t="s">
        <v>5851</v>
      </c>
    </row>
    <row r="2757" spans="1:17" x14ac:dyDescent="0.3">
      <c r="A2757" t="s">
        <v>17</v>
      </c>
      <c r="B2757" t="str">
        <f>"688029"</f>
        <v>688029</v>
      </c>
      <c r="C2757" t="s">
        <v>5852</v>
      </c>
      <c r="D2757" t="s">
        <v>903</v>
      </c>
      <c r="E2757">
        <v>-23322108</v>
      </c>
      <c r="F2757">
        <v>57223314</v>
      </c>
      <c r="G2757">
        <v>-21406401</v>
      </c>
      <c r="H2757">
        <v>46550700</v>
      </c>
      <c r="I2757">
        <v>25671700</v>
      </c>
      <c r="P2757">
        <v>392</v>
      </c>
      <c r="Q2757" t="s">
        <v>5853</v>
      </c>
    </row>
    <row r="2758" spans="1:17" x14ac:dyDescent="0.3">
      <c r="A2758" t="s">
        <v>17</v>
      </c>
      <c r="B2758" t="str">
        <f>"688129"</f>
        <v>688129</v>
      </c>
      <c r="C2758" t="s">
        <v>5854</v>
      </c>
      <c r="D2758" t="s">
        <v>1341</v>
      </c>
      <c r="E2758">
        <v>-23380974</v>
      </c>
      <c r="F2758">
        <v>6654369</v>
      </c>
      <c r="G2758">
        <v>2286213</v>
      </c>
      <c r="P2758">
        <v>38</v>
      </c>
      <c r="Q2758" t="s">
        <v>5855</v>
      </c>
    </row>
    <row r="2759" spans="1:17" x14ac:dyDescent="0.3">
      <c r="A2759" t="s">
        <v>33</v>
      </c>
      <c r="B2759" t="str">
        <f>"300172"</f>
        <v>300172</v>
      </c>
      <c r="C2759" t="s">
        <v>5856</v>
      </c>
      <c r="D2759" t="s">
        <v>932</v>
      </c>
      <c r="E2759">
        <v>-23414023</v>
      </c>
      <c r="F2759">
        <v>2719600</v>
      </c>
      <c r="G2759">
        <v>-53201736</v>
      </c>
      <c r="H2759">
        <v>-49655790</v>
      </c>
      <c r="I2759">
        <v>-25703152</v>
      </c>
      <c r="J2759">
        <v>-39235167</v>
      </c>
      <c r="K2759">
        <v>-41391958</v>
      </c>
      <c r="L2759">
        <v>-33778062</v>
      </c>
      <c r="M2759">
        <v>-18138094</v>
      </c>
      <c r="N2759">
        <v>-12599363</v>
      </c>
      <c r="O2759">
        <v>-35303955</v>
      </c>
      <c r="P2759">
        <v>110</v>
      </c>
      <c r="Q2759" t="s">
        <v>5857</v>
      </c>
    </row>
    <row r="2760" spans="1:17" x14ac:dyDescent="0.3">
      <c r="A2760" t="s">
        <v>33</v>
      </c>
      <c r="B2760" t="str">
        <f>"002147"</f>
        <v>002147</v>
      </c>
      <c r="C2760" t="s">
        <v>5858</v>
      </c>
      <c r="D2760" t="s">
        <v>1033</v>
      </c>
      <c r="E2760">
        <v>-23420694</v>
      </c>
      <c r="F2760">
        <v>69387289</v>
      </c>
      <c r="G2760">
        <v>-42927666</v>
      </c>
      <c r="H2760">
        <v>-36814772</v>
      </c>
      <c r="I2760">
        <v>-51822909</v>
      </c>
      <c r="J2760">
        <v>-551377384</v>
      </c>
      <c r="K2760">
        <v>8464796</v>
      </c>
      <c r="L2760">
        <v>-5019340</v>
      </c>
      <c r="M2760">
        <v>24391801</v>
      </c>
      <c r="N2760">
        <v>-3568211</v>
      </c>
      <c r="O2760">
        <v>6555619</v>
      </c>
      <c r="P2760">
        <v>94</v>
      </c>
      <c r="Q2760" t="s">
        <v>5859</v>
      </c>
    </row>
    <row r="2761" spans="1:17" x14ac:dyDescent="0.3">
      <c r="A2761" t="s">
        <v>33</v>
      </c>
      <c r="B2761" t="str">
        <f>"300167"</f>
        <v>300167</v>
      </c>
      <c r="C2761" t="s">
        <v>5860</v>
      </c>
      <c r="D2761" t="s">
        <v>508</v>
      </c>
      <c r="E2761">
        <v>-23494044</v>
      </c>
      <c r="F2761">
        <v>-15363437</v>
      </c>
      <c r="G2761">
        <v>-67095535</v>
      </c>
      <c r="H2761">
        <v>-23292204</v>
      </c>
      <c r="I2761">
        <v>-59549308</v>
      </c>
      <c r="J2761">
        <v>8743528</v>
      </c>
      <c r="K2761">
        <v>-41114838</v>
      </c>
      <c r="L2761">
        <v>80668184</v>
      </c>
      <c r="M2761">
        <v>-133549673</v>
      </c>
      <c r="N2761">
        <v>-27385754</v>
      </c>
      <c r="O2761">
        <v>-50336678</v>
      </c>
      <c r="P2761">
        <v>131</v>
      </c>
      <c r="Q2761" t="s">
        <v>5861</v>
      </c>
    </row>
    <row r="2762" spans="1:17" x14ac:dyDescent="0.3">
      <c r="A2762" t="s">
        <v>17</v>
      </c>
      <c r="B2762" t="str">
        <f>"603189"</f>
        <v>603189</v>
      </c>
      <c r="C2762" t="s">
        <v>5862</v>
      </c>
      <c r="D2762" t="s">
        <v>807</v>
      </c>
      <c r="E2762">
        <v>-23514485</v>
      </c>
      <c r="F2762">
        <v>-4800461</v>
      </c>
      <c r="G2762">
        <v>-45623269</v>
      </c>
      <c r="H2762">
        <v>-18158107</v>
      </c>
      <c r="I2762">
        <v>-13278673</v>
      </c>
      <c r="J2762">
        <v>-29789256</v>
      </c>
      <c r="K2762">
        <v>-59420081</v>
      </c>
      <c r="P2762">
        <v>166</v>
      </c>
      <c r="Q2762" t="s">
        <v>5863</v>
      </c>
    </row>
    <row r="2763" spans="1:17" x14ac:dyDescent="0.3">
      <c r="A2763" t="s">
        <v>33</v>
      </c>
      <c r="B2763" t="str">
        <f>"300907"</f>
        <v>300907</v>
      </c>
      <c r="C2763" t="s">
        <v>5864</v>
      </c>
      <c r="D2763" t="s">
        <v>1091</v>
      </c>
      <c r="E2763">
        <v>-23520043</v>
      </c>
      <c r="F2763">
        <v>-40039599</v>
      </c>
      <c r="G2763">
        <v>-2727574</v>
      </c>
      <c r="P2763">
        <v>36</v>
      </c>
      <c r="Q2763" t="s">
        <v>5865</v>
      </c>
    </row>
    <row r="2764" spans="1:17" x14ac:dyDescent="0.3">
      <c r="A2764" t="s">
        <v>33</v>
      </c>
      <c r="B2764" t="str">
        <f>"002667"</f>
        <v>002667</v>
      </c>
      <c r="C2764" t="s">
        <v>5866</v>
      </c>
      <c r="D2764" t="s">
        <v>1132</v>
      </c>
      <c r="E2764">
        <v>-23804470</v>
      </c>
      <c r="F2764">
        <v>-6284175</v>
      </c>
      <c r="G2764">
        <v>5050409</v>
      </c>
      <c r="H2764">
        <v>14829588</v>
      </c>
      <c r="I2764">
        <v>-373773</v>
      </c>
      <c r="J2764">
        <v>3651145</v>
      </c>
      <c r="K2764">
        <v>4311417</v>
      </c>
      <c r="L2764">
        <v>12078399</v>
      </c>
      <c r="M2764">
        <v>-3552928</v>
      </c>
      <c r="N2764">
        <v>801270</v>
      </c>
      <c r="O2764">
        <v>-5995905</v>
      </c>
      <c r="P2764">
        <v>73</v>
      </c>
      <c r="Q2764" t="s">
        <v>5867</v>
      </c>
    </row>
    <row r="2765" spans="1:17" x14ac:dyDescent="0.3">
      <c r="A2765" t="s">
        <v>33</v>
      </c>
      <c r="B2765" t="str">
        <f>"002355"</f>
        <v>002355</v>
      </c>
      <c r="C2765" t="s">
        <v>5868</v>
      </c>
      <c r="D2765" t="s">
        <v>1618</v>
      </c>
      <c r="E2765">
        <v>-23821849</v>
      </c>
      <c r="F2765">
        <v>-87347498</v>
      </c>
      <c r="G2765">
        <v>-27036464</v>
      </c>
      <c r="H2765">
        <v>13887224</v>
      </c>
      <c r="I2765">
        <v>-11914191</v>
      </c>
      <c r="J2765">
        <v>14257484</v>
      </c>
      <c r="K2765">
        <v>38496751</v>
      </c>
      <c r="L2765">
        <v>9737865</v>
      </c>
      <c r="M2765">
        <v>10863069</v>
      </c>
      <c r="N2765">
        <v>87273966</v>
      </c>
      <c r="O2765">
        <v>493918</v>
      </c>
      <c r="P2765">
        <v>120</v>
      </c>
      <c r="Q2765" t="s">
        <v>5869</v>
      </c>
    </row>
    <row r="2766" spans="1:17" x14ac:dyDescent="0.3">
      <c r="A2766" t="s">
        <v>33</v>
      </c>
      <c r="B2766" t="str">
        <f>"002272"</f>
        <v>002272</v>
      </c>
      <c r="C2766" t="s">
        <v>5870</v>
      </c>
      <c r="D2766" t="s">
        <v>1213</v>
      </c>
      <c r="E2766">
        <v>-23956916</v>
      </c>
      <c r="F2766">
        <v>-119666719</v>
      </c>
      <c r="G2766">
        <v>-32560953</v>
      </c>
      <c r="H2766">
        <v>-5556665</v>
      </c>
      <c r="I2766">
        <v>-21760565</v>
      </c>
      <c r="J2766">
        <v>-10033930</v>
      </c>
      <c r="K2766">
        <v>-935946</v>
      </c>
      <c r="L2766">
        <v>-32874190</v>
      </c>
      <c r="M2766">
        <v>10400116</v>
      </c>
      <c r="N2766">
        <v>-9731005</v>
      </c>
      <c r="O2766">
        <v>-43389842</v>
      </c>
      <c r="P2766">
        <v>107</v>
      </c>
      <c r="Q2766" t="s">
        <v>5871</v>
      </c>
    </row>
    <row r="2767" spans="1:17" x14ac:dyDescent="0.3">
      <c r="A2767" t="s">
        <v>33</v>
      </c>
      <c r="B2767" t="str">
        <f>"002033"</f>
        <v>002033</v>
      </c>
      <c r="C2767" t="s">
        <v>5872</v>
      </c>
      <c r="D2767" t="s">
        <v>5307</v>
      </c>
      <c r="E2767">
        <v>-23963634</v>
      </c>
      <c r="F2767">
        <v>-13570909</v>
      </c>
      <c r="G2767">
        <v>-672621</v>
      </c>
      <c r="H2767">
        <v>33171614</v>
      </c>
      <c r="I2767">
        <v>23109624</v>
      </c>
      <c r="J2767">
        <v>30900170</v>
      </c>
      <c r="K2767">
        <v>30304453</v>
      </c>
      <c r="L2767">
        <v>28699011</v>
      </c>
      <c r="M2767">
        <v>8591277</v>
      </c>
      <c r="N2767">
        <v>1531430</v>
      </c>
      <c r="O2767">
        <v>3597495</v>
      </c>
      <c r="P2767">
        <v>278</v>
      </c>
      <c r="Q2767" t="s">
        <v>5873</v>
      </c>
    </row>
    <row r="2768" spans="1:17" x14ac:dyDescent="0.3">
      <c r="A2768" t="s">
        <v>17</v>
      </c>
      <c r="B2768" t="str">
        <f>"688367"</f>
        <v>688367</v>
      </c>
      <c r="C2768" t="s">
        <v>5874</v>
      </c>
      <c r="D2768" t="s">
        <v>1703</v>
      </c>
      <c r="E2768">
        <v>-23985214</v>
      </c>
      <c r="F2768">
        <v>-4835903</v>
      </c>
      <c r="G2768">
        <v>-11082462</v>
      </c>
      <c r="P2768">
        <v>30</v>
      </c>
      <c r="Q2768" t="s">
        <v>5875</v>
      </c>
    </row>
    <row r="2769" spans="1:17" x14ac:dyDescent="0.3">
      <c r="A2769" t="s">
        <v>33</v>
      </c>
      <c r="B2769" t="str">
        <f>"002383"</f>
        <v>002383</v>
      </c>
      <c r="C2769" t="s">
        <v>5876</v>
      </c>
      <c r="D2769" t="s">
        <v>617</v>
      </c>
      <c r="E2769">
        <v>-23993436</v>
      </c>
      <c r="F2769">
        <v>-42075436</v>
      </c>
      <c r="G2769">
        <v>-142356657</v>
      </c>
      <c r="H2769">
        <v>-36909551</v>
      </c>
      <c r="I2769">
        <v>-398475435</v>
      </c>
      <c r="J2769">
        <v>-327633</v>
      </c>
      <c r="K2769">
        <v>-80323321</v>
      </c>
      <c r="L2769">
        <v>-44763572</v>
      </c>
      <c r="M2769">
        <v>-84391198</v>
      </c>
      <c r="N2769">
        <v>-52241471</v>
      </c>
      <c r="O2769">
        <v>-18140367</v>
      </c>
      <c r="P2769">
        <v>211</v>
      </c>
      <c r="Q2769" t="s">
        <v>5877</v>
      </c>
    </row>
    <row r="2770" spans="1:17" x14ac:dyDescent="0.3">
      <c r="A2770" t="s">
        <v>17</v>
      </c>
      <c r="B2770" t="str">
        <f>"688626"</f>
        <v>688626</v>
      </c>
      <c r="C2770" t="s">
        <v>5878</v>
      </c>
      <c r="D2770" t="s">
        <v>111</v>
      </c>
      <c r="E2770">
        <v>-24005796</v>
      </c>
      <c r="F2770">
        <v>5170964</v>
      </c>
      <c r="G2770">
        <v>-24304023</v>
      </c>
      <c r="P2770">
        <v>82</v>
      </c>
      <c r="Q2770" t="s">
        <v>5879</v>
      </c>
    </row>
    <row r="2771" spans="1:17" x14ac:dyDescent="0.3">
      <c r="A2771" t="s">
        <v>17</v>
      </c>
      <c r="B2771" t="str">
        <f>"600178"</f>
        <v>600178</v>
      </c>
      <c r="C2771" t="s">
        <v>5880</v>
      </c>
      <c r="D2771" t="s">
        <v>858</v>
      </c>
      <c r="E2771">
        <v>-24042868</v>
      </c>
      <c r="F2771">
        <v>-249035295</v>
      </c>
      <c r="G2771">
        <v>93097777</v>
      </c>
      <c r="H2771">
        <v>-9666411</v>
      </c>
      <c r="I2771">
        <v>169466299</v>
      </c>
      <c r="J2771">
        <v>21340168</v>
      </c>
      <c r="K2771">
        <v>-68023232</v>
      </c>
      <c r="L2771">
        <v>-31479635</v>
      </c>
      <c r="M2771">
        <v>-57767317</v>
      </c>
      <c r="N2771">
        <v>-135542641</v>
      </c>
      <c r="O2771">
        <v>-64316511</v>
      </c>
      <c r="P2771">
        <v>119</v>
      </c>
      <c r="Q2771" t="s">
        <v>5881</v>
      </c>
    </row>
    <row r="2772" spans="1:17" x14ac:dyDescent="0.3">
      <c r="A2772" t="s">
        <v>33</v>
      </c>
      <c r="B2772" t="str">
        <f>"300617"</f>
        <v>300617</v>
      </c>
      <c r="C2772" t="s">
        <v>5882</v>
      </c>
      <c r="D2772" t="s">
        <v>1282</v>
      </c>
      <c r="E2772">
        <v>-24085210</v>
      </c>
      <c r="F2772">
        <v>-5051710</v>
      </c>
      <c r="G2772">
        <v>14966048</v>
      </c>
      <c r="H2772">
        <v>22545530</v>
      </c>
      <c r="I2772">
        <v>-12425148</v>
      </c>
      <c r="J2772">
        <v>13599424</v>
      </c>
      <c r="K2772">
        <v>8142999</v>
      </c>
      <c r="P2772">
        <v>148</v>
      </c>
      <c r="Q2772" t="s">
        <v>5883</v>
      </c>
    </row>
    <row r="2773" spans="1:17" x14ac:dyDescent="0.3">
      <c r="A2773" t="s">
        <v>33</v>
      </c>
      <c r="B2773" t="str">
        <f>"301123"</f>
        <v>301123</v>
      </c>
      <c r="C2773" t="s">
        <v>5884</v>
      </c>
      <c r="E2773">
        <v>-24167228</v>
      </c>
      <c r="P2773">
        <v>6</v>
      </c>
      <c r="Q2773" t="s">
        <v>5885</v>
      </c>
    </row>
    <row r="2774" spans="1:17" x14ac:dyDescent="0.3">
      <c r="A2774" t="s">
        <v>17</v>
      </c>
      <c r="B2774" t="str">
        <f>"600192"</f>
        <v>600192</v>
      </c>
      <c r="C2774" t="s">
        <v>5886</v>
      </c>
      <c r="D2774" t="s">
        <v>298</v>
      </c>
      <c r="E2774">
        <v>-24261392</v>
      </c>
      <c r="F2774">
        <v>-6791634</v>
      </c>
      <c r="G2774">
        <v>-123045642</v>
      </c>
      <c r="H2774">
        <v>4645140</v>
      </c>
      <c r="I2774">
        <v>-64675878</v>
      </c>
      <c r="J2774">
        <v>-64872668</v>
      </c>
      <c r="K2774">
        <v>-55831317</v>
      </c>
      <c r="L2774">
        <v>-58055585</v>
      </c>
      <c r="M2774">
        <v>36159788</v>
      </c>
      <c r="N2774">
        <v>13755639</v>
      </c>
      <c r="O2774">
        <v>165161</v>
      </c>
      <c r="P2774">
        <v>76</v>
      </c>
      <c r="Q2774" t="s">
        <v>5887</v>
      </c>
    </row>
    <row r="2775" spans="1:17" x14ac:dyDescent="0.3">
      <c r="A2775" t="s">
        <v>17</v>
      </c>
      <c r="B2775" t="str">
        <f>"688310"</f>
        <v>688310</v>
      </c>
      <c r="C2775" t="s">
        <v>5888</v>
      </c>
      <c r="D2775" t="s">
        <v>4171</v>
      </c>
      <c r="E2775">
        <v>-24301778</v>
      </c>
      <c r="F2775">
        <v>15830900</v>
      </c>
      <c r="G2775">
        <v>-8493134</v>
      </c>
      <c r="H2775">
        <v>-21759849</v>
      </c>
      <c r="P2775">
        <v>92</v>
      </c>
      <c r="Q2775" t="s">
        <v>5889</v>
      </c>
    </row>
    <row r="2776" spans="1:17" x14ac:dyDescent="0.3">
      <c r="A2776" t="s">
        <v>33</v>
      </c>
      <c r="B2776" t="str">
        <f>"002674"</f>
        <v>002674</v>
      </c>
      <c r="C2776" t="s">
        <v>5890</v>
      </c>
      <c r="D2776" t="s">
        <v>4348</v>
      </c>
      <c r="E2776">
        <v>-24387959</v>
      </c>
      <c r="F2776">
        <v>16526391</v>
      </c>
      <c r="G2776">
        <v>-51631193</v>
      </c>
      <c r="H2776">
        <v>-120970489</v>
      </c>
      <c r="I2776">
        <v>47194748</v>
      </c>
      <c r="J2776">
        <v>-318966793</v>
      </c>
      <c r="K2776">
        <v>69626386</v>
      </c>
      <c r="L2776">
        <v>-189037036</v>
      </c>
      <c r="M2776">
        <v>-91002866</v>
      </c>
      <c r="N2776">
        <v>-267011638</v>
      </c>
      <c r="O2776">
        <v>-16713199</v>
      </c>
      <c r="P2776">
        <v>102</v>
      </c>
      <c r="Q2776" t="s">
        <v>5891</v>
      </c>
    </row>
    <row r="2777" spans="1:17" x14ac:dyDescent="0.3">
      <c r="A2777" t="s">
        <v>33</v>
      </c>
      <c r="B2777" t="str">
        <f>"002427"</f>
        <v>002427</v>
      </c>
      <c r="C2777" t="s">
        <v>5892</v>
      </c>
      <c r="D2777" t="s">
        <v>2145</v>
      </c>
      <c r="E2777">
        <v>-24540170</v>
      </c>
      <c r="F2777">
        <v>-13713195</v>
      </c>
      <c r="G2777">
        <v>-16177373</v>
      </c>
      <c r="H2777">
        <v>-49982773</v>
      </c>
      <c r="I2777">
        <v>-444471962</v>
      </c>
      <c r="J2777">
        <v>163492298</v>
      </c>
      <c r="K2777">
        <v>93011066</v>
      </c>
      <c r="L2777">
        <v>77067057</v>
      </c>
      <c r="M2777">
        <v>-30392915</v>
      </c>
      <c r="N2777">
        <v>74369968</v>
      </c>
      <c r="O2777">
        <v>-15536373</v>
      </c>
      <c r="P2777">
        <v>82</v>
      </c>
      <c r="Q2777" t="s">
        <v>5893</v>
      </c>
    </row>
    <row r="2778" spans="1:17" x14ac:dyDescent="0.3">
      <c r="A2778" t="s">
        <v>33</v>
      </c>
      <c r="B2778" t="str">
        <f>"300017"</f>
        <v>300017</v>
      </c>
      <c r="C2778" t="s">
        <v>5894</v>
      </c>
      <c r="D2778" t="s">
        <v>508</v>
      </c>
      <c r="E2778">
        <v>-24577777</v>
      </c>
      <c r="F2778">
        <v>298586746</v>
      </c>
      <c r="G2778">
        <v>71243318</v>
      </c>
      <c r="H2778">
        <v>90389826</v>
      </c>
      <c r="I2778">
        <v>87533160</v>
      </c>
      <c r="J2778">
        <v>-21808825</v>
      </c>
      <c r="K2778">
        <v>145452968</v>
      </c>
      <c r="L2778">
        <v>53088588</v>
      </c>
      <c r="M2778">
        <v>43171971</v>
      </c>
      <c r="N2778">
        <v>23686137</v>
      </c>
      <c r="O2778">
        <v>-10154840</v>
      </c>
      <c r="P2778">
        <v>759</v>
      </c>
      <c r="Q2778" t="s">
        <v>5895</v>
      </c>
    </row>
    <row r="2779" spans="1:17" x14ac:dyDescent="0.3">
      <c r="A2779" t="s">
        <v>33</v>
      </c>
      <c r="B2779" t="str">
        <f>"002869"</f>
        <v>002869</v>
      </c>
      <c r="C2779" t="s">
        <v>5896</v>
      </c>
      <c r="D2779" t="s">
        <v>499</v>
      </c>
      <c r="E2779">
        <v>-24610324</v>
      </c>
      <c r="F2779">
        <v>-55031806</v>
      </c>
      <c r="G2779">
        <v>-204275666</v>
      </c>
      <c r="H2779">
        <v>-34418484</v>
      </c>
      <c r="I2779">
        <v>-115670855</v>
      </c>
      <c r="J2779">
        <v>-11384589</v>
      </c>
      <c r="K2779">
        <v>-120591742</v>
      </c>
      <c r="P2779">
        <v>600</v>
      </c>
      <c r="Q2779" t="s">
        <v>5897</v>
      </c>
    </row>
    <row r="2780" spans="1:17" x14ac:dyDescent="0.3">
      <c r="A2780" t="s">
        <v>33</v>
      </c>
      <c r="B2780" t="str">
        <f>"001313"</f>
        <v>001313</v>
      </c>
      <c r="C2780" t="s">
        <v>5898</v>
      </c>
      <c r="E2780">
        <v>-24662953</v>
      </c>
      <c r="F2780">
        <v>206781710</v>
      </c>
      <c r="P2780">
        <v>10</v>
      </c>
      <c r="Q2780" t="s">
        <v>5899</v>
      </c>
    </row>
    <row r="2781" spans="1:17" x14ac:dyDescent="0.3">
      <c r="A2781" t="s">
        <v>17</v>
      </c>
      <c r="B2781" t="str">
        <f>"688071"</f>
        <v>688071</v>
      </c>
      <c r="C2781" t="s">
        <v>5900</v>
      </c>
      <c r="D2781" t="s">
        <v>1895</v>
      </c>
      <c r="E2781">
        <v>-24816882</v>
      </c>
      <c r="F2781">
        <v>-28885958</v>
      </c>
      <c r="G2781">
        <v>15724648</v>
      </c>
      <c r="P2781">
        <v>28</v>
      </c>
      <c r="Q2781" t="s">
        <v>5901</v>
      </c>
    </row>
    <row r="2782" spans="1:17" x14ac:dyDescent="0.3">
      <c r="A2782" t="s">
        <v>17</v>
      </c>
      <c r="B2782" t="str">
        <f>"688115"</f>
        <v>688115</v>
      </c>
      <c r="C2782" t="s">
        <v>5902</v>
      </c>
      <c r="E2782">
        <v>-24925694</v>
      </c>
      <c r="P2782">
        <v>7</v>
      </c>
      <c r="Q2782" t="s">
        <v>5903</v>
      </c>
    </row>
    <row r="2783" spans="1:17" x14ac:dyDescent="0.3">
      <c r="A2783" t="s">
        <v>33</v>
      </c>
      <c r="B2783" t="str">
        <f>"301131"</f>
        <v>301131</v>
      </c>
      <c r="C2783" t="s">
        <v>5904</v>
      </c>
      <c r="E2783">
        <v>-24971454</v>
      </c>
      <c r="G2783">
        <v>15884348</v>
      </c>
      <c r="P2783">
        <v>4</v>
      </c>
      <c r="Q2783" t="s">
        <v>5905</v>
      </c>
    </row>
    <row r="2784" spans="1:17" x14ac:dyDescent="0.3">
      <c r="A2784" t="s">
        <v>33</v>
      </c>
      <c r="B2784" t="str">
        <f>"300373"</f>
        <v>300373</v>
      </c>
      <c r="C2784" t="s">
        <v>5906</v>
      </c>
      <c r="D2784" t="s">
        <v>1274</v>
      </c>
      <c r="E2784">
        <v>-25019606</v>
      </c>
      <c r="F2784">
        <v>23540448</v>
      </c>
      <c r="G2784">
        <v>138966203</v>
      </c>
      <c r="H2784">
        <v>52412953</v>
      </c>
      <c r="I2784">
        <v>41964448</v>
      </c>
      <c r="J2784">
        <v>14236327</v>
      </c>
      <c r="K2784">
        <v>35010278</v>
      </c>
      <c r="L2784">
        <v>18868601</v>
      </c>
      <c r="M2784">
        <v>3853383</v>
      </c>
      <c r="N2784">
        <v>4732492</v>
      </c>
      <c r="P2784">
        <v>4305</v>
      </c>
      <c r="Q2784" t="s">
        <v>5907</v>
      </c>
    </row>
    <row r="2785" spans="1:17" x14ac:dyDescent="0.3">
      <c r="A2785" t="s">
        <v>17</v>
      </c>
      <c r="B2785" t="str">
        <f>"603880"</f>
        <v>603880</v>
      </c>
      <c r="C2785" t="s">
        <v>5908</v>
      </c>
      <c r="D2785" t="s">
        <v>903</v>
      </c>
      <c r="E2785">
        <v>-25084420</v>
      </c>
      <c r="F2785">
        <v>-54987218</v>
      </c>
      <c r="G2785">
        <v>-6076249</v>
      </c>
      <c r="H2785">
        <v>11284653</v>
      </c>
      <c r="I2785">
        <v>9492642</v>
      </c>
      <c r="J2785">
        <v>17348205</v>
      </c>
      <c r="P2785">
        <v>125</v>
      </c>
      <c r="Q2785" t="s">
        <v>5909</v>
      </c>
    </row>
    <row r="2786" spans="1:17" x14ac:dyDescent="0.3">
      <c r="A2786" t="s">
        <v>33</v>
      </c>
      <c r="B2786" t="str">
        <f>"002546"</f>
        <v>002546</v>
      </c>
      <c r="C2786" t="s">
        <v>5910</v>
      </c>
      <c r="D2786" t="s">
        <v>2128</v>
      </c>
      <c r="E2786">
        <v>-25285855</v>
      </c>
      <c r="F2786">
        <v>-39807375</v>
      </c>
      <c r="G2786">
        <v>-59002957</v>
      </c>
      <c r="H2786">
        <v>-10824136</v>
      </c>
      <c r="I2786">
        <v>-56889873</v>
      </c>
      <c r="J2786">
        <v>-107648</v>
      </c>
      <c r="K2786">
        <v>-31302341</v>
      </c>
      <c r="L2786">
        <v>-14834582</v>
      </c>
      <c r="M2786">
        <v>-18809220</v>
      </c>
      <c r="N2786">
        <v>-21765431</v>
      </c>
      <c r="O2786">
        <v>7281184</v>
      </c>
      <c r="P2786">
        <v>76</v>
      </c>
      <c r="Q2786" t="s">
        <v>5911</v>
      </c>
    </row>
    <row r="2787" spans="1:17" x14ac:dyDescent="0.3">
      <c r="A2787" t="s">
        <v>17</v>
      </c>
      <c r="B2787" t="str">
        <f>"603256"</f>
        <v>603256</v>
      </c>
      <c r="C2787" t="s">
        <v>5912</v>
      </c>
      <c r="D2787" t="s">
        <v>410</v>
      </c>
      <c r="E2787">
        <v>-25365747</v>
      </c>
      <c r="F2787">
        <v>-12687518</v>
      </c>
      <c r="G2787">
        <v>19309851</v>
      </c>
      <c r="H2787">
        <v>71609709</v>
      </c>
      <c r="I2787">
        <v>14780984</v>
      </c>
      <c r="P2787">
        <v>340</v>
      </c>
      <c r="Q2787" t="s">
        <v>5913</v>
      </c>
    </row>
    <row r="2788" spans="1:17" x14ac:dyDescent="0.3">
      <c r="A2788" t="s">
        <v>33</v>
      </c>
      <c r="B2788" t="str">
        <f>"002357"</f>
        <v>002357</v>
      </c>
      <c r="C2788" t="s">
        <v>5914</v>
      </c>
      <c r="D2788" t="s">
        <v>1216</v>
      </c>
      <c r="E2788">
        <v>-25464102</v>
      </c>
      <c r="F2788">
        <v>-34759945</v>
      </c>
      <c r="G2788">
        <v>1816484</v>
      </c>
      <c r="H2788">
        <v>137727316</v>
      </c>
      <c r="I2788">
        <v>43845598</v>
      </c>
      <c r="J2788">
        <v>59254082</v>
      </c>
      <c r="K2788">
        <v>60864854</v>
      </c>
      <c r="L2788">
        <v>100881781</v>
      </c>
      <c r="M2788">
        <v>52347054</v>
      </c>
      <c r="N2788">
        <v>71746040</v>
      </c>
      <c r="O2788">
        <v>50852419</v>
      </c>
      <c r="P2788">
        <v>102</v>
      </c>
      <c r="Q2788" t="s">
        <v>5915</v>
      </c>
    </row>
    <row r="2789" spans="1:17" x14ac:dyDescent="0.3">
      <c r="A2789" t="s">
        <v>17</v>
      </c>
      <c r="B2789" t="str">
        <f>"600378"</f>
        <v>600378</v>
      </c>
      <c r="C2789" t="s">
        <v>5916</v>
      </c>
      <c r="D2789" t="s">
        <v>881</v>
      </c>
      <c r="E2789">
        <v>-25475435</v>
      </c>
      <c r="F2789">
        <v>-44351955</v>
      </c>
      <c r="G2789">
        <v>-159284042</v>
      </c>
      <c r="H2789">
        <v>30799414</v>
      </c>
      <c r="I2789">
        <v>-34592291</v>
      </c>
      <c r="J2789">
        <v>-19006942</v>
      </c>
      <c r="K2789">
        <v>-40838477</v>
      </c>
      <c r="L2789">
        <v>-60446860</v>
      </c>
      <c r="M2789">
        <v>-36087700</v>
      </c>
      <c r="N2789">
        <v>6947327</v>
      </c>
      <c r="O2789">
        <v>100097603</v>
      </c>
      <c r="P2789">
        <v>229</v>
      </c>
      <c r="Q2789" t="s">
        <v>5917</v>
      </c>
    </row>
    <row r="2790" spans="1:17" x14ac:dyDescent="0.3">
      <c r="A2790" t="s">
        <v>33</v>
      </c>
      <c r="B2790" t="str">
        <f>"301069"</f>
        <v>301069</v>
      </c>
      <c r="C2790" t="s">
        <v>5918</v>
      </c>
      <c r="D2790" t="s">
        <v>1022</v>
      </c>
      <c r="E2790">
        <v>-25565493</v>
      </c>
      <c r="G2790">
        <v>19523134</v>
      </c>
      <c r="P2790">
        <v>29</v>
      </c>
      <c r="Q2790" t="s">
        <v>5919</v>
      </c>
    </row>
    <row r="2791" spans="1:17" x14ac:dyDescent="0.3">
      <c r="A2791" t="s">
        <v>17</v>
      </c>
      <c r="B2791" t="str">
        <f>"600055"</f>
        <v>600055</v>
      </c>
      <c r="C2791" t="s">
        <v>5920</v>
      </c>
      <c r="D2791" t="s">
        <v>111</v>
      </c>
      <c r="E2791">
        <v>-25595020</v>
      </c>
      <c r="F2791">
        <v>-41095005</v>
      </c>
      <c r="G2791">
        <v>112031519</v>
      </c>
      <c r="H2791">
        <v>-120160050</v>
      </c>
      <c r="I2791">
        <v>-117610684</v>
      </c>
      <c r="J2791">
        <v>-56734610</v>
      </c>
      <c r="K2791">
        <v>-51492271</v>
      </c>
      <c r="L2791">
        <v>-111341413</v>
      </c>
      <c r="M2791">
        <v>-75670149</v>
      </c>
      <c r="N2791">
        <v>-85524837</v>
      </c>
      <c r="O2791">
        <v>-51370023</v>
      </c>
      <c r="P2791">
        <v>358</v>
      </c>
      <c r="Q2791" t="s">
        <v>5921</v>
      </c>
    </row>
    <row r="2792" spans="1:17" x14ac:dyDescent="0.3">
      <c r="A2792" t="s">
        <v>17</v>
      </c>
      <c r="B2792" t="str">
        <f>"688488"</f>
        <v>688488</v>
      </c>
      <c r="C2792" t="s">
        <v>5922</v>
      </c>
      <c r="D2792" t="s">
        <v>756</v>
      </c>
      <c r="E2792">
        <v>-25653518</v>
      </c>
      <c r="F2792">
        <v>2579692</v>
      </c>
      <c r="G2792">
        <v>14629056</v>
      </c>
      <c r="H2792">
        <v>-19573593</v>
      </c>
      <c r="P2792">
        <v>44</v>
      </c>
      <c r="Q2792" t="s">
        <v>5923</v>
      </c>
    </row>
    <row r="2793" spans="1:17" x14ac:dyDescent="0.3">
      <c r="A2793" t="s">
        <v>33</v>
      </c>
      <c r="B2793" t="str">
        <f>"300367"</f>
        <v>300367</v>
      </c>
      <c r="C2793" t="s">
        <v>5924</v>
      </c>
      <c r="D2793" t="s">
        <v>2597</v>
      </c>
      <c r="E2793">
        <v>-25694397</v>
      </c>
      <c r="F2793">
        <v>-22614588</v>
      </c>
      <c r="G2793">
        <v>-70508367</v>
      </c>
      <c r="H2793">
        <v>-228020263</v>
      </c>
      <c r="I2793">
        <v>-137007536</v>
      </c>
      <c r="J2793">
        <v>-234400969</v>
      </c>
      <c r="K2793">
        <v>-149802539</v>
      </c>
      <c r="L2793">
        <v>-199808955</v>
      </c>
      <c r="M2793">
        <v>-156905380</v>
      </c>
      <c r="N2793">
        <v>-148564910</v>
      </c>
      <c r="P2793">
        <v>196</v>
      </c>
      <c r="Q2793" t="s">
        <v>5925</v>
      </c>
    </row>
    <row r="2794" spans="1:17" x14ac:dyDescent="0.3">
      <c r="A2794" t="s">
        <v>33</v>
      </c>
      <c r="B2794" t="str">
        <f>"002161"</f>
        <v>002161</v>
      </c>
      <c r="C2794" t="s">
        <v>5926</v>
      </c>
      <c r="D2794" t="s">
        <v>499</v>
      </c>
      <c r="E2794">
        <v>-25705270</v>
      </c>
      <c r="F2794">
        <v>-6276380</v>
      </c>
      <c r="G2794">
        <v>-19223879</v>
      </c>
      <c r="H2794">
        <v>-8766941</v>
      </c>
      <c r="I2794">
        <v>-50424305</v>
      </c>
      <c r="J2794">
        <v>-43405053</v>
      </c>
      <c r="K2794">
        <v>-37395178</v>
      </c>
      <c r="L2794">
        <v>-27465785</v>
      </c>
      <c r="M2794">
        <v>-29838953</v>
      </c>
      <c r="N2794">
        <v>-29882046</v>
      </c>
      <c r="O2794">
        <v>-13481214</v>
      </c>
      <c r="P2794">
        <v>211</v>
      </c>
      <c r="Q2794" t="s">
        <v>5927</v>
      </c>
    </row>
    <row r="2795" spans="1:17" x14ac:dyDescent="0.3">
      <c r="A2795" t="s">
        <v>33</v>
      </c>
      <c r="B2795" t="str">
        <f>"000593"</f>
        <v>000593</v>
      </c>
      <c r="C2795" t="s">
        <v>5928</v>
      </c>
      <c r="D2795" t="s">
        <v>649</v>
      </c>
      <c r="E2795">
        <v>-25786904</v>
      </c>
      <c r="F2795">
        <v>-23524336</v>
      </c>
      <c r="G2795">
        <v>-13332285</v>
      </c>
      <c r="H2795">
        <v>29858376</v>
      </c>
      <c r="I2795">
        <v>-11908093</v>
      </c>
      <c r="J2795">
        <v>38404329</v>
      </c>
      <c r="K2795">
        <v>9646432</v>
      </c>
      <c r="L2795">
        <v>4494815</v>
      </c>
      <c r="M2795">
        <v>-13558172</v>
      </c>
      <c r="N2795">
        <v>-12728418</v>
      </c>
      <c r="O2795">
        <v>-14572179</v>
      </c>
      <c r="P2795">
        <v>80</v>
      </c>
      <c r="Q2795" t="s">
        <v>5929</v>
      </c>
    </row>
    <row r="2796" spans="1:17" x14ac:dyDescent="0.3">
      <c r="A2796" t="s">
        <v>17</v>
      </c>
      <c r="B2796" t="str">
        <f>"600249"</f>
        <v>600249</v>
      </c>
      <c r="C2796" t="s">
        <v>5930</v>
      </c>
      <c r="D2796" t="s">
        <v>1794</v>
      </c>
      <c r="E2796">
        <v>-25841425</v>
      </c>
      <c r="F2796">
        <v>-47369585</v>
      </c>
      <c r="G2796">
        <v>-34076303</v>
      </c>
      <c r="H2796">
        <v>8040862</v>
      </c>
      <c r="I2796">
        <v>-14008003</v>
      </c>
      <c r="J2796">
        <v>-64004496</v>
      </c>
      <c r="K2796">
        <v>-35985774</v>
      </c>
      <c r="L2796">
        <v>-53657163</v>
      </c>
      <c r="M2796">
        <v>-28972008</v>
      </c>
      <c r="N2796">
        <v>-27813771</v>
      </c>
      <c r="O2796">
        <v>-46954719</v>
      </c>
      <c r="P2796">
        <v>90</v>
      </c>
      <c r="Q2796" t="s">
        <v>5931</v>
      </c>
    </row>
    <row r="2797" spans="1:17" x14ac:dyDescent="0.3">
      <c r="A2797" t="s">
        <v>17</v>
      </c>
      <c r="B2797" t="str">
        <f>"600084"</f>
        <v>600084</v>
      </c>
      <c r="C2797" t="s">
        <v>5932</v>
      </c>
      <c r="D2797" t="s">
        <v>1172</v>
      </c>
      <c r="E2797">
        <v>-25885817</v>
      </c>
      <c r="F2797">
        <v>10189383</v>
      </c>
      <c r="G2797">
        <v>-25405907</v>
      </c>
      <c r="H2797">
        <v>-18006998</v>
      </c>
      <c r="I2797">
        <v>-50428336</v>
      </c>
      <c r="J2797">
        <v>-101495419</v>
      </c>
      <c r="K2797">
        <v>-84228232</v>
      </c>
      <c r="L2797">
        <v>-116896650</v>
      </c>
      <c r="M2797">
        <v>-159900122</v>
      </c>
      <c r="N2797">
        <v>-62874310</v>
      </c>
      <c r="O2797">
        <v>-24499064</v>
      </c>
      <c r="P2797">
        <v>99</v>
      </c>
      <c r="Q2797" t="s">
        <v>5933</v>
      </c>
    </row>
    <row r="2798" spans="1:17" x14ac:dyDescent="0.3">
      <c r="A2798" t="s">
        <v>33</v>
      </c>
      <c r="B2798" t="str">
        <f>"000702"</f>
        <v>000702</v>
      </c>
      <c r="C2798" t="s">
        <v>5934</v>
      </c>
      <c r="D2798" t="s">
        <v>1825</v>
      </c>
      <c r="E2798">
        <v>-26001722</v>
      </c>
      <c r="F2798">
        <v>-76060592</v>
      </c>
      <c r="G2798">
        <v>925932</v>
      </c>
      <c r="H2798">
        <v>-25664298</v>
      </c>
      <c r="I2798">
        <v>-13155804</v>
      </c>
      <c r="J2798">
        <v>-24086529</v>
      </c>
      <c r="K2798">
        <v>30309321</v>
      </c>
      <c r="L2798">
        <v>-3481712</v>
      </c>
      <c r="M2798">
        <v>32309777</v>
      </c>
      <c r="N2798">
        <v>22664279</v>
      </c>
      <c r="O2798">
        <v>81638466</v>
      </c>
      <c r="P2798">
        <v>127</v>
      </c>
      <c r="Q2798" t="s">
        <v>5935</v>
      </c>
    </row>
    <row r="2799" spans="1:17" x14ac:dyDescent="0.3">
      <c r="A2799" t="s">
        <v>17</v>
      </c>
      <c r="B2799" t="str">
        <f>"688046"</f>
        <v>688046</v>
      </c>
      <c r="C2799" t="s">
        <v>5936</v>
      </c>
      <c r="E2799">
        <v>-26057727</v>
      </c>
      <c r="P2799">
        <v>2</v>
      </c>
      <c r="Q2799" t="s">
        <v>5937</v>
      </c>
    </row>
    <row r="2800" spans="1:17" x14ac:dyDescent="0.3">
      <c r="A2800" t="s">
        <v>17</v>
      </c>
      <c r="B2800" t="str">
        <f>"600327"</f>
        <v>600327</v>
      </c>
      <c r="C2800" t="s">
        <v>5938</v>
      </c>
      <c r="D2800" t="s">
        <v>2643</v>
      </c>
      <c r="E2800">
        <v>-26218840</v>
      </c>
      <c r="F2800">
        <v>182410302</v>
      </c>
      <c r="G2800">
        <v>184017144</v>
      </c>
      <c r="H2800">
        <v>117870267</v>
      </c>
      <c r="I2800">
        <v>69557006</v>
      </c>
      <c r="J2800">
        <v>-68237045</v>
      </c>
      <c r="K2800">
        <v>74616029</v>
      </c>
      <c r="L2800">
        <v>174069880</v>
      </c>
      <c r="M2800">
        <v>9510076</v>
      </c>
      <c r="N2800">
        <v>76289938</v>
      </c>
      <c r="O2800">
        <v>5137042</v>
      </c>
      <c r="P2800">
        <v>221</v>
      </c>
      <c r="Q2800" t="s">
        <v>5939</v>
      </c>
    </row>
    <row r="2801" spans="1:17" x14ac:dyDescent="0.3">
      <c r="A2801" t="s">
        <v>33</v>
      </c>
      <c r="B2801" t="str">
        <f>"003031"</f>
        <v>003031</v>
      </c>
      <c r="C2801" t="s">
        <v>5940</v>
      </c>
      <c r="D2801" t="s">
        <v>1347</v>
      </c>
      <c r="E2801">
        <v>-26247521</v>
      </c>
      <c r="F2801">
        <v>-444939</v>
      </c>
      <c r="G2801">
        <v>-3042206</v>
      </c>
      <c r="H2801">
        <v>8590653</v>
      </c>
      <c r="P2801">
        <v>87</v>
      </c>
      <c r="Q2801" t="s">
        <v>5941</v>
      </c>
    </row>
    <row r="2802" spans="1:17" x14ac:dyDescent="0.3">
      <c r="A2802" t="s">
        <v>33</v>
      </c>
      <c r="B2802" t="str">
        <f>"300727"</f>
        <v>300727</v>
      </c>
      <c r="C2802" t="s">
        <v>5942</v>
      </c>
      <c r="D2802" t="s">
        <v>729</v>
      </c>
      <c r="E2802">
        <v>-26297634</v>
      </c>
      <c r="F2802">
        <v>16324564</v>
      </c>
      <c r="G2802">
        <v>12346862</v>
      </c>
      <c r="H2802">
        <v>61195345</v>
      </c>
      <c r="I2802">
        <v>-17423078</v>
      </c>
      <c r="J2802">
        <v>-10028180</v>
      </c>
      <c r="P2802">
        <v>73</v>
      </c>
      <c r="Q2802" t="s">
        <v>5943</v>
      </c>
    </row>
    <row r="2803" spans="1:17" x14ac:dyDescent="0.3">
      <c r="A2803" t="s">
        <v>33</v>
      </c>
      <c r="B2803" t="str">
        <f>"300211"</f>
        <v>300211</v>
      </c>
      <c r="C2803" t="s">
        <v>5944</v>
      </c>
      <c r="D2803" t="s">
        <v>4393</v>
      </c>
      <c r="E2803">
        <v>-26306911</v>
      </c>
      <c r="F2803">
        <v>-2344576</v>
      </c>
      <c r="G2803">
        <v>11517790</v>
      </c>
      <c r="H2803">
        <v>5837901</v>
      </c>
      <c r="I2803">
        <v>-1774512</v>
      </c>
      <c r="J2803">
        <v>4607272</v>
      </c>
      <c r="K2803">
        <v>-7174735</v>
      </c>
      <c r="L2803">
        <v>-14601328</v>
      </c>
      <c r="M2803">
        <v>-28632727</v>
      </c>
      <c r="N2803">
        <v>653517</v>
      </c>
      <c r="O2803">
        <v>-11575049</v>
      </c>
      <c r="P2803">
        <v>63</v>
      </c>
      <c r="Q2803" t="s">
        <v>5945</v>
      </c>
    </row>
    <row r="2804" spans="1:17" x14ac:dyDescent="0.3">
      <c r="A2804" t="s">
        <v>17</v>
      </c>
      <c r="B2804" t="str">
        <f>"688768"</f>
        <v>688768</v>
      </c>
      <c r="C2804" t="s">
        <v>5946</v>
      </c>
      <c r="D2804" t="s">
        <v>2417</v>
      </c>
      <c r="E2804">
        <v>-26327845</v>
      </c>
      <c r="F2804">
        <v>-18061242</v>
      </c>
      <c r="G2804">
        <v>-16705469</v>
      </c>
      <c r="P2804">
        <v>30</v>
      </c>
      <c r="Q2804" t="s">
        <v>5947</v>
      </c>
    </row>
    <row r="2805" spans="1:17" x14ac:dyDescent="0.3">
      <c r="A2805" t="s">
        <v>33</v>
      </c>
      <c r="B2805" t="str">
        <f>"002977"</f>
        <v>002977</v>
      </c>
      <c r="C2805" t="s">
        <v>5948</v>
      </c>
      <c r="D2805" t="s">
        <v>617</v>
      </c>
      <c r="E2805">
        <v>-26340076</v>
      </c>
      <c r="F2805">
        <v>-18043652</v>
      </c>
      <c r="G2805">
        <v>-16161844</v>
      </c>
      <c r="H2805">
        <v>-45123136</v>
      </c>
      <c r="P2805">
        <v>126</v>
      </c>
      <c r="Q2805" t="s">
        <v>5949</v>
      </c>
    </row>
    <row r="2806" spans="1:17" x14ac:dyDescent="0.3">
      <c r="A2806" t="s">
        <v>33</v>
      </c>
      <c r="B2806" t="str">
        <f>"300131"</f>
        <v>300131</v>
      </c>
      <c r="C2806" t="s">
        <v>5950</v>
      </c>
      <c r="D2806" t="s">
        <v>226</v>
      </c>
      <c r="E2806">
        <v>-26341360</v>
      </c>
      <c r="F2806">
        <v>47353495</v>
      </c>
      <c r="G2806">
        <v>68184229</v>
      </c>
      <c r="H2806">
        <v>312194935</v>
      </c>
      <c r="I2806">
        <v>58841347</v>
      </c>
      <c r="J2806">
        <v>-145579615</v>
      </c>
      <c r="K2806">
        <v>60322559</v>
      </c>
      <c r="L2806">
        <v>2495889</v>
      </c>
      <c r="M2806">
        <v>-45278196</v>
      </c>
      <c r="N2806">
        <v>34329638</v>
      </c>
      <c r="O2806">
        <v>-32068093</v>
      </c>
      <c r="P2806">
        <v>207</v>
      </c>
      <c r="Q2806" t="s">
        <v>5951</v>
      </c>
    </row>
    <row r="2807" spans="1:17" x14ac:dyDescent="0.3">
      <c r="A2807" t="s">
        <v>33</v>
      </c>
      <c r="B2807" t="str">
        <f>"002338"</f>
        <v>002338</v>
      </c>
      <c r="C2807" t="s">
        <v>5952</v>
      </c>
      <c r="D2807" t="s">
        <v>617</v>
      </c>
      <c r="E2807">
        <v>-26406165</v>
      </c>
      <c r="F2807">
        <v>-16166654</v>
      </c>
      <c r="G2807">
        <v>20199629</v>
      </c>
      <c r="H2807">
        <v>-33444180</v>
      </c>
      <c r="I2807">
        <v>-25597312</v>
      </c>
      <c r="J2807">
        <v>-50459082</v>
      </c>
      <c r="K2807">
        <v>-50661046</v>
      </c>
      <c r="L2807">
        <v>-48828921</v>
      </c>
      <c r="M2807">
        <v>-44654016</v>
      </c>
      <c r="N2807">
        <v>-60485683</v>
      </c>
      <c r="O2807">
        <v>-42447283</v>
      </c>
      <c r="P2807">
        <v>147</v>
      </c>
      <c r="Q2807" t="s">
        <v>5953</v>
      </c>
    </row>
    <row r="2808" spans="1:17" x14ac:dyDescent="0.3">
      <c r="A2808" t="s">
        <v>33</v>
      </c>
      <c r="B2808" t="str">
        <f>"000793"</f>
        <v>000793</v>
      </c>
      <c r="C2808" t="s">
        <v>5954</v>
      </c>
      <c r="D2808" t="s">
        <v>1501</v>
      </c>
      <c r="E2808">
        <v>-26460107</v>
      </c>
      <c r="F2808">
        <v>28347972</v>
      </c>
      <c r="G2808">
        <v>-88142907</v>
      </c>
      <c r="H2808">
        <v>-254340737</v>
      </c>
      <c r="I2808">
        <v>-302252488</v>
      </c>
      <c r="J2808">
        <v>-99205057</v>
      </c>
      <c r="K2808">
        <v>-175534550</v>
      </c>
      <c r="L2808">
        <v>-157350916</v>
      </c>
      <c r="M2808">
        <v>-147714436</v>
      </c>
      <c r="N2808">
        <v>60551810</v>
      </c>
      <c r="O2808">
        <v>-531382404</v>
      </c>
      <c r="P2808">
        <v>141</v>
      </c>
      <c r="Q2808" t="s">
        <v>5955</v>
      </c>
    </row>
    <row r="2809" spans="1:17" x14ac:dyDescent="0.3">
      <c r="A2809" t="s">
        <v>33</v>
      </c>
      <c r="B2809" t="str">
        <f>"002660"</f>
        <v>002660</v>
      </c>
      <c r="C2809" t="s">
        <v>5956</v>
      </c>
      <c r="D2809" t="s">
        <v>226</v>
      </c>
      <c r="E2809">
        <v>-26497986</v>
      </c>
      <c r="F2809">
        <v>-2647270</v>
      </c>
      <c r="G2809">
        <v>10798527</v>
      </c>
      <c r="H2809">
        <v>-74004872</v>
      </c>
      <c r="I2809">
        <v>41442473</v>
      </c>
      <c r="J2809">
        <v>53935561</v>
      </c>
      <c r="K2809">
        <v>-5770264</v>
      </c>
      <c r="L2809">
        <v>-2119875</v>
      </c>
      <c r="M2809">
        <v>9251133</v>
      </c>
      <c r="N2809">
        <v>-12493607</v>
      </c>
      <c r="O2809">
        <v>-18090136</v>
      </c>
      <c r="P2809">
        <v>122</v>
      </c>
      <c r="Q2809" t="s">
        <v>5957</v>
      </c>
    </row>
    <row r="2810" spans="1:17" x14ac:dyDescent="0.3">
      <c r="A2810" t="s">
        <v>33</v>
      </c>
      <c r="B2810" t="str">
        <f>"301009"</f>
        <v>301009</v>
      </c>
      <c r="C2810" t="s">
        <v>5958</v>
      </c>
      <c r="D2810" t="s">
        <v>974</v>
      </c>
      <c r="E2810">
        <v>-26511328</v>
      </c>
      <c r="F2810">
        <v>-47527361</v>
      </c>
      <c r="G2810">
        <v>20367308</v>
      </c>
      <c r="P2810">
        <v>59</v>
      </c>
      <c r="Q2810" t="s">
        <v>5959</v>
      </c>
    </row>
    <row r="2811" spans="1:17" x14ac:dyDescent="0.3">
      <c r="A2811" t="s">
        <v>33</v>
      </c>
      <c r="B2811" t="str">
        <f>"002297"</f>
        <v>002297</v>
      </c>
      <c r="C2811" t="s">
        <v>5960</v>
      </c>
      <c r="D2811" t="s">
        <v>2262</v>
      </c>
      <c r="E2811">
        <v>-26568529</v>
      </c>
      <c r="F2811">
        <v>6421898</v>
      </c>
      <c r="G2811">
        <v>-16621924</v>
      </c>
      <c r="H2811">
        <v>-38747981</v>
      </c>
      <c r="I2811">
        <v>-7997288</v>
      </c>
      <c r="J2811">
        <v>-7217206</v>
      </c>
      <c r="K2811">
        <v>-16935660</v>
      </c>
      <c r="L2811">
        <v>-10332069</v>
      </c>
      <c r="M2811">
        <v>-29533902</v>
      </c>
      <c r="N2811">
        <v>4834819</v>
      </c>
      <c r="O2811">
        <v>-18474703</v>
      </c>
      <c r="P2811">
        <v>100</v>
      </c>
      <c r="Q2811" t="s">
        <v>5961</v>
      </c>
    </row>
    <row r="2812" spans="1:17" x14ac:dyDescent="0.3">
      <c r="A2812" t="s">
        <v>33</v>
      </c>
      <c r="B2812" t="str">
        <f>"300647"</f>
        <v>300647</v>
      </c>
      <c r="C2812" t="s">
        <v>5962</v>
      </c>
      <c r="D2812" t="s">
        <v>226</v>
      </c>
      <c r="E2812">
        <v>-26611777</v>
      </c>
      <c r="F2812">
        <v>-43667715</v>
      </c>
      <c r="G2812">
        <v>383048</v>
      </c>
      <c r="H2812">
        <v>13916823</v>
      </c>
      <c r="I2812">
        <v>-40192566</v>
      </c>
      <c r="J2812">
        <v>-12800263</v>
      </c>
      <c r="K2812">
        <v>-7624853</v>
      </c>
      <c r="P2812">
        <v>116</v>
      </c>
      <c r="Q2812" t="s">
        <v>5963</v>
      </c>
    </row>
    <row r="2813" spans="1:17" x14ac:dyDescent="0.3">
      <c r="A2813" t="s">
        <v>17</v>
      </c>
      <c r="B2813" t="str">
        <f>"603709"</f>
        <v>603709</v>
      </c>
      <c r="C2813" t="s">
        <v>5964</v>
      </c>
      <c r="D2813" t="s">
        <v>664</v>
      </c>
      <c r="E2813">
        <v>-26646314</v>
      </c>
      <c r="F2813">
        <v>-40168533</v>
      </c>
      <c r="G2813">
        <v>-26709031</v>
      </c>
      <c r="H2813">
        <v>-12596903</v>
      </c>
      <c r="I2813">
        <v>-19532484</v>
      </c>
      <c r="J2813">
        <v>1442497</v>
      </c>
      <c r="P2813">
        <v>99</v>
      </c>
      <c r="Q2813" t="s">
        <v>5965</v>
      </c>
    </row>
    <row r="2814" spans="1:17" x14ac:dyDescent="0.3">
      <c r="A2814" t="s">
        <v>17</v>
      </c>
      <c r="B2814" t="str">
        <f>"688209"</f>
        <v>688209</v>
      </c>
      <c r="C2814" t="s">
        <v>5966</v>
      </c>
      <c r="E2814">
        <v>-26659748</v>
      </c>
      <c r="F2814">
        <v>45206539</v>
      </c>
      <c r="P2814">
        <v>5</v>
      </c>
      <c r="Q2814" t="s">
        <v>5967</v>
      </c>
    </row>
    <row r="2815" spans="1:17" x14ac:dyDescent="0.3">
      <c r="A2815" t="s">
        <v>33</v>
      </c>
      <c r="B2815" t="str">
        <f>"002751"</f>
        <v>002751</v>
      </c>
      <c r="C2815" t="s">
        <v>5968</v>
      </c>
      <c r="D2815" t="s">
        <v>2458</v>
      </c>
      <c r="E2815">
        <v>-26662186</v>
      </c>
      <c r="F2815">
        <v>-31469886</v>
      </c>
      <c r="G2815">
        <v>39033197</v>
      </c>
      <c r="H2815">
        <v>-5036522</v>
      </c>
      <c r="I2815">
        <v>-47467077</v>
      </c>
      <c r="J2815">
        <v>12886652</v>
      </c>
      <c r="K2815">
        <v>-38776071</v>
      </c>
      <c r="L2815">
        <v>-72330067</v>
      </c>
      <c r="M2815">
        <v>-68608752</v>
      </c>
      <c r="P2815">
        <v>145</v>
      </c>
      <c r="Q2815" t="s">
        <v>5969</v>
      </c>
    </row>
    <row r="2816" spans="1:17" x14ac:dyDescent="0.3">
      <c r="A2816" t="s">
        <v>33</v>
      </c>
      <c r="B2816" t="str">
        <f>"000533"</f>
        <v>000533</v>
      </c>
      <c r="C2816" t="s">
        <v>5970</v>
      </c>
      <c r="D2816" t="s">
        <v>298</v>
      </c>
      <c r="E2816">
        <v>-26737952</v>
      </c>
      <c r="F2816">
        <v>-22672563</v>
      </c>
      <c r="G2816">
        <v>-41817868</v>
      </c>
      <c r="H2816">
        <v>-16263258</v>
      </c>
      <c r="I2816">
        <v>-412281081</v>
      </c>
      <c r="J2816">
        <v>-12854847</v>
      </c>
      <c r="K2816">
        <v>-172586599</v>
      </c>
      <c r="L2816">
        <v>50220656</v>
      </c>
      <c r="M2816">
        <v>46650911</v>
      </c>
      <c r="N2816">
        <v>31890905</v>
      </c>
      <c r="O2816">
        <v>-128578072</v>
      </c>
      <c r="P2816">
        <v>101</v>
      </c>
      <c r="Q2816" t="s">
        <v>5971</v>
      </c>
    </row>
    <row r="2817" spans="1:17" x14ac:dyDescent="0.3">
      <c r="A2817" t="s">
        <v>17</v>
      </c>
      <c r="B2817" t="str">
        <f>"600513"</f>
        <v>600513</v>
      </c>
      <c r="C2817" t="s">
        <v>5972</v>
      </c>
      <c r="D2817" t="s">
        <v>590</v>
      </c>
      <c r="E2817">
        <v>-26749729</v>
      </c>
      <c r="F2817">
        <v>6014331</v>
      </c>
      <c r="G2817">
        <v>-4973937</v>
      </c>
      <c r="H2817">
        <v>-38824628</v>
      </c>
      <c r="I2817">
        <v>18291342</v>
      </c>
      <c r="J2817">
        <v>-13890078</v>
      </c>
      <c r="K2817">
        <v>-9625797</v>
      </c>
      <c r="L2817">
        <v>-7623344</v>
      </c>
      <c r="M2817">
        <v>-962297</v>
      </c>
      <c r="N2817">
        <v>2559248</v>
      </c>
      <c r="O2817">
        <v>2642252</v>
      </c>
      <c r="P2817">
        <v>144</v>
      </c>
      <c r="Q2817" t="s">
        <v>5973</v>
      </c>
    </row>
    <row r="2818" spans="1:17" x14ac:dyDescent="0.3">
      <c r="A2818" t="s">
        <v>33</v>
      </c>
      <c r="B2818" t="str">
        <f>"300812"</f>
        <v>300812</v>
      </c>
      <c r="C2818" t="s">
        <v>5974</v>
      </c>
      <c r="D2818" t="s">
        <v>2201</v>
      </c>
      <c r="E2818">
        <v>-26819569</v>
      </c>
      <c r="F2818">
        <v>-26696524</v>
      </c>
      <c r="G2818">
        <v>-53287603</v>
      </c>
      <c r="H2818">
        <v>-38865289</v>
      </c>
      <c r="P2818">
        <v>111</v>
      </c>
      <c r="Q2818" t="s">
        <v>5975</v>
      </c>
    </row>
    <row r="2819" spans="1:17" x14ac:dyDescent="0.3">
      <c r="A2819" t="s">
        <v>33</v>
      </c>
      <c r="B2819" t="str">
        <f>"000722"</f>
        <v>000722</v>
      </c>
      <c r="C2819" t="s">
        <v>5976</v>
      </c>
      <c r="D2819" t="s">
        <v>205</v>
      </c>
      <c r="E2819">
        <v>-26856208</v>
      </c>
      <c r="F2819">
        <v>-72370930</v>
      </c>
      <c r="G2819">
        <v>29033581</v>
      </c>
      <c r="H2819">
        <v>31786393</v>
      </c>
      <c r="I2819">
        <v>5620236</v>
      </c>
      <c r="J2819">
        <v>18317749</v>
      </c>
      <c r="K2819">
        <v>78679703</v>
      </c>
      <c r="L2819">
        <v>17715033</v>
      </c>
      <c r="M2819">
        <v>35131757</v>
      </c>
      <c r="N2819">
        <v>50110716</v>
      </c>
      <c r="O2819">
        <v>44126898</v>
      </c>
      <c r="P2819">
        <v>104</v>
      </c>
      <c r="Q2819" t="s">
        <v>5977</v>
      </c>
    </row>
    <row r="2820" spans="1:17" x14ac:dyDescent="0.3">
      <c r="A2820" t="s">
        <v>17</v>
      </c>
      <c r="B2820" t="str">
        <f>"600539"</f>
        <v>600539</v>
      </c>
      <c r="C2820" t="s">
        <v>5978</v>
      </c>
      <c r="D2820" t="s">
        <v>523</v>
      </c>
      <c r="E2820">
        <v>-26952286</v>
      </c>
      <c r="F2820">
        <v>2131284</v>
      </c>
      <c r="G2820">
        <v>1871554</v>
      </c>
      <c r="H2820">
        <v>-1367490</v>
      </c>
      <c r="I2820">
        <v>-3168864</v>
      </c>
      <c r="J2820">
        <v>2758057</v>
      </c>
      <c r="K2820">
        <v>-6234685</v>
      </c>
      <c r="L2820">
        <v>-7612432</v>
      </c>
      <c r="M2820">
        <v>-13101561</v>
      </c>
      <c r="N2820">
        <v>5214465</v>
      </c>
      <c r="O2820">
        <v>20893868</v>
      </c>
      <c r="P2820">
        <v>51</v>
      </c>
      <c r="Q2820" t="s">
        <v>5979</v>
      </c>
    </row>
    <row r="2821" spans="1:17" x14ac:dyDescent="0.3">
      <c r="A2821" t="s">
        <v>33</v>
      </c>
      <c r="B2821" t="str">
        <f>"002571"</f>
        <v>002571</v>
      </c>
      <c r="C2821" t="s">
        <v>5980</v>
      </c>
      <c r="D2821" t="s">
        <v>927</v>
      </c>
      <c r="E2821">
        <v>-26983813</v>
      </c>
      <c r="F2821">
        <v>12698902</v>
      </c>
      <c r="G2821">
        <v>-9812185</v>
      </c>
      <c r="H2821">
        <v>-36977425</v>
      </c>
      <c r="I2821">
        <v>-31725285</v>
      </c>
      <c r="J2821">
        <v>17758201</v>
      </c>
      <c r="K2821">
        <v>-8752955</v>
      </c>
      <c r="L2821">
        <v>2607472</v>
      </c>
      <c r="M2821">
        <v>-8510522</v>
      </c>
      <c r="N2821">
        <v>16924599</v>
      </c>
      <c r="O2821">
        <v>17839577</v>
      </c>
      <c r="P2821">
        <v>92</v>
      </c>
      <c r="Q2821" t="s">
        <v>5981</v>
      </c>
    </row>
    <row r="2822" spans="1:17" x14ac:dyDescent="0.3">
      <c r="A2822" t="s">
        <v>33</v>
      </c>
      <c r="B2822" t="str">
        <f>"301100"</f>
        <v>301100</v>
      </c>
      <c r="C2822" t="s">
        <v>5982</v>
      </c>
      <c r="D2822" t="s">
        <v>418</v>
      </c>
      <c r="E2822">
        <v>-27045247</v>
      </c>
      <c r="P2822">
        <v>11</v>
      </c>
      <c r="Q2822" t="s">
        <v>5983</v>
      </c>
    </row>
    <row r="2823" spans="1:17" x14ac:dyDescent="0.3">
      <c r="A2823" t="s">
        <v>17</v>
      </c>
      <c r="B2823" t="str">
        <f>"603809"</f>
        <v>603809</v>
      </c>
      <c r="C2823" t="s">
        <v>5984</v>
      </c>
      <c r="D2823" t="s">
        <v>858</v>
      </c>
      <c r="E2823">
        <v>-27252073</v>
      </c>
      <c r="F2823">
        <v>62867281</v>
      </c>
      <c r="G2823">
        <v>91617993</v>
      </c>
      <c r="H2823">
        <v>53595850</v>
      </c>
      <c r="I2823">
        <v>12500950</v>
      </c>
      <c r="J2823">
        <v>4239283</v>
      </c>
      <c r="P2823">
        <v>137</v>
      </c>
      <c r="Q2823" t="s">
        <v>5985</v>
      </c>
    </row>
    <row r="2824" spans="1:17" x14ac:dyDescent="0.3">
      <c r="A2824" t="s">
        <v>17</v>
      </c>
      <c r="B2824" t="str">
        <f>"603579"</f>
        <v>603579</v>
      </c>
      <c r="C2824" t="s">
        <v>5986</v>
      </c>
      <c r="D2824" t="s">
        <v>4309</v>
      </c>
      <c r="E2824">
        <v>-27415890</v>
      </c>
      <c r="F2824">
        <v>58917339</v>
      </c>
      <c r="G2824">
        <v>-227682869</v>
      </c>
      <c r="H2824">
        <v>140117835</v>
      </c>
      <c r="I2824">
        <v>54077909</v>
      </c>
      <c r="J2824">
        <v>39024380</v>
      </c>
      <c r="K2824">
        <v>-25988159</v>
      </c>
      <c r="P2824">
        <v>597</v>
      </c>
      <c r="Q2824" t="s">
        <v>5987</v>
      </c>
    </row>
    <row r="2825" spans="1:17" x14ac:dyDescent="0.3">
      <c r="A2825" t="s">
        <v>33</v>
      </c>
      <c r="B2825" t="str">
        <f>"300935"</f>
        <v>300935</v>
      </c>
      <c r="C2825" t="s">
        <v>5988</v>
      </c>
      <c r="D2825" t="s">
        <v>807</v>
      </c>
      <c r="E2825">
        <v>-27457690</v>
      </c>
      <c r="F2825">
        <v>-25472751</v>
      </c>
      <c r="G2825">
        <v>-21091222</v>
      </c>
      <c r="P2825">
        <v>55</v>
      </c>
      <c r="Q2825" t="s">
        <v>5989</v>
      </c>
    </row>
    <row r="2826" spans="1:17" x14ac:dyDescent="0.3">
      <c r="A2826" t="s">
        <v>17</v>
      </c>
      <c r="B2826" t="str">
        <f>"688229"</f>
        <v>688229</v>
      </c>
      <c r="C2826" t="s">
        <v>5990</v>
      </c>
      <c r="D2826" t="s">
        <v>508</v>
      </c>
      <c r="E2826">
        <v>-27536961</v>
      </c>
      <c r="F2826">
        <v>-15694082</v>
      </c>
      <c r="G2826">
        <v>-11577340</v>
      </c>
      <c r="H2826">
        <v>-5460571</v>
      </c>
      <c r="P2826">
        <v>63</v>
      </c>
      <c r="Q2826" t="s">
        <v>5991</v>
      </c>
    </row>
    <row r="2827" spans="1:17" x14ac:dyDescent="0.3">
      <c r="A2827" t="s">
        <v>17</v>
      </c>
      <c r="B2827" t="str">
        <f>"688215"</f>
        <v>688215</v>
      </c>
      <c r="C2827" t="s">
        <v>5992</v>
      </c>
      <c r="D2827" t="s">
        <v>4171</v>
      </c>
      <c r="E2827">
        <v>-27537273</v>
      </c>
      <c r="F2827">
        <v>2086081</v>
      </c>
      <c r="G2827">
        <v>-13856900</v>
      </c>
      <c r="H2827">
        <v>795700</v>
      </c>
      <c r="P2827">
        <v>62</v>
      </c>
      <c r="Q2827" t="s">
        <v>5993</v>
      </c>
    </row>
    <row r="2828" spans="1:17" x14ac:dyDescent="0.3">
      <c r="A2828" t="s">
        <v>33</v>
      </c>
      <c r="B2828" t="str">
        <f>"300301"</f>
        <v>300301</v>
      </c>
      <c r="C2828" t="s">
        <v>5994</v>
      </c>
      <c r="D2828" t="s">
        <v>1299</v>
      </c>
      <c r="E2828">
        <v>-27613643</v>
      </c>
      <c r="F2828">
        <v>-26656685</v>
      </c>
      <c r="G2828">
        <v>-13972966</v>
      </c>
      <c r="H2828">
        <v>63151116</v>
      </c>
      <c r="I2828">
        <v>-196030806</v>
      </c>
      <c r="J2828">
        <v>14801254</v>
      </c>
      <c r="K2828">
        <v>-65293946</v>
      </c>
      <c r="L2828">
        <v>21579567</v>
      </c>
      <c r="M2828">
        <v>26342557</v>
      </c>
      <c r="N2828">
        <v>-26362783</v>
      </c>
      <c r="O2828">
        <v>-20521730</v>
      </c>
      <c r="P2828">
        <v>75</v>
      </c>
      <c r="Q2828" t="s">
        <v>5995</v>
      </c>
    </row>
    <row r="2829" spans="1:17" x14ac:dyDescent="0.3">
      <c r="A2829" t="s">
        <v>33</v>
      </c>
      <c r="B2829" t="str">
        <f>"300128"</f>
        <v>300128</v>
      </c>
      <c r="C2829" t="s">
        <v>5996</v>
      </c>
      <c r="D2829" t="s">
        <v>102</v>
      </c>
      <c r="E2829">
        <v>-27680352</v>
      </c>
      <c r="F2829">
        <v>38768685</v>
      </c>
      <c r="G2829">
        <v>32450337</v>
      </c>
      <c r="H2829">
        <v>20455806</v>
      </c>
      <c r="I2829">
        <v>-129440177</v>
      </c>
      <c r="J2829">
        <v>-80770778</v>
      </c>
      <c r="K2829">
        <v>-120779875</v>
      </c>
      <c r="L2829">
        <v>-19990282</v>
      </c>
      <c r="M2829">
        <v>21562721</v>
      </c>
      <c r="N2829">
        <v>-255713</v>
      </c>
      <c r="O2829">
        <v>-45853977</v>
      </c>
      <c r="P2829">
        <v>145</v>
      </c>
      <c r="Q2829" t="s">
        <v>5997</v>
      </c>
    </row>
    <row r="2830" spans="1:17" x14ac:dyDescent="0.3">
      <c r="A2830" t="s">
        <v>33</v>
      </c>
      <c r="B2830" t="str">
        <f>"300910"</f>
        <v>300910</v>
      </c>
      <c r="C2830" t="s">
        <v>5998</v>
      </c>
      <c r="D2830" t="s">
        <v>418</v>
      </c>
      <c r="E2830">
        <v>-27683116</v>
      </c>
      <c r="F2830">
        <v>-13179653</v>
      </c>
      <c r="G2830">
        <v>-5027344</v>
      </c>
      <c r="P2830">
        <v>116</v>
      </c>
      <c r="Q2830" t="s">
        <v>5999</v>
      </c>
    </row>
    <row r="2831" spans="1:17" x14ac:dyDescent="0.3">
      <c r="A2831" t="s">
        <v>33</v>
      </c>
      <c r="B2831" t="str">
        <f>"301053"</f>
        <v>301053</v>
      </c>
      <c r="C2831" t="s">
        <v>6000</v>
      </c>
      <c r="D2831" t="s">
        <v>2847</v>
      </c>
      <c r="E2831">
        <v>-27714718</v>
      </c>
      <c r="P2831">
        <v>24</v>
      </c>
      <c r="Q2831" t="s">
        <v>6001</v>
      </c>
    </row>
    <row r="2832" spans="1:17" x14ac:dyDescent="0.3">
      <c r="A2832" t="s">
        <v>33</v>
      </c>
      <c r="B2832" t="str">
        <f>"002621"</f>
        <v>002621</v>
      </c>
      <c r="C2832" t="s">
        <v>6002</v>
      </c>
      <c r="D2832" t="s">
        <v>761</v>
      </c>
      <c r="E2832">
        <v>-27831708</v>
      </c>
      <c r="F2832">
        <v>-29419823</v>
      </c>
      <c r="G2832">
        <v>-85997332</v>
      </c>
      <c r="H2832">
        <v>-4360233</v>
      </c>
      <c r="I2832">
        <v>2096321</v>
      </c>
      <c r="J2832">
        <v>11039689</v>
      </c>
      <c r="K2832">
        <v>-2725547</v>
      </c>
      <c r="L2832">
        <v>15452138</v>
      </c>
      <c r="M2832">
        <v>17355998</v>
      </c>
      <c r="N2832">
        <v>16130392</v>
      </c>
      <c r="O2832">
        <v>40663263</v>
      </c>
      <c r="P2832">
        <v>143</v>
      </c>
      <c r="Q2832" t="s">
        <v>6003</v>
      </c>
    </row>
    <row r="2833" spans="1:17" x14ac:dyDescent="0.3">
      <c r="A2833" t="s">
        <v>17</v>
      </c>
      <c r="B2833" t="str">
        <f>"605266"</f>
        <v>605266</v>
      </c>
      <c r="C2833" t="s">
        <v>6004</v>
      </c>
      <c r="D2833" t="s">
        <v>710</v>
      </c>
      <c r="E2833">
        <v>-27843634</v>
      </c>
      <c r="F2833">
        <v>25592762</v>
      </c>
      <c r="G2833">
        <v>2845709</v>
      </c>
      <c r="P2833">
        <v>105</v>
      </c>
      <c r="Q2833" t="s">
        <v>6005</v>
      </c>
    </row>
    <row r="2834" spans="1:17" x14ac:dyDescent="0.3">
      <c r="A2834" t="s">
        <v>33</v>
      </c>
      <c r="B2834" t="str">
        <f>"002614"</f>
        <v>002614</v>
      </c>
      <c r="C2834" t="s">
        <v>6006</v>
      </c>
      <c r="D2834" t="s">
        <v>4309</v>
      </c>
      <c r="E2834">
        <v>-27887420</v>
      </c>
      <c r="F2834">
        <v>-99120875</v>
      </c>
      <c r="G2834">
        <v>243979981</v>
      </c>
      <c r="H2834">
        <v>-111352790</v>
      </c>
      <c r="I2834">
        <v>-125768098</v>
      </c>
      <c r="J2834">
        <v>98472534</v>
      </c>
      <c r="K2834">
        <v>-111034411</v>
      </c>
      <c r="L2834">
        <v>-65852772</v>
      </c>
      <c r="M2834">
        <v>-10449437</v>
      </c>
      <c r="N2834">
        <v>5279630</v>
      </c>
      <c r="O2834">
        <v>-52460121</v>
      </c>
      <c r="P2834">
        <v>525</v>
      </c>
      <c r="Q2834" t="s">
        <v>6007</v>
      </c>
    </row>
    <row r="2835" spans="1:17" x14ac:dyDescent="0.3">
      <c r="A2835" t="s">
        <v>33</v>
      </c>
      <c r="B2835" t="str">
        <f>"000040"</f>
        <v>000040</v>
      </c>
      <c r="C2835" t="s">
        <v>6008</v>
      </c>
      <c r="D2835" t="s">
        <v>1007</v>
      </c>
      <c r="E2835">
        <v>-27911279</v>
      </c>
      <c r="F2835">
        <v>21118569</v>
      </c>
      <c r="G2835">
        <v>-431297181</v>
      </c>
      <c r="H2835">
        <v>242212094</v>
      </c>
      <c r="I2835">
        <v>-503020313</v>
      </c>
      <c r="J2835">
        <v>240203934</v>
      </c>
      <c r="K2835">
        <v>-114685561</v>
      </c>
      <c r="L2835">
        <v>-226619178</v>
      </c>
      <c r="M2835">
        <v>-171136637</v>
      </c>
      <c r="N2835">
        <v>-164966653</v>
      </c>
      <c r="O2835">
        <v>71173305</v>
      </c>
      <c r="P2835">
        <v>220</v>
      </c>
      <c r="Q2835" t="s">
        <v>6009</v>
      </c>
    </row>
    <row r="2836" spans="1:17" x14ac:dyDescent="0.3">
      <c r="A2836" t="s">
        <v>33</v>
      </c>
      <c r="B2836" t="str">
        <f>"002229"</f>
        <v>002229</v>
      </c>
      <c r="C2836" t="s">
        <v>6010</v>
      </c>
      <c r="D2836" t="s">
        <v>3492</v>
      </c>
      <c r="E2836">
        <v>-27925489</v>
      </c>
      <c r="F2836">
        <v>-55777627</v>
      </c>
      <c r="G2836">
        <v>-66021286</v>
      </c>
      <c r="H2836">
        <v>-82810528</v>
      </c>
      <c r="I2836">
        <v>-18952872</v>
      </c>
      <c r="J2836">
        <v>-59481370</v>
      </c>
      <c r="K2836">
        <v>-71259571</v>
      </c>
      <c r="L2836">
        <v>-45447673</v>
      </c>
      <c r="M2836">
        <v>-46554909</v>
      </c>
      <c r="N2836">
        <v>-69344314</v>
      </c>
      <c r="O2836">
        <v>-55747660</v>
      </c>
      <c r="P2836">
        <v>118</v>
      </c>
      <c r="Q2836" t="s">
        <v>6011</v>
      </c>
    </row>
    <row r="2837" spans="1:17" x14ac:dyDescent="0.3">
      <c r="A2837" t="s">
        <v>17</v>
      </c>
      <c r="B2837" t="str">
        <f>"603015"</f>
        <v>603015</v>
      </c>
      <c r="C2837" t="s">
        <v>6012</v>
      </c>
      <c r="D2837" t="s">
        <v>2148</v>
      </c>
      <c r="E2837">
        <v>-27939247</v>
      </c>
      <c r="F2837">
        <v>-33913353</v>
      </c>
      <c r="G2837">
        <v>6453026</v>
      </c>
      <c r="H2837">
        <v>-33050572</v>
      </c>
      <c r="I2837">
        <v>8591978</v>
      </c>
      <c r="J2837">
        <v>-38491469</v>
      </c>
      <c r="K2837">
        <v>-4430791</v>
      </c>
      <c r="L2837">
        <v>6122965</v>
      </c>
      <c r="M2837">
        <v>34529966</v>
      </c>
      <c r="P2837">
        <v>91</v>
      </c>
      <c r="Q2837" t="s">
        <v>6013</v>
      </c>
    </row>
    <row r="2838" spans="1:17" x14ac:dyDescent="0.3">
      <c r="A2838" t="s">
        <v>17</v>
      </c>
      <c r="B2838" t="str">
        <f>"688733"</f>
        <v>688733</v>
      </c>
      <c r="C2838" t="s">
        <v>6014</v>
      </c>
      <c r="D2838" t="s">
        <v>795</v>
      </c>
      <c r="E2838">
        <v>-27948533</v>
      </c>
      <c r="F2838">
        <v>-22771739</v>
      </c>
      <c r="P2838">
        <v>47</v>
      </c>
      <c r="Q2838" t="s">
        <v>6015</v>
      </c>
    </row>
    <row r="2839" spans="1:17" x14ac:dyDescent="0.3">
      <c r="A2839" t="s">
        <v>33</v>
      </c>
      <c r="B2839" t="str">
        <f>"000697"</f>
        <v>000697</v>
      </c>
      <c r="C2839" t="s">
        <v>6016</v>
      </c>
      <c r="D2839" t="s">
        <v>2262</v>
      </c>
      <c r="E2839">
        <v>-28020793</v>
      </c>
      <c r="F2839">
        <v>-108388189</v>
      </c>
      <c r="G2839">
        <v>-29723569</v>
      </c>
      <c r="H2839">
        <v>-112025955</v>
      </c>
      <c r="I2839">
        <v>49482438</v>
      </c>
      <c r="J2839">
        <v>-15863230</v>
      </c>
      <c r="K2839">
        <v>-24261198</v>
      </c>
      <c r="L2839">
        <v>-13558434</v>
      </c>
      <c r="M2839">
        <v>7720862</v>
      </c>
      <c r="N2839">
        <v>-12472908</v>
      </c>
      <c r="O2839">
        <v>-33785254</v>
      </c>
      <c r="P2839">
        <v>110</v>
      </c>
      <c r="Q2839" t="s">
        <v>6017</v>
      </c>
    </row>
    <row r="2840" spans="1:17" x14ac:dyDescent="0.3">
      <c r="A2840" t="s">
        <v>33</v>
      </c>
      <c r="B2840" t="str">
        <f>"000836"</f>
        <v>000836</v>
      </c>
      <c r="C2840" t="s">
        <v>6018</v>
      </c>
      <c r="D2840" t="s">
        <v>1302</v>
      </c>
      <c r="E2840">
        <v>-28066680</v>
      </c>
      <c r="F2840">
        <v>-100596499</v>
      </c>
      <c r="G2840">
        <v>-86356591</v>
      </c>
      <c r="H2840">
        <v>-7758249</v>
      </c>
      <c r="I2840">
        <v>-54542241</v>
      </c>
      <c r="J2840">
        <v>14910246</v>
      </c>
      <c r="K2840">
        <v>-40851925</v>
      </c>
      <c r="L2840">
        <v>29495472</v>
      </c>
      <c r="M2840">
        <v>-34598914</v>
      </c>
      <c r="N2840">
        <v>-48097345</v>
      </c>
      <c r="O2840">
        <v>18181043</v>
      </c>
      <c r="P2840">
        <v>135</v>
      </c>
      <c r="Q2840" t="s">
        <v>6019</v>
      </c>
    </row>
    <row r="2841" spans="1:17" x14ac:dyDescent="0.3">
      <c r="A2841" t="s">
        <v>33</v>
      </c>
      <c r="B2841" t="str">
        <f>"300932"</f>
        <v>300932</v>
      </c>
      <c r="C2841" t="s">
        <v>6020</v>
      </c>
      <c r="D2841" t="s">
        <v>675</v>
      </c>
      <c r="E2841">
        <v>-28112497</v>
      </c>
      <c r="F2841">
        <v>-84386465</v>
      </c>
      <c r="G2841">
        <v>33809762</v>
      </c>
      <c r="P2841">
        <v>29</v>
      </c>
      <c r="Q2841" t="s">
        <v>6021</v>
      </c>
    </row>
    <row r="2842" spans="1:17" x14ac:dyDescent="0.3">
      <c r="A2842" t="s">
        <v>17</v>
      </c>
      <c r="B2842" t="str">
        <f>"603717"</f>
        <v>603717</v>
      </c>
      <c r="C2842" t="s">
        <v>6022</v>
      </c>
      <c r="D2842" t="s">
        <v>2330</v>
      </c>
      <c r="E2842">
        <v>-28128563</v>
      </c>
      <c r="F2842">
        <v>-24908472</v>
      </c>
      <c r="G2842">
        <v>-66534007</v>
      </c>
      <c r="H2842">
        <v>-60854532</v>
      </c>
      <c r="I2842">
        <v>-99144981</v>
      </c>
      <c r="J2842">
        <v>-146158229</v>
      </c>
      <c r="K2842">
        <v>-17259332</v>
      </c>
      <c r="P2842">
        <v>55</v>
      </c>
      <c r="Q2842" t="s">
        <v>6023</v>
      </c>
    </row>
    <row r="2843" spans="1:17" x14ac:dyDescent="0.3">
      <c r="A2843" t="s">
        <v>33</v>
      </c>
      <c r="B2843" t="str">
        <f>"300624"</f>
        <v>300624</v>
      </c>
      <c r="C2843" t="s">
        <v>6024</v>
      </c>
      <c r="D2843" t="s">
        <v>1713</v>
      </c>
      <c r="E2843">
        <v>-28310610</v>
      </c>
      <c r="F2843">
        <v>-7846930</v>
      </c>
      <c r="G2843">
        <v>14513326</v>
      </c>
      <c r="H2843">
        <v>-2900840</v>
      </c>
      <c r="I2843">
        <v>5463031</v>
      </c>
      <c r="J2843">
        <v>17614712</v>
      </c>
      <c r="P2843">
        <v>332</v>
      </c>
      <c r="Q2843" t="s">
        <v>6025</v>
      </c>
    </row>
    <row r="2844" spans="1:17" x14ac:dyDescent="0.3">
      <c r="A2844" t="s">
        <v>33</v>
      </c>
      <c r="B2844" t="str">
        <f>"300138"</f>
        <v>300138</v>
      </c>
      <c r="C2844" t="s">
        <v>6026</v>
      </c>
      <c r="D2844" t="s">
        <v>1820</v>
      </c>
      <c r="E2844">
        <v>-28312351</v>
      </c>
      <c r="F2844">
        <v>364115946</v>
      </c>
      <c r="G2844">
        <v>178214909</v>
      </c>
      <c r="H2844">
        <v>65735043</v>
      </c>
      <c r="I2844">
        <v>46890744</v>
      </c>
      <c r="J2844">
        <v>76660524</v>
      </c>
      <c r="K2844">
        <v>108609950</v>
      </c>
      <c r="L2844">
        <v>-263031</v>
      </c>
      <c r="M2844">
        <v>64088140</v>
      </c>
      <c r="N2844">
        <v>-10346993</v>
      </c>
      <c r="O2844">
        <v>-30212090</v>
      </c>
      <c r="P2844">
        <v>264</v>
      </c>
      <c r="Q2844" t="s">
        <v>6027</v>
      </c>
    </row>
    <row r="2845" spans="1:17" x14ac:dyDescent="0.3">
      <c r="A2845" t="s">
        <v>33</v>
      </c>
      <c r="B2845" t="str">
        <f>"000004"</f>
        <v>000004</v>
      </c>
      <c r="C2845" t="s">
        <v>6028</v>
      </c>
      <c r="D2845" t="s">
        <v>1713</v>
      </c>
      <c r="E2845">
        <v>-28414235</v>
      </c>
      <c r="F2845">
        <v>-40256829</v>
      </c>
      <c r="G2845">
        <v>-37942956</v>
      </c>
      <c r="H2845">
        <v>3965951</v>
      </c>
      <c r="I2845">
        <v>8873482</v>
      </c>
      <c r="J2845">
        <v>-9985402</v>
      </c>
      <c r="K2845">
        <v>1146682</v>
      </c>
      <c r="L2845">
        <v>-11837122</v>
      </c>
      <c r="M2845">
        <v>-9981545</v>
      </c>
      <c r="N2845">
        <v>-4719408</v>
      </c>
      <c r="O2845">
        <v>-1131949</v>
      </c>
      <c r="P2845">
        <v>187</v>
      </c>
      <c r="Q2845" t="s">
        <v>6029</v>
      </c>
    </row>
    <row r="2846" spans="1:17" x14ac:dyDescent="0.3">
      <c r="A2846" t="s">
        <v>17</v>
      </c>
      <c r="B2846" t="str">
        <f>"603696"</f>
        <v>603696</v>
      </c>
      <c r="C2846" t="s">
        <v>6030</v>
      </c>
      <c r="D2846" t="s">
        <v>669</v>
      </c>
      <c r="E2846">
        <v>-28422925</v>
      </c>
      <c r="F2846">
        <v>3617786</v>
      </c>
      <c r="G2846">
        <v>-3373469</v>
      </c>
      <c r="H2846">
        <v>-27868173</v>
      </c>
      <c r="I2846">
        <v>-158220885</v>
      </c>
      <c r="J2846">
        <v>-13214823</v>
      </c>
      <c r="K2846">
        <v>-15608649</v>
      </c>
      <c r="L2846">
        <v>6153479</v>
      </c>
      <c r="P2846">
        <v>195</v>
      </c>
      <c r="Q2846" t="s">
        <v>6031</v>
      </c>
    </row>
    <row r="2847" spans="1:17" x14ac:dyDescent="0.3">
      <c r="A2847" t="s">
        <v>33</v>
      </c>
      <c r="B2847" t="str">
        <f>"002496"</f>
        <v>002496</v>
      </c>
      <c r="C2847" t="s">
        <v>6032</v>
      </c>
      <c r="D2847" t="s">
        <v>636</v>
      </c>
      <c r="E2847">
        <v>-28445402</v>
      </c>
      <c r="F2847">
        <v>-4885602</v>
      </c>
      <c r="G2847">
        <v>-13505553</v>
      </c>
      <c r="H2847">
        <v>84002177</v>
      </c>
      <c r="I2847">
        <v>63035050</v>
      </c>
      <c r="J2847">
        <v>34875291</v>
      </c>
      <c r="K2847">
        <v>-2865514</v>
      </c>
      <c r="L2847">
        <v>33336102</v>
      </c>
      <c r="M2847">
        <v>33002211</v>
      </c>
      <c r="N2847">
        <v>43954271</v>
      </c>
      <c r="O2847">
        <v>38380773</v>
      </c>
      <c r="P2847">
        <v>158</v>
      </c>
      <c r="Q2847" t="s">
        <v>6033</v>
      </c>
    </row>
    <row r="2848" spans="1:17" x14ac:dyDescent="0.3">
      <c r="A2848" t="s">
        <v>33</v>
      </c>
      <c r="B2848" t="str">
        <f>"000955"</f>
        <v>000955</v>
      </c>
      <c r="C2848" t="s">
        <v>6034</v>
      </c>
      <c r="D2848" t="s">
        <v>1292</v>
      </c>
      <c r="E2848">
        <v>-28508137</v>
      </c>
      <c r="F2848">
        <v>-49090001</v>
      </c>
      <c r="G2848">
        <v>54775675</v>
      </c>
      <c r="H2848">
        <v>-27687159</v>
      </c>
      <c r="I2848">
        <v>-19540352</v>
      </c>
      <c r="J2848">
        <v>-41847049</v>
      </c>
      <c r="K2848">
        <v>-30627387</v>
      </c>
      <c r="L2848">
        <v>-1850690</v>
      </c>
      <c r="M2848">
        <v>-3023957</v>
      </c>
      <c r="N2848">
        <v>-11515825</v>
      </c>
      <c r="O2848">
        <v>-4230027</v>
      </c>
      <c r="P2848">
        <v>241</v>
      </c>
      <c r="Q2848" t="s">
        <v>6035</v>
      </c>
    </row>
    <row r="2849" spans="1:17" x14ac:dyDescent="0.3">
      <c r="A2849" t="s">
        <v>33</v>
      </c>
      <c r="B2849" t="str">
        <f>"300278"</f>
        <v>300278</v>
      </c>
      <c r="C2849" t="s">
        <v>6036</v>
      </c>
      <c r="D2849" t="s">
        <v>2148</v>
      </c>
      <c r="E2849">
        <v>-28541577</v>
      </c>
      <c r="F2849">
        <v>-127776361</v>
      </c>
      <c r="G2849">
        <v>-14981898</v>
      </c>
      <c r="H2849">
        <v>-45846476</v>
      </c>
      <c r="I2849">
        <v>105244407</v>
      </c>
      <c r="J2849">
        <v>-158593357</v>
      </c>
      <c r="K2849">
        <v>-61170529</v>
      </c>
      <c r="L2849">
        <v>-41501851</v>
      </c>
      <c r="M2849">
        <v>-27923869</v>
      </c>
      <c r="N2849">
        <v>-29009043</v>
      </c>
      <c r="O2849">
        <v>-50466074</v>
      </c>
      <c r="P2849">
        <v>98</v>
      </c>
      <c r="Q2849" t="s">
        <v>6037</v>
      </c>
    </row>
    <row r="2850" spans="1:17" x14ac:dyDescent="0.3">
      <c r="A2850" t="s">
        <v>17</v>
      </c>
      <c r="B2850" t="str">
        <f>"688280"</f>
        <v>688280</v>
      </c>
      <c r="C2850" t="s">
        <v>6038</v>
      </c>
      <c r="D2850" t="s">
        <v>858</v>
      </c>
      <c r="E2850">
        <v>-28594385</v>
      </c>
      <c r="F2850">
        <v>-21374798</v>
      </c>
      <c r="P2850">
        <v>22</v>
      </c>
      <c r="Q2850" t="s">
        <v>6039</v>
      </c>
    </row>
    <row r="2851" spans="1:17" x14ac:dyDescent="0.3">
      <c r="A2851" t="s">
        <v>33</v>
      </c>
      <c r="B2851" t="str">
        <f>"300811"</f>
        <v>300811</v>
      </c>
      <c r="C2851" t="s">
        <v>6040</v>
      </c>
      <c r="D2851" t="s">
        <v>1559</v>
      </c>
      <c r="E2851">
        <v>-28668268</v>
      </c>
      <c r="F2851">
        <v>-25090884</v>
      </c>
      <c r="G2851">
        <v>-1354817</v>
      </c>
      <c r="H2851">
        <v>11929815</v>
      </c>
      <c r="P2851">
        <v>163</v>
      </c>
      <c r="Q2851" t="s">
        <v>6041</v>
      </c>
    </row>
    <row r="2852" spans="1:17" x14ac:dyDescent="0.3">
      <c r="A2852" t="s">
        <v>33</v>
      </c>
      <c r="B2852" t="str">
        <f>"002200"</f>
        <v>002200</v>
      </c>
      <c r="C2852" t="s">
        <v>6042</v>
      </c>
      <c r="D2852" t="s">
        <v>2330</v>
      </c>
      <c r="E2852">
        <v>-28721004</v>
      </c>
      <c r="F2852">
        <v>-21207674</v>
      </c>
      <c r="G2852">
        <v>94143546</v>
      </c>
      <c r="H2852">
        <v>59032758</v>
      </c>
      <c r="I2852">
        <v>-195877173</v>
      </c>
      <c r="J2852">
        <v>13932783</v>
      </c>
      <c r="K2852">
        <v>-189208272</v>
      </c>
      <c r="L2852">
        <v>-36506500</v>
      </c>
      <c r="M2852">
        <v>-41927208</v>
      </c>
      <c r="N2852">
        <v>-48183693</v>
      </c>
      <c r="O2852">
        <v>19982640</v>
      </c>
      <c r="P2852">
        <v>53</v>
      </c>
      <c r="Q2852" t="s">
        <v>6043</v>
      </c>
    </row>
    <row r="2853" spans="1:17" x14ac:dyDescent="0.3">
      <c r="A2853" t="s">
        <v>17</v>
      </c>
      <c r="B2853" t="str">
        <f>"603773"</f>
        <v>603773</v>
      </c>
      <c r="C2853" t="s">
        <v>6044</v>
      </c>
      <c r="D2853" t="s">
        <v>102</v>
      </c>
      <c r="E2853">
        <v>-28737547</v>
      </c>
      <c r="F2853">
        <v>-92212796</v>
      </c>
      <c r="G2853">
        <v>68189912</v>
      </c>
      <c r="H2853">
        <v>52605546</v>
      </c>
      <c r="I2853">
        <v>81828826</v>
      </c>
      <c r="J2853">
        <v>44935626</v>
      </c>
      <c r="P2853">
        <v>141</v>
      </c>
      <c r="Q2853" t="s">
        <v>6045</v>
      </c>
    </row>
    <row r="2854" spans="1:17" x14ac:dyDescent="0.3">
      <c r="A2854" t="s">
        <v>33</v>
      </c>
      <c r="B2854" t="str">
        <f>"300398"</f>
        <v>300398</v>
      </c>
      <c r="C2854" t="s">
        <v>6046</v>
      </c>
      <c r="D2854" t="s">
        <v>1330</v>
      </c>
      <c r="E2854">
        <v>-28932390</v>
      </c>
      <c r="F2854">
        <v>35444173</v>
      </c>
      <c r="G2854">
        <v>-56470065</v>
      </c>
      <c r="H2854">
        <v>-1073280</v>
      </c>
      <c r="I2854">
        <v>101986288</v>
      </c>
      <c r="J2854">
        <v>10624054</v>
      </c>
      <c r="K2854">
        <v>14484337</v>
      </c>
      <c r="L2854">
        <v>19729835</v>
      </c>
      <c r="M2854">
        <v>16474306</v>
      </c>
      <c r="P2854">
        <v>244</v>
      </c>
      <c r="Q2854" t="s">
        <v>6047</v>
      </c>
    </row>
    <row r="2855" spans="1:17" x14ac:dyDescent="0.3">
      <c r="A2855" t="s">
        <v>33</v>
      </c>
      <c r="B2855" t="str">
        <f>"002535"</f>
        <v>002535</v>
      </c>
      <c r="C2855" t="s">
        <v>6048</v>
      </c>
      <c r="D2855" t="s">
        <v>1132</v>
      </c>
      <c r="E2855">
        <v>-28986433</v>
      </c>
      <c r="F2855">
        <v>-81157407</v>
      </c>
      <c r="G2855">
        <v>24665811</v>
      </c>
      <c r="H2855">
        <v>-42962525</v>
      </c>
      <c r="I2855">
        <v>104374986</v>
      </c>
      <c r="J2855">
        <v>174146257</v>
      </c>
      <c r="K2855">
        <v>157805246</v>
      </c>
      <c r="L2855">
        <v>79663122</v>
      </c>
      <c r="M2855">
        <v>108366748</v>
      </c>
      <c r="N2855">
        <v>60453430</v>
      </c>
      <c r="O2855">
        <v>39212235</v>
      </c>
      <c r="P2855">
        <v>89</v>
      </c>
      <c r="Q2855" t="s">
        <v>6049</v>
      </c>
    </row>
    <row r="2856" spans="1:17" x14ac:dyDescent="0.3">
      <c r="A2856" t="s">
        <v>17</v>
      </c>
      <c r="B2856" t="str">
        <f>"688518"</f>
        <v>688518</v>
      </c>
      <c r="C2856" t="s">
        <v>6050</v>
      </c>
      <c r="D2856" t="s">
        <v>3169</v>
      </c>
      <c r="E2856">
        <v>-29003296</v>
      </c>
      <c r="F2856">
        <v>33498621</v>
      </c>
      <c r="G2856">
        <v>-27710189</v>
      </c>
      <c r="H2856">
        <v>-445194</v>
      </c>
      <c r="P2856">
        <v>65</v>
      </c>
      <c r="Q2856" t="s">
        <v>6051</v>
      </c>
    </row>
    <row r="2857" spans="1:17" x14ac:dyDescent="0.3">
      <c r="A2857" t="s">
        <v>33</v>
      </c>
      <c r="B2857" t="str">
        <f>"300926"</f>
        <v>300926</v>
      </c>
      <c r="C2857" t="s">
        <v>6052</v>
      </c>
      <c r="D2857" t="s">
        <v>1419</v>
      </c>
      <c r="E2857">
        <v>-29020228</v>
      </c>
      <c r="F2857">
        <v>37811386</v>
      </c>
      <c r="G2857">
        <v>2497091</v>
      </c>
      <c r="P2857">
        <v>45</v>
      </c>
      <c r="Q2857" t="s">
        <v>6053</v>
      </c>
    </row>
    <row r="2858" spans="1:17" x14ac:dyDescent="0.3">
      <c r="A2858" t="s">
        <v>17</v>
      </c>
      <c r="B2858" t="str">
        <f>"600493"</f>
        <v>600493</v>
      </c>
      <c r="C2858" t="s">
        <v>6054</v>
      </c>
      <c r="D2858" t="s">
        <v>693</v>
      </c>
      <c r="E2858">
        <v>-29039296</v>
      </c>
      <c r="F2858">
        <v>-41847139</v>
      </c>
      <c r="G2858">
        <v>326569</v>
      </c>
      <c r="H2858">
        <v>-152298</v>
      </c>
      <c r="I2858">
        <v>-7579684</v>
      </c>
      <c r="J2858">
        <v>-18730874</v>
      </c>
      <c r="K2858">
        <v>42471729</v>
      </c>
      <c r="L2858">
        <v>28263388</v>
      </c>
      <c r="M2858">
        <v>35820554</v>
      </c>
      <c r="N2858">
        <v>-6283627</v>
      </c>
      <c r="O2858">
        <v>11985165</v>
      </c>
      <c r="P2858">
        <v>80</v>
      </c>
      <c r="Q2858" t="s">
        <v>6055</v>
      </c>
    </row>
    <row r="2859" spans="1:17" x14ac:dyDescent="0.3">
      <c r="A2859" t="s">
        <v>33</v>
      </c>
      <c r="B2859" t="str">
        <f>"300105"</f>
        <v>300105</v>
      </c>
      <c r="C2859" t="s">
        <v>6056</v>
      </c>
      <c r="D2859" t="s">
        <v>2103</v>
      </c>
      <c r="E2859">
        <v>-29117775</v>
      </c>
      <c r="F2859">
        <v>12122857</v>
      </c>
      <c r="G2859">
        <v>-7540307</v>
      </c>
      <c r="H2859">
        <v>-15113336</v>
      </c>
      <c r="I2859">
        <v>-1873299</v>
      </c>
      <c r="J2859">
        <v>-24097121</v>
      </c>
      <c r="K2859">
        <v>25373033</v>
      </c>
      <c r="L2859">
        <v>-45186586</v>
      </c>
      <c r="M2859">
        <v>-132805396</v>
      </c>
      <c r="N2859">
        <v>-131969868</v>
      </c>
      <c r="O2859">
        <v>-32368561</v>
      </c>
      <c r="P2859">
        <v>56</v>
      </c>
      <c r="Q2859" t="s">
        <v>6057</v>
      </c>
    </row>
    <row r="2860" spans="1:17" x14ac:dyDescent="0.3">
      <c r="A2860" t="s">
        <v>33</v>
      </c>
      <c r="B2860" t="str">
        <f>"301159"</f>
        <v>301159</v>
      </c>
      <c r="C2860" t="s">
        <v>6058</v>
      </c>
      <c r="D2860" t="s">
        <v>807</v>
      </c>
      <c r="E2860">
        <v>-29145973</v>
      </c>
      <c r="G2860">
        <v>-28634995</v>
      </c>
      <c r="P2860">
        <v>10</v>
      </c>
      <c r="Q2860" t="s">
        <v>6059</v>
      </c>
    </row>
    <row r="2861" spans="1:17" x14ac:dyDescent="0.3">
      <c r="A2861" t="s">
        <v>33</v>
      </c>
      <c r="B2861" t="str">
        <f>"002975"</f>
        <v>002975</v>
      </c>
      <c r="C2861" t="s">
        <v>6060</v>
      </c>
      <c r="D2861" t="s">
        <v>2148</v>
      </c>
      <c r="E2861">
        <v>-29237888</v>
      </c>
      <c r="F2861">
        <v>5529523</v>
      </c>
      <c r="G2861">
        <v>3984270</v>
      </c>
      <c r="H2861">
        <v>41676623</v>
      </c>
      <c r="P2861">
        <v>293</v>
      </c>
      <c r="Q2861" t="s">
        <v>6061</v>
      </c>
    </row>
    <row r="2862" spans="1:17" x14ac:dyDescent="0.3">
      <c r="A2862" t="s">
        <v>17</v>
      </c>
      <c r="B2862" t="str">
        <f>"603610"</f>
        <v>603610</v>
      </c>
      <c r="C2862" t="s">
        <v>6062</v>
      </c>
      <c r="D2862" t="s">
        <v>664</v>
      </c>
      <c r="E2862">
        <v>-29240419</v>
      </c>
      <c r="F2862">
        <v>29291863</v>
      </c>
      <c r="G2862">
        <v>7183345</v>
      </c>
      <c r="H2862">
        <v>16750208</v>
      </c>
      <c r="P2862">
        <v>230</v>
      </c>
      <c r="Q2862" t="s">
        <v>6063</v>
      </c>
    </row>
    <row r="2863" spans="1:17" x14ac:dyDescent="0.3">
      <c r="A2863" t="s">
        <v>33</v>
      </c>
      <c r="B2863" t="str">
        <f>"002035"</f>
        <v>002035</v>
      </c>
      <c r="C2863" t="s">
        <v>6064</v>
      </c>
      <c r="D2863" t="s">
        <v>1852</v>
      </c>
      <c r="E2863">
        <v>-29293215</v>
      </c>
      <c r="F2863">
        <v>-54008115</v>
      </c>
      <c r="G2863">
        <v>-241452208</v>
      </c>
      <c r="H2863">
        <v>192346270</v>
      </c>
      <c r="I2863">
        <v>102176695</v>
      </c>
      <c r="J2863">
        <v>-78282522</v>
      </c>
      <c r="K2863">
        <v>-13990775</v>
      </c>
      <c r="L2863">
        <v>-43041137</v>
      </c>
      <c r="M2863">
        <v>-113456185</v>
      </c>
      <c r="N2863">
        <v>-67578876</v>
      </c>
      <c r="O2863">
        <v>-45596888</v>
      </c>
      <c r="P2863">
        <v>1344</v>
      </c>
      <c r="Q2863" t="s">
        <v>6065</v>
      </c>
    </row>
    <row r="2864" spans="1:17" x14ac:dyDescent="0.3">
      <c r="A2864" t="s">
        <v>33</v>
      </c>
      <c r="B2864" t="str">
        <f>"300698"</f>
        <v>300698</v>
      </c>
      <c r="C2864" t="s">
        <v>6066</v>
      </c>
      <c r="D2864" t="s">
        <v>461</v>
      </c>
      <c r="E2864">
        <v>-29322669</v>
      </c>
      <c r="F2864">
        <v>-51490342</v>
      </c>
      <c r="G2864">
        <v>-48179717</v>
      </c>
      <c r="H2864">
        <v>-8709474</v>
      </c>
      <c r="I2864">
        <v>-26191209</v>
      </c>
      <c r="J2864">
        <v>-21692136</v>
      </c>
      <c r="P2864">
        <v>121</v>
      </c>
      <c r="Q2864" t="s">
        <v>6067</v>
      </c>
    </row>
    <row r="2865" spans="1:17" x14ac:dyDescent="0.3">
      <c r="A2865" t="s">
        <v>33</v>
      </c>
      <c r="B2865" t="str">
        <f>"002531"</f>
        <v>002531</v>
      </c>
      <c r="C2865" t="s">
        <v>6068</v>
      </c>
      <c r="D2865" t="s">
        <v>1437</v>
      </c>
      <c r="E2865">
        <v>-29360209</v>
      </c>
      <c r="F2865">
        <v>226071995</v>
      </c>
      <c r="G2865">
        <v>-473577761</v>
      </c>
      <c r="H2865">
        <v>-188973671</v>
      </c>
      <c r="I2865">
        <v>-274788397</v>
      </c>
      <c r="J2865">
        <v>-135002609</v>
      </c>
      <c r="K2865">
        <v>19284544</v>
      </c>
      <c r="L2865">
        <v>46841619</v>
      </c>
      <c r="M2865">
        <v>-25355792</v>
      </c>
      <c r="N2865">
        <v>-2451190</v>
      </c>
      <c r="O2865">
        <v>148331068</v>
      </c>
      <c r="P2865">
        <v>599</v>
      </c>
      <c r="Q2865" t="s">
        <v>6069</v>
      </c>
    </row>
    <row r="2866" spans="1:17" x14ac:dyDescent="0.3">
      <c r="A2866" t="s">
        <v>33</v>
      </c>
      <c r="B2866" t="str">
        <f>"002861"</f>
        <v>002861</v>
      </c>
      <c r="C2866" t="s">
        <v>6070</v>
      </c>
      <c r="D2866" t="s">
        <v>226</v>
      </c>
      <c r="E2866">
        <v>-29393931</v>
      </c>
      <c r="F2866">
        <v>93331310</v>
      </c>
      <c r="G2866">
        <v>36456494</v>
      </c>
      <c r="H2866">
        <v>32125503</v>
      </c>
      <c r="I2866">
        <v>2391482</v>
      </c>
      <c r="J2866">
        <v>14092632</v>
      </c>
      <c r="K2866">
        <v>74757124</v>
      </c>
      <c r="P2866">
        <v>155</v>
      </c>
      <c r="Q2866" t="s">
        <v>6071</v>
      </c>
    </row>
    <row r="2867" spans="1:17" x14ac:dyDescent="0.3">
      <c r="A2867" t="s">
        <v>33</v>
      </c>
      <c r="B2867" t="str">
        <f>"300318"</f>
        <v>300318</v>
      </c>
      <c r="C2867" t="s">
        <v>6072</v>
      </c>
      <c r="D2867" t="s">
        <v>221</v>
      </c>
      <c r="E2867">
        <v>-29404293</v>
      </c>
      <c r="F2867">
        <v>-12313915</v>
      </c>
      <c r="G2867">
        <v>21810011</v>
      </c>
      <c r="H2867">
        <v>-46907436</v>
      </c>
      <c r="I2867">
        <v>-36828618</v>
      </c>
      <c r="J2867">
        <v>-35235722</v>
      </c>
      <c r="K2867">
        <v>-45682847</v>
      </c>
      <c r="L2867">
        <v>-2463510</v>
      </c>
      <c r="M2867">
        <v>1628340</v>
      </c>
      <c r="N2867">
        <v>-625073</v>
      </c>
      <c r="O2867">
        <v>2565042</v>
      </c>
      <c r="P2867">
        <v>144</v>
      </c>
      <c r="Q2867" t="s">
        <v>6073</v>
      </c>
    </row>
    <row r="2868" spans="1:17" x14ac:dyDescent="0.3">
      <c r="A2868" t="s">
        <v>33</v>
      </c>
      <c r="B2868" t="str">
        <f>"300067"</f>
        <v>300067</v>
      </c>
      <c r="C2868" t="s">
        <v>6074</v>
      </c>
      <c r="D2868" t="s">
        <v>735</v>
      </c>
      <c r="E2868">
        <v>-29410013</v>
      </c>
      <c r="F2868">
        <v>16765879</v>
      </c>
      <c r="G2868">
        <v>-18277190</v>
      </c>
      <c r="H2868">
        <v>16307614</v>
      </c>
      <c r="I2868">
        <v>-73708422</v>
      </c>
      <c r="J2868">
        <v>-506946</v>
      </c>
      <c r="K2868">
        <v>61165899</v>
      </c>
      <c r="L2868">
        <v>-6459030</v>
      </c>
      <c r="M2868">
        <v>-15246928</v>
      </c>
      <c r="N2868">
        <v>-1379912</v>
      </c>
      <c r="O2868">
        <v>-5957060</v>
      </c>
      <c r="P2868">
        <v>100</v>
      </c>
      <c r="Q2868" t="s">
        <v>6075</v>
      </c>
    </row>
    <row r="2869" spans="1:17" x14ac:dyDescent="0.3">
      <c r="A2869" t="s">
        <v>17</v>
      </c>
      <c r="B2869" t="str">
        <f>"688238"</f>
        <v>688238</v>
      </c>
      <c r="C2869" t="s">
        <v>6076</v>
      </c>
      <c r="E2869">
        <v>-29414344</v>
      </c>
      <c r="P2869">
        <v>7</v>
      </c>
      <c r="Q2869" t="s">
        <v>6077</v>
      </c>
    </row>
    <row r="2870" spans="1:17" x14ac:dyDescent="0.3">
      <c r="A2870" t="s">
        <v>33</v>
      </c>
      <c r="B2870" t="str">
        <f>"300396"</f>
        <v>300396</v>
      </c>
      <c r="C2870" t="s">
        <v>6078</v>
      </c>
      <c r="D2870" t="s">
        <v>221</v>
      </c>
      <c r="E2870">
        <v>-29426149</v>
      </c>
      <c r="F2870">
        <v>17958784</v>
      </c>
      <c r="G2870">
        <v>40868721</v>
      </c>
      <c r="H2870">
        <v>66972238</v>
      </c>
      <c r="I2870">
        <v>40185787</v>
      </c>
      <c r="J2870">
        <v>30946657</v>
      </c>
      <c r="K2870">
        <v>36207577</v>
      </c>
      <c r="L2870">
        <v>12364669</v>
      </c>
      <c r="M2870">
        <v>-8850698</v>
      </c>
      <c r="P2870">
        <v>360</v>
      </c>
      <c r="Q2870" t="s">
        <v>6079</v>
      </c>
    </row>
    <row r="2871" spans="1:17" x14ac:dyDescent="0.3">
      <c r="A2871" t="s">
        <v>33</v>
      </c>
      <c r="B2871" t="str">
        <f>"300945"</f>
        <v>300945</v>
      </c>
      <c r="C2871" t="s">
        <v>6080</v>
      </c>
      <c r="D2871" t="s">
        <v>161</v>
      </c>
      <c r="E2871">
        <v>-29432036</v>
      </c>
      <c r="F2871">
        <v>-99996779</v>
      </c>
      <c r="P2871">
        <v>36</v>
      </c>
      <c r="Q2871" t="s">
        <v>6081</v>
      </c>
    </row>
    <row r="2872" spans="1:17" x14ac:dyDescent="0.3">
      <c r="A2872" t="s">
        <v>17</v>
      </c>
      <c r="B2872" t="str">
        <f>"603683"</f>
        <v>603683</v>
      </c>
      <c r="C2872" t="s">
        <v>6082</v>
      </c>
      <c r="D2872" t="s">
        <v>3093</v>
      </c>
      <c r="E2872">
        <v>-29544361</v>
      </c>
      <c r="F2872">
        <v>-4140239</v>
      </c>
      <c r="G2872">
        <v>-51488610</v>
      </c>
      <c r="H2872">
        <v>-2208536</v>
      </c>
      <c r="I2872">
        <v>-21548156</v>
      </c>
      <c r="J2872">
        <v>-13838298</v>
      </c>
      <c r="P2872">
        <v>58</v>
      </c>
      <c r="Q2872" t="s">
        <v>6083</v>
      </c>
    </row>
    <row r="2873" spans="1:17" x14ac:dyDescent="0.3">
      <c r="A2873" t="s">
        <v>33</v>
      </c>
      <c r="B2873" t="str">
        <f>"301012"</f>
        <v>301012</v>
      </c>
      <c r="C2873" t="s">
        <v>6084</v>
      </c>
      <c r="D2873" t="s">
        <v>298</v>
      </c>
      <c r="E2873">
        <v>-29555968</v>
      </c>
      <c r="F2873">
        <v>-25366297</v>
      </c>
      <c r="G2873">
        <v>570911</v>
      </c>
      <c r="P2873">
        <v>23</v>
      </c>
      <c r="Q2873" t="s">
        <v>6085</v>
      </c>
    </row>
    <row r="2874" spans="1:17" x14ac:dyDescent="0.3">
      <c r="A2874" t="s">
        <v>33</v>
      </c>
      <c r="B2874" t="str">
        <f>"300276"</f>
        <v>300276</v>
      </c>
      <c r="C2874" t="s">
        <v>6086</v>
      </c>
      <c r="D2874" t="s">
        <v>1142</v>
      </c>
      <c r="E2874">
        <v>-29556769</v>
      </c>
      <c r="F2874">
        <v>-56044620</v>
      </c>
      <c r="G2874">
        <v>-48980521</v>
      </c>
      <c r="H2874">
        <v>-123406144</v>
      </c>
      <c r="I2874">
        <v>70502579</v>
      </c>
      <c r="J2874">
        <v>-3026818</v>
      </c>
      <c r="K2874">
        <v>-3918410</v>
      </c>
      <c r="L2874">
        <v>-23374951</v>
      </c>
      <c r="M2874">
        <v>-13622898</v>
      </c>
      <c r="N2874">
        <v>-16733572</v>
      </c>
      <c r="O2874">
        <v>-4374787</v>
      </c>
      <c r="P2874">
        <v>138</v>
      </c>
      <c r="Q2874" t="s">
        <v>6087</v>
      </c>
    </row>
    <row r="2875" spans="1:17" x14ac:dyDescent="0.3">
      <c r="A2875" t="s">
        <v>17</v>
      </c>
      <c r="B2875" t="str">
        <f>"688166"</f>
        <v>688166</v>
      </c>
      <c r="C2875" t="s">
        <v>6088</v>
      </c>
      <c r="D2875" t="s">
        <v>590</v>
      </c>
      <c r="E2875">
        <v>-29648247</v>
      </c>
      <c r="F2875">
        <v>3458038</v>
      </c>
      <c r="G2875">
        <v>-4640677</v>
      </c>
      <c r="H2875">
        <v>-13659972</v>
      </c>
      <c r="P2875">
        <v>190</v>
      </c>
      <c r="Q2875" t="s">
        <v>6089</v>
      </c>
    </row>
    <row r="2876" spans="1:17" x14ac:dyDescent="0.3">
      <c r="A2876" t="s">
        <v>33</v>
      </c>
      <c r="B2876" t="str">
        <f>"002937"</f>
        <v>002937</v>
      </c>
      <c r="C2876" t="s">
        <v>6090</v>
      </c>
      <c r="D2876" t="s">
        <v>226</v>
      </c>
      <c r="E2876">
        <v>-29659153</v>
      </c>
      <c r="F2876">
        <v>18428182</v>
      </c>
      <c r="G2876">
        <v>-15359650</v>
      </c>
      <c r="H2876">
        <v>100947397</v>
      </c>
      <c r="I2876">
        <v>4218190</v>
      </c>
      <c r="P2876">
        <v>209</v>
      </c>
      <c r="Q2876" t="s">
        <v>6091</v>
      </c>
    </row>
    <row r="2877" spans="1:17" x14ac:dyDescent="0.3">
      <c r="A2877" t="s">
        <v>33</v>
      </c>
      <c r="B2877" t="str">
        <f>"000822"</f>
        <v>000822</v>
      </c>
      <c r="C2877" t="s">
        <v>6092</v>
      </c>
      <c r="D2877" t="s">
        <v>672</v>
      </c>
      <c r="E2877">
        <v>-29709269</v>
      </c>
      <c r="F2877">
        <v>115889320</v>
      </c>
      <c r="G2877">
        <v>-70042081</v>
      </c>
      <c r="H2877">
        <v>337639714</v>
      </c>
      <c r="I2877">
        <v>61871779</v>
      </c>
      <c r="J2877">
        <v>-9645012</v>
      </c>
      <c r="K2877">
        <v>-61068307</v>
      </c>
      <c r="L2877">
        <v>-58330039</v>
      </c>
      <c r="M2877">
        <v>76920697</v>
      </c>
      <c r="N2877">
        <v>-54420260</v>
      </c>
      <c r="O2877">
        <v>125988605</v>
      </c>
      <c r="P2877">
        <v>211</v>
      </c>
      <c r="Q2877" t="s">
        <v>6093</v>
      </c>
    </row>
    <row r="2878" spans="1:17" x14ac:dyDescent="0.3">
      <c r="A2878" t="s">
        <v>33</v>
      </c>
      <c r="B2878" t="str">
        <f>"000595"</f>
        <v>000595</v>
      </c>
      <c r="C2878" t="s">
        <v>6094</v>
      </c>
      <c r="D2878" t="s">
        <v>164</v>
      </c>
      <c r="E2878">
        <v>-29793406</v>
      </c>
      <c r="F2878">
        <v>-32548779</v>
      </c>
      <c r="G2878">
        <v>-4085607</v>
      </c>
      <c r="H2878">
        <v>-4636118</v>
      </c>
      <c r="I2878">
        <v>-38783540</v>
      </c>
      <c r="J2878">
        <v>4713316</v>
      </c>
      <c r="K2878">
        <v>2660890</v>
      </c>
      <c r="L2878">
        <v>-55129000</v>
      </c>
      <c r="M2878">
        <v>-35280653</v>
      </c>
      <c r="N2878">
        <v>172318</v>
      </c>
      <c r="O2878">
        <v>21957338</v>
      </c>
      <c r="P2878">
        <v>98</v>
      </c>
      <c r="Q2878" t="s">
        <v>6095</v>
      </c>
    </row>
    <row r="2879" spans="1:17" x14ac:dyDescent="0.3">
      <c r="A2879" t="s">
        <v>17</v>
      </c>
      <c r="B2879" t="str">
        <f>"688207"</f>
        <v>688207</v>
      </c>
      <c r="C2879" t="s">
        <v>6096</v>
      </c>
      <c r="E2879">
        <v>-29828092</v>
      </c>
      <c r="P2879">
        <v>7</v>
      </c>
      <c r="Q2879" t="s">
        <v>6097</v>
      </c>
    </row>
    <row r="2880" spans="1:17" x14ac:dyDescent="0.3">
      <c r="A2880" t="s">
        <v>17</v>
      </c>
      <c r="B2880" t="str">
        <f>"688398"</f>
        <v>688398</v>
      </c>
      <c r="C2880" t="s">
        <v>6098</v>
      </c>
      <c r="D2880" t="s">
        <v>418</v>
      </c>
      <c r="E2880">
        <v>-29851310</v>
      </c>
      <c r="F2880">
        <v>12734126</v>
      </c>
      <c r="G2880">
        <v>11060800</v>
      </c>
      <c r="H2880">
        <v>5436354</v>
      </c>
      <c r="P2880">
        <v>81</v>
      </c>
      <c r="Q2880" t="s">
        <v>6099</v>
      </c>
    </row>
    <row r="2881" spans="1:17" x14ac:dyDescent="0.3">
      <c r="A2881" t="s">
        <v>33</v>
      </c>
      <c r="B2881" t="str">
        <f>"300668"</f>
        <v>300668</v>
      </c>
      <c r="C2881" t="s">
        <v>6100</v>
      </c>
      <c r="D2881" t="s">
        <v>4300</v>
      </c>
      <c r="E2881">
        <v>-29923678</v>
      </c>
      <c r="F2881">
        <v>-22027558</v>
      </c>
      <c r="G2881">
        <v>-11294109</v>
      </c>
      <c r="H2881">
        <v>4991588</v>
      </c>
      <c r="I2881">
        <v>-7021856</v>
      </c>
      <c r="J2881">
        <v>-16875733</v>
      </c>
      <c r="K2881">
        <v>-15213881</v>
      </c>
      <c r="P2881">
        <v>207</v>
      </c>
      <c r="Q2881" t="s">
        <v>6101</v>
      </c>
    </row>
    <row r="2882" spans="1:17" x14ac:dyDescent="0.3">
      <c r="A2882" t="s">
        <v>33</v>
      </c>
      <c r="B2882" t="str">
        <f>"300648"</f>
        <v>300648</v>
      </c>
      <c r="C2882" t="s">
        <v>6102</v>
      </c>
      <c r="D2882" t="s">
        <v>1549</v>
      </c>
      <c r="E2882">
        <v>-29933758</v>
      </c>
      <c r="F2882">
        <v>-30403059</v>
      </c>
      <c r="G2882">
        <v>-41003021</v>
      </c>
      <c r="H2882">
        <v>-11706771</v>
      </c>
      <c r="I2882">
        <v>-28601023</v>
      </c>
      <c r="J2882">
        <v>-17434008</v>
      </c>
      <c r="K2882">
        <v>-2783237</v>
      </c>
      <c r="P2882">
        <v>266</v>
      </c>
      <c r="Q2882" t="s">
        <v>6103</v>
      </c>
    </row>
    <row r="2883" spans="1:17" x14ac:dyDescent="0.3">
      <c r="A2883" t="s">
        <v>17</v>
      </c>
      <c r="B2883" t="str">
        <f>"688272"</f>
        <v>688272</v>
      </c>
      <c r="C2883" t="s">
        <v>6104</v>
      </c>
      <c r="D2883" t="s">
        <v>617</v>
      </c>
      <c r="E2883">
        <v>-29936972</v>
      </c>
      <c r="P2883">
        <v>11</v>
      </c>
      <c r="Q2883" t="s">
        <v>6105</v>
      </c>
    </row>
    <row r="2884" spans="1:17" x14ac:dyDescent="0.3">
      <c r="A2884" t="s">
        <v>33</v>
      </c>
      <c r="B2884" t="str">
        <f>"000416"</f>
        <v>000416</v>
      </c>
      <c r="C2884" t="s">
        <v>6106</v>
      </c>
      <c r="D2884" t="s">
        <v>114</v>
      </c>
      <c r="E2884">
        <v>-29957792</v>
      </c>
      <c r="F2884">
        <v>-18391292</v>
      </c>
      <c r="G2884">
        <v>33425423</v>
      </c>
      <c r="H2884">
        <v>-33379802</v>
      </c>
      <c r="I2884">
        <v>-84400431</v>
      </c>
      <c r="J2884">
        <v>-61259788</v>
      </c>
      <c r="K2884">
        <v>-56689353</v>
      </c>
      <c r="L2884">
        <v>-48806195</v>
      </c>
      <c r="M2884">
        <v>-16218523</v>
      </c>
      <c r="N2884">
        <v>-6922038</v>
      </c>
      <c r="O2884">
        <v>-1755973</v>
      </c>
      <c r="P2884">
        <v>119</v>
      </c>
      <c r="Q2884" t="s">
        <v>6107</v>
      </c>
    </row>
    <row r="2885" spans="1:17" x14ac:dyDescent="0.3">
      <c r="A2885" t="s">
        <v>17</v>
      </c>
      <c r="B2885" t="str">
        <f>"601222"</f>
        <v>601222</v>
      </c>
      <c r="C2885" t="s">
        <v>6108</v>
      </c>
      <c r="D2885" t="s">
        <v>1007</v>
      </c>
      <c r="E2885">
        <v>-29970585</v>
      </c>
      <c r="F2885">
        <v>-198675551</v>
      </c>
      <c r="G2885">
        <v>-38015063</v>
      </c>
      <c r="H2885">
        <v>39141184</v>
      </c>
      <c r="I2885">
        <v>90637451</v>
      </c>
      <c r="J2885">
        <v>94311811</v>
      </c>
      <c r="K2885">
        <v>-336454571</v>
      </c>
      <c r="L2885">
        <v>-141164500</v>
      </c>
      <c r="M2885">
        <v>-37452771</v>
      </c>
      <c r="N2885">
        <v>-170201531</v>
      </c>
      <c r="O2885">
        <v>-144234387</v>
      </c>
      <c r="P2885">
        <v>556</v>
      </c>
      <c r="Q2885" t="s">
        <v>6109</v>
      </c>
    </row>
    <row r="2886" spans="1:17" x14ac:dyDescent="0.3">
      <c r="A2886" t="s">
        <v>17</v>
      </c>
      <c r="B2886" t="str">
        <f>"688659"</f>
        <v>688659</v>
      </c>
      <c r="C2886" t="s">
        <v>6110</v>
      </c>
      <c r="D2886" t="s">
        <v>418</v>
      </c>
      <c r="E2886">
        <v>-30145210</v>
      </c>
      <c r="F2886">
        <v>17321901</v>
      </c>
      <c r="G2886">
        <v>7069354</v>
      </c>
      <c r="P2886">
        <v>40</v>
      </c>
      <c r="Q2886" t="s">
        <v>6111</v>
      </c>
    </row>
    <row r="2887" spans="1:17" x14ac:dyDescent="0.3">
      <c r="A2887" t="s">
        <v>33</v>
      </c>
      <c r="B2887" t="str">
        <f>"001207"</f>
        <v>001207</v>
      </c>
      <c r="C2887" t="s">
        <v>6112</v>
      </c>
      <c r="D2887" t="s">
        <v>2082</v>
      </c>
      <c r="E2887">
        <v>-30149864</v>
      </c>
      <c r="F2887">
        <v>-18189944</v>
      </c>
      <c r="G2887">
        <v>-11453620</v>
      </c>
      <c r="P2887">
        <v>25</v>
      </c>
      <c r="Q2887" t="s">
        <v>6113</v>
      </c>
    </row>
    <row r="2888" spans="1:17" x14ac:dyDescent="0.3">
      <c r="A2888" t="s">
        <v>33</v>
      </c>
      <c r="B2888" t="str">
        <f>"002424"</f>
        <v>002424</v>
      </c>
      <c r="C2888" t="s">
        <v>6114</v>
      </c>
      <c r="D2888" t="s">
        <v>533</v>
      </c>
      <c r="E2888">
        <v>-30159282</v>
      </c>
      <c r="F2888">
        <v>-13054229</v>
      </c>
      <c r="G2888">
        <v>-51759676</v>
      </c>
      <c r="H2888">
        <v>-94216042</v>
      </c>
      <c r="I2888">
        <v>-373572071</v>
      </c>
      <c r="J2888">
        <v>-188697359</v>
      </c>
      <c r="K2888">
        <v>-133249647</v>
      </c>
      <c r="L2888">
        <v>-52489941</v>
      </c>
      <c r="M2888">
        <v>38520852</v>
      </c>
      <c r="N2888">
        <v>-32188509</v>
      </c>
      <c r="O2888">
        <v>-118771185</v>
      </c>
      <c r="P2888">
        <v>472</v>
      </c>
      <c r="Q2888" t="s">
        <v>6115</v>
      </c>
    </row>
    <row r="2889" spans="1:17" x14ac:dyDescent="0.3">
      <c r="A2889" t="s">
        <v>33</v>
      </c>
      <c r="B2889" t="str">
        <f>"300499"</f>
        <v>300499</v>
      </c>
      <c r="C2889" t="s">
        <v>6116</v>
      </c>
      <c r="D2889" t="s">
        <v>1895</v>
      </c>
      <c r="E2889">
        <v>-30249822</v>
      </c>
      <c r="F2889">
        <v>-125557172</v>
      </c>
      <c r="G2889">
        <v>-71466398</v>
      </c>
      <c r="H2889">
        <v>-16032449</v>
      </c>
      <c r="I2889">
        <v>-25610813</v>
      </c>
      <c r="J2889">
        <v>-34771639</v>
      </c>
      <c r="K2889">
        <v>-50803648</v>
      </c>
      <c r="L2889">
        <v>-65753151</v>
      </c>
      <c r="P2889">
        <v>135</v>
      </c>
      <c r="Q2889" t="s">
        <v>6117</v>
      </c>
    </row>
    <row r="2890" spans="1:17" x14ac:dyDescent="0.3">
      <c r="A2890" t="s">
        <v>33</v>
      </c>
      <c r="B2890" t="str">
        <f>"301138"</f>
        <v>301138</v>
      </c>
      <c r="C2890" t="s">
        <v>6118</v>
      </c>
      <c r="D2890" t="s">
        <v>1895</v>
      </c>
      <c r="E2890">
        <v>-30389377</v>
      </c>
      <c r="P2890">
        <v>16</v>
      </c>
      <c r="Q2890" t="s">
        <v>6119</v>
      </c>
    </row>
    <row r="2891" spans="1:17" x14ac:dyDescent="0.3">
      <c r="A2891" t="s">
        <v>33</v>
      </c>
      <c r="B2891" t="str">
        <f>"301151"</f>
        <v>301151</v>
      </c>
      <c r="C2891" t="s">
        <v>6120</v>
      </c>
      <c r="E2891">
        <v>-30447426</v>
      </c>
      <c r="P2891">
        <v>5</v>
      </c>
      <c r="Q2891" t="s">
        <v>6121</v>
      </c>
    </row>
    <row r="2892" spans="1:17" x14ac:dyDescent="0.3">
      <c r="A2892" t="s">
        <v>33</v>
      </c>
      <c r="B2892" t="str">
        <f>"200992"</f>
        <v>200992</v>
      </c>
      <c r="C2892" t="s">
        <v>6122</v>
      </c>
      <c r="E2892">
        <v>-30506368.02</v>
      </c>
      <c r="F2892">
        <v>-43509579.917999998</v>
      </c>
      <c r="G2892">
        <v>-21233488.524599999</v>
      </c>
      <c r="H2892">
        <v>9476550.4041000009</v>
      </c>
      <c r="I2892">
        <v>-7881134.9435000001</v>
      </c>
      <c r="J2892">
        <v>-23834398.328000002</v>
      </c>
      <c r="K2892">
        <v>22337431.0966</v>
      </c>
      <c r="L2892">
        <v>-24361465</v>
      </c>
      <c r="M2892">
        <v>2688272.1016000002</v>
      </c>
      <c r="N2892">
        <v>5911526.5044</v>
      </c>
      <c r="O2892">
        <v>22864391.964000002</v>
      </c>
      <c r="P2892">
        <v>22</v>
      </c>
      <c r="Q2892" t="s">
        <v>6123</v>
      </c>
    </row>
    <row r="2893" spans="1:17" x14ac:dyDescent="0.3">
      <c r="A2893" t="s">
        <v>17</v>
      </c>
      <c r="B2893" t="str">
        <f>"688212"</f>
        <v>688212</v>
      </c>
      <c r="C2893" t="s">
        <v>6124</v>
      </c>
      <c r="D2893" t="s">
        <v>111</v>
      </c>
      <c r="E2893">
        <v>-30663208</v>
      </c>
      <c r="P2893">
        <v>31</v>
      </c>
      <c r="Q2893" t="s">
        <v>6125</v>
      </c>
    </row>
    <row r="2894" spans="1:17" x14ac:dyDescent="0.3">
      <c r="A2894" t="s">
        <v>33</v>
      </c>
      <c r="B2894" t="str">
        <f>"301022"</f>
        <v>301022</v>
      </c>
      <c r="C2894" t="s">
        <v>6126</v>
      </c>
      <c r="D2894" t="s">
        <v>1419</v>
      </c>
      <c r="E2894">
        <v>-30690906</v>
      </c>
      <c r="F2894">
        <v>13552634</v>
      </c>
      <c r="G2894">
        <v>-15977698</v>
      </c>
      <c r="P2894">
        <v>24</v>
      </c>
      <c r="Q2894" t="s">
        <v>6127</v>
      </c>
    </row>
    <row r="2895" spans="1:17" x14ac:dyDescent="0.3">
      <c r="A2895" t="s">
        <v>33</v>
      </c>
      <c r="B2895" t="str">
        <f>"002630"</f>
        <v>002630</v>
      </c>
      <c r="C2895" t="s">
        <v>6128</v>
      </c>
      <c r="D2895" t="s">
        <v>2103</v>
      </c>
      <c r="E2895">
        <v>-30713758</v>
      </c>
      <c r="F2895">
        <v>45695345</v>
      </c>
      <c r="G2895">
        <v>122264220</v>
      </c>
      <c r="H2895">
        <v>122264220</v>
      </c>
      <c r="I2895">
        <v>-326691256</v>
      </c>
      <c r="J2895">
        <v>-690316431</v>
      </c>
      <c r="K2895">
        <v>-12513986</v>
      </c>
      <c r="L2895">
        <v>132878725</v>
      </c>
      <c r="M2895">
        <v>-76808438</v>
      </c>
      <c r="N2895">
        <v>-299293101</v>
      </c>
      <c r="O2895">
        <v>-368994888</v>
      </c>
      <c r="P2895">
        <v>109</v>
      </c>
      <c r="Q2895" t="s">
        <v>6129</v>
      </c>
    </row>
    <row r="2896" spans="1:17" x14ac:dyDescent="0.3">
      <c r="A2896" t="s">
        <v>33</v>
      </c>
      <c r="B2896" t="str">
        <f>"300618"</f>
        <v>300618</v>
      </c>
      <c r="C2896" t="s">
        <v>6130</v>
      </c>
      <c r="D2896" t="s">
        <v>391</v>
      </c>
      <c r="E2896">
        <v>-30722389</v>
      </c>
      <c r="F2896">
        <v>-131417086</v>
      </c>
      <c r="G2896">
        <v>147914447</v>
      </c>
      <c r="H2896">
        <v>297745562</v>
      </c>
      <c r="I2896">
        <v>39818152</v>
      </c>
      <c r="J2896">
        <v>-10040990</v>
      </c>
      <c r="K2896">
        <v>-41912259</v>
      </c>
      <c r="P2896">
        <v>574</v>
      </c>
      <c r="Q2896" t="s">
        <v>6131</v>
      </c>
    </row>
    <row r="2897" spans="1:17" x14ac:dyDescent="0.3">
      <c r="A2897" t="s">
        <v>33</v>
      </c>
      <c r="B2897" t="str">
        <f>"002380"</f>
        <v>002380</v>
      </c>
      <c r="C2897" t="s">
        <v>6132</v>
      </c>
      <c r="D2897" t="s">
        <v>508</v>
      </c>
      <c r="E2897">
        <v>-30791773</v>
      </c>
      <c r="F2897">
        <v>-24901757</v>
      </c>
      <c r="G2897">
        <v>-20610931</v>
      </c>
      <c r="H2897">
        <v>-14850265</v>
      </c>
      <c r="I2897">
        <v>-13021586</v>
      </c>
      <c r="J2897">
        <v>-7609237</v>
      </c>
      <c r="K2897">
        <v>-34102923</v>
      </c>
      <c r="L2897">
        <v>-19373175</v>
      </c>
      <c r="M2897">
        <v>-10130193</v>
      </c>
      <c r="N2897">
        <v>-9419136</v>
      </c>
      <c r="O2897">
        <v>8568493</v>
      </c>
      <c r="P2897">
        <v>131</v>
      </c>
      <c r="Q2897" t="s">
        <v>6133</v>
      </c>
    </row>
    <row r="2898" spans="1:17" x14ac:dyDescent="0.3">
      <c r="A2898" t="s">
        <v>33</v>
      </c>
      <c r="B2898" t="str">
        <f>"300946"</f>
        <v>300946</v>
      </c>
      <c r="C2898" t="s">
        <v>6134</v>
      </c>
      <c r="D2898" t="s">
        <v>164</v>
      </c>
      <c r="E2898">
        <v>-31038104</v>
      </c>
      <c r="F2898">
        <v>-24022258</v>
      </c>
      <c r="G2898">
        <v>-22819869</v>
      </c>
      <c r="P2898">
        <v>75</v>
      </c>
      <c r="Q2898" t="s">
        <v>6135</v>
      </c>
    </row>
    <row r="2899" spans="1:17" x14ac:dyDescent="0.3">
      <c r="A2899" t="s">
        <v>33</v>
      </c>
      <c r="B2899" t="str">
        <f>"300612"</f>
        <v>300612</v>
      </c>
      <c r="C2899" t="s">
        <v>6136</v>
      </c>
      <c r="D2899" t="s">
        <v>1125</v>
      </c>
      <c r="E2899">
        <v>-31108924</v>
      </c>
      <c r="F2899">
        <v>-48476515</v>
      </c>
      <c r="G2899">
        <v>12985403</v>
      </c>
      <c r="H2899">
        <v>-14333288</v>
      </c>
      <c r="I2899">
        <v>53069680</v>
      </c>
      <c r="J2899">
        <v>-23962301</v>
      </c>
      <c r="K2899">
        <v>11010746</v>
      </c>
      <c r="P2899">
        <v>84</v>
      </c>
      <c r="Q2899" t="s">
        <v>6137</v>
      </c>
    </row>
    <row r="2900" spans="1:17" x14ac:dyDescent="0.3">
      <c r="A2900" t="s">
        <v>33</v>
      </c>
      <c r="B2900" t="str">
        <f>"002747"</f>
        <v>002747</v>
      </c>
      <c r="C2900" t="s">
        <v>6138</v>
      </c>
      <c r="D2900" t="s">
        <v>1142</v>
      </c>
      <c r="E2900">
        <v>-31156664</v>
      </c>
      <c r="F2900">
        <v>28923178</v>
      </c>
      <c r="G2900">
        <v>-22241289</v>
      </c>
      <c r="H2900">
        <v>13141293</v>
      </c>
      <c r="I2900">
        <v>-134073082</v>
      </c>
      <c r="J2900">
        <v>-50436939</v>
      </c>
      <c r="K2900">
        <v>-17226739</v>
      </c>
      <c r="L2900">
        <v>-5679661</v>
      </c>
      <c r="M2900">
        <v>-11192505</v>
      </c>
      <c r="P2900">
        <v>474</v>
      </c>
      <c r="Q2900" t="s">
        <v>6139</v>
      </c>
    </row>
    <row r="2901" spans="1:17" x14ac:dyDescent="0.3">
      <c r="A2901" t="s">
        <v>33</v>
      </c>
      <c r="B2901" t="str">
        <f>"300644"</f>
        <v>300644</v>
      </c>
      <c r="C2901" t="s">
        <v>6140</v>
      </c>
      <c r="D2901" t="s">
        <v>1556</v>
      </c>
      <c r="E2901">
        <v>-31191423</v>
      </c>
      <c r="F2901">
        <v>-89307692</v>
      </c>
      <c r="G2901">
        <v>13008569</v>
      </c>
      <c r="H2901">
        <v>1582696</v>
      </c>
      <c r="I2901">
        <v>-26806165</v>
      </c>
      <c r="J2901">
        <v>-4632311</v>
      </c>
      <c r="P2901">
        <v>133</v>
      </c>
      <c r="Q2901" t="s">
        <v>6141</v>
      </c>
    </row>
    <row r="2902" spans="1:17" x14ac:dyDescent="0.3">
      <c r="A2902" t="s">
        <v>33</v>
      </c>
      <c r="B2902" t="str">
        <f>"300810"</f>
        <v>300810</v>
      </c>
      <c r="C2902" t="s">
        <v>6142</v>
      </c>
      <c r="D2902" t="s">
        <v>248</v>
      </c>
      <c r="E2902">
        <v>-31194277</v>
      </c>
      <c r="F2902">
        <v>-21518325</v>
      </c>
      <c r="G2902">
        <v>-51142706</v>
      </c>
      <c r="H2902">
        <v>-41952558</v>
      </c>
      <c r="P2902">
        <v>57</v>
      </c>
      <c r="Q2902" t="s">
        <v>6143</v>
      </c>
    </row>
    <row r="2903" spans="1:17" x14ac:dyDescent="0.3">
      <c r="A2903" t="s">
        <v>33</v>
      </c>
      <c r="B2903" t="str">
        <f>"300818"</f>
        <v>300818</v>
      </c>
      <c r="C2903" t="s">
        <v>6144</v>
      </c>
      <c r="D2903" t="s">
        <v>1219</v>
      </c>
      <c r="E2903">
        <v>-31217270</v>
      </c>
      <c r="F2903">
        <v>-94766772</v>
      </c>
      <c r="G2903">
        <v>62815679</v>
      </c>
      <c r="H2903">
        <v>2345731</v>
      </c>
      <c r="P2903">
        <v>92</v>
      </c>
      <c r="Q2903" t="s">
        <v>6145</v>
      </c>
    </row>
    <row r="2904" spans="1:17" x14ac:dyDescent="0.3">
      <c r="A2904" t="s">
        <v>33</v>
      </c>
      <c r="B2904" t="str">
        <f>"300298"</f>
        <v>300298</v>
      </c>
      <c r="C2904" t="s">
        <v>6146</v>
      </c>
      <c r="D2904" t="s">
        <v>111</v>
      </c>
      <c r="E2904">
        <v>-31250521</v>
      </c>
      <c r="F2904">
        <v>-26521958</v>
      </c>
      <c r="G2904">
        <v>42784800</v>
      </c>
      <c r="H2904">
        <v>48582210</v>
      </c>
      <c r="I2904">
        <v>295411</v>
      </c>
      <c r="J2904">
        <v>86262575</v>
      </c>
      <c r="K2904">
        <v>66786473</v>
      </c>
      <c r="L2904">
        <v>4879284</v>
      </c>
      <c r="M2904">
        <v>10552207</v>
      </c>
      <c r="N2904">
        <v>-3292849</v>
      </c>
      <c r="O2904">
        <v>17101086</v>
      </c>
      <c r="P2904">
        <v>619</v>
      </c>
      <c r="Q2904" t="s">
        <v>6147</v>
      </c>
    </row>
    <row r="2905" spans="1:17" x14ac:dyDescent="0.3">
      <c r="A2905" t="s">
        <v>33</v>
      </c>
      <c r="B2905" t="str">
        <f>"300798"</f>
        <v>300798</v>
      </c>
      <c r="C2905" t="s">
        <v>6148</v>
      </c>
      <c r="D2905" t="s">
        <v>735</v>
      </c>
      <c r="E2905">
        <v>-31305908</v>
      </c>
      <c r="F2905">
        <v>-18264972</v>
      </c>
      <c r="G2905">
        <v>-10336705</v>
      </c>
      <c r="H2905">
        <v>9290510</v>
      </c>
      <c r="P2905">
        <v>55</v>
      </c>
      <c r="Q2905" t="s">
        <v>6149</v>
      </c>
    </row>
    <row r="2906" spans="1:17" x14ac:dyDescent="0.3">
      <c r="A2906" t="s">
        <v>33</v>
      </c>
      <c r="B2906" t="str">
        <f>"000815"</f>
        <v>000815</v>
      </c>
      <c r="C2906" t="s">
        <v>6150</v>
      </c>
      <c r="D2906" t="s">
        <v>514</v>
      </c>
      <c r="E2906">
        <v>-31514813</v>
      </c>
      <c r="F2906">
        <v>-16946542</v>
      </c>
      <c r="G2906">
        <v>-40441642</v>
      </c>
      <c r="H2906">
        <v>-6227971</v>
      </c>
      <c r="I2906">
        <v>-34639144</v>
      </c>
      <c r="J2906">
        <v>-127728962</v>
      </c>
      <c r="K2906">
        <v>-872881</v>
      </c>
      <c r="L2906">
        <v>-5419757</v>
      </c>
      <c r="M2906">
        <v>-58495782</v>
      </c>
      <c r="N2906">
        <v>-228485240</v>
      </c>
      <c r="O2906">
        <v>-14078084</v>
      </c>
      <c r="P2906">
        <v>125</v>
      </c>
      <c r="Q2906" t="s">
        <v>6151</v>
      </c>
    </row>
    <row r="2907" spans="1:17" x14ac:dyDescent="0.3">
      <c r="A2907" t="s">
        <v>17</v>
      </c>
      <c r="B2907" t="str">
        <f>"605128"</f>
        <v>605128</v>
      </c>
      <c r="C2907" t="s">
        <v>6152</v>
      </c>
      <c r="D2907" t="s">
        <v>200</v>
      </c>
      <c r="E2907">
        <v>-31523559</v>
      </c>
      <c r="F2907">
        <v>57856017</v>
      </c>
      <c r="G2907">
        <v>35848091</v>
      </c>
      <c r="P2907">
        <v>53</v>
      </c>
      <c r="Q2907" t="s">
        <v>6153</v>
      </c>
    </row>
    <row r="2908" spans="1:17" x14ac:dyDescent="0.3">
      <c r="A2908" t="s">
        <v>17</v>
      </c>
      <c r="B2908" t="str">
        <f>"600237"</f>
        <v>600237</v>
      </c>
      <c r="C2908" t="s">
        <v>6154</v>
      </c>
      <c r="D2908" t="s">
        <v>869</v>
      </c>
      <c r="E2908">
        <v>-31638116</v>
      </c>
      <c r="F2908">
        <v>21777006</v>
      </c>
      <c r="G2908">
        <v>8670160</v>
      </c>
      <c r="H2908">
        <v>30192742</v>
      </c>
      <c r="I2908">
        <v>-10254938</v>
      </c>
      <c r="J2908">
        <v>-6768354</v>
      </c>
      <c r="K2908">
        <v>-5957282</v>
      </c>
      <c r="L2908">
        <v>37798029</v>
      </c>
      <c r="M2908">
        <v>18012133</v>
      </c>
      <c r="N2908">
        <v>21561199</v>
      </c>
      <c r="O2908">
        <v>-15501305</v>
      </c>
      <c r="P2908">
        <v>152</v>
      </c>
      <c r="Q2908" t="s">
        <v>6155</v>
      </c>
    </row>
    <row r="2909" spans="1:17" x14ac:dyDescent="0.3">
      <c r="A2909" t="s">
        <v>33</v>
      </c>
      <c r="B2909" t="str">
        <f>"301193"</f>
        <v>301193</v>
      </c>
      <c r="C2909" t="s">
        <v>6156</v>
      </c>
      <c r="D2909" t="s">
        <v>927</v>
      </c>
      <c r="E2909">
        <v>-31649660</v>
      </c>
      <c r="P2909">
        <v>15</v>
      </c>
      <c r="Q2909" t="s">
        <v>6157</v>
      </c>
    </row>
    <row r="2910" spans="1:17" x14ac:dyDescent="0.3">
      <c r="A2910" t="s">
        <v>33</v>
      </c>
      <c r="B2910" t="str">
        <f>"300940"</f>
        <v>300940</v>
      </c>
      <c r="C2910" t="s">
        <v>6158</v>
      </c>
      <c r="D2910" t="s">
        <v>1299</v>
      </c>
      <c r="E2910">
        <v>-31731178</v>
      </c>
      <c r="F2910">
        <v>-55397756</v>
      </c>
      <c r="G2910">
        <v>-14424564</v>
      </c>
      <c r="P2910">
        <v>39</v>
      </c>
      <c r="Q2910" t="s">
        <v>6159</v>
      </c>
    </row>
    <row r="2911" spans="1:17" x14ac:dyDescent="0.3">
      <c r="A2911" t="s">
        <v>33</v>
      </c>
      <c r="B2911" t="str">
        <f>"300285"</f>
        <v>300285</v>
      </c>
      <c r="C2911" t="s">
        <v>6160</v>
      </c>
      <c r="D2911" t="s">
        <v>418</v>
      </c>
      <c r="E2911">
        <v>-31842663</v>
      </c>
      <c r="F2911">
        <v>-77328098</v>
      </c>
      <c r="G2911">
        <v>49065169</v>
      </c>
      <c r="H2911">
        <v>71780036</v>
      </c>
      <c r="I2911">
        <v>70874847</v>
      </c>
      <c r="J2911">
        <v>30237189</v>
      </c>
      <c r="K2911">
        <v>29858772</v>
      </c>
      <c r="L2911">
        <v>-15155830</v>
      </c>
      <c r="M2911">
        <v>4048732</v>
      </c>
      <c r="N2911">
        <v>4189866</v>
      </c>
      <c r="O2911">
        <v>935046</v>
      </c>
      <c r="P2911">
        <v>1537</v>
      </c>
      <c r="Q2911" t="s">
        <v>6161</v>
      </c>
    </row>
    <row r="2912" spans="1:17" x14ac:dyDescent="0.3">
      <c r="A2912" t="s">
        <v>17</v>
      </c>
      <c r="B2912" t="str">
        <f>"688197"</f>
        <v>688197</v>
      </c>
      <c r="C2912" t="s">
        <v>6162</v>
      </c>
      <c r="E2912">
        <v>-31849148</v>
      </c>
      <c r="P2912">
        <v>3</v>
      </c>
      <c r="Q2912" t="s">
        <v>6163</v>
      </c>
    </row>
    <row r="2913" spans="1:17" x14ac:dyDescent="0.3">
      <c r="A2913" t="s">
        <v>17</v>
      </c>
      <c r="B2913" t="str">
        <f>"688685"</f>
        <v>688685</v>
      </c>
      <c r="C2913" t="s">
        <v>6164</v>
      </c>
      <c r="D2913" t="s">
        <v>2262</v>
      </c>
      <c r="E2913">
        <v>-31884748</v>
      </c>
      <c r="F2913">
        <v>-17966202</v>
      </c>
      <c r="G2913">
        <v>-12748198</v>
      </c>
      <c r="P2913">
        <v>21</v>
      </c>
      <c r="Q2913" t="s">
        <v>6165</v>
      </c>
    </row>
    <row r="2914" spans="1:17" x14ac:dyDescent="0.3">
      <c r="A2914" t="s">
        <v>17</v>
      </c>
      <c r="B2914" t="str">
        <f>"600749"</f>
        <v>600749</v>
      </c>
      <c r="C2914" t="s">
        <v>6166</v>
      </c>
      <c r="D2914" t="s">
        <v>5307</v>
      </c>
      <c r="E2914">
        <v>-32018404</v>
      </c>
      <c r="F2914">
        <v>-17091037</v>
      </c>
      <c r="G2914">
        <v>-10216432</v>
      </c>
      <c r="H2914">
        <v>7205749</v>
      </c>
      <c r="I2914">
        <v>-15531768</v>
      </c>
      <c r="J2914">
        <v>1208162</v>
      </c>
      <c r="K2914">
        <v>-146411336</v>
      </c>
      <c r="L2914">
        <v>-8912852</v>
      </c>
      <c r="M2914">
        <v>-11750097</v>
      </c>
      <c r="N2914">
        <v>-11026012</v>
      </c>
      <c r="O2914">
        <v>-10892167</v>
      </c>
      <c r="P2914">
        <v>106</v>
      </c>
      <c r="Q2914" t="s">
        <v>6167</v>
      </c>
    </row>
    <row r="2915" spans="1:17" x14ac:dyDescent="0.3">
      <c r="A2915" t="s">
        <v>33</v>
      </c>
      <c r="B2915" t="str">
        <f>"300958"</f>
        <v>300958</v>
      </c>
      <c r="C2915" t="s">
        <v>6168</v>
      </c>
      <c r="D2915" t="s">
        <v>2171</v>
      </c>
      <c r="E2915">
        <v>-32037941</v>
      </c>
      <c r="F2915">
        <v>-33357582</v>
      </c>
      <c r="G2915">
        <v>1563158</v>
      </c>
      <c r="P2915">
        <v>28</v>
      </c>
      <c r="Q2915" t="s">
        <v>6169</v>
      </c>
    </row>
    <row r="2916" spans="1:17" x14ac:dyDescent="0.3">
      <c r="A2916" t="s">
        <v>33</v>
      </c>
      <c r="B2916" t="str">
        <f>"000576"</f>
        <v>000576</v>
      </c>
      <c r="C2916" t="s">
        <v>6170</v>
      </c>
      <c r="D2916" t="s">
        <v>967</v>
      </c>
      <c r="E2916">
        <v>-32050291</v>
      </c>
      <c r="F2916">
        <v>-38513720</v>
      </c>
      <c r="G2916">
        <v>29390866</v>
      </c>
      <c r="H2916">
        <v>-91645464</v>
      </c>
      <c r="I2916">
        <v>285216189</v>
      </c>
      <c r="J2916">
        <v>-23068725</v>
      </c>
      <c r="K2916">
        <v>-21426644</v>
      </c>
      <c r="L2916">
        <v>-21794077</v>
      </c>
      <c r="M2916">
        <v>-6403143</v>
      </c>
      <c r="N2916">
        <v>-29571744</v>
      </c>
      <c r="O2916">
        <v>-106407116</v>
      </c>
      <c r="P2916">
        <v>161</v>
      </c>
      <c r="Q2916" t="s">
        <v>6171</v>
      </c>
    </row>
    <row r="2917" spans="1:17" x14ac:dyDescent="0.3">
      <c r="A2917" t="s">
        <v>33</v>
      </c>
      <c r="B2917" t="str">
        <f>"000806"</f>
        <v>000806</v>
      </c>
      <c r="C2917" t="s">
        <v>6172</v>
      </c>
      <c r="D2917" t="s">
        <v>298</v>
      </c>
      <c r="E2917">
        <v>-32093882</v>
      </c>
      <c r="F2917">
        <v>-10806698</v>
      </c>
      <c r="G2917">
        <v>-42466617</v>
      </c>
      <c r="H2917">
        <v>-27864346</v>
      </c>
      <c r="I2917">
        <v>-46059419</v>
      </c>
      <c r="J2917">
        <v>-148848824</v>
      </c>
      <c r="K2917">
        <v>-22878703</v>
      </c>
      <c r="L2917">
        <v>-49144388</v>
      </c>
      <c r="M2917">
        <v>-25536008</v>
      </c>
      <c r="N2917">
        <v>39387515</v>
      </c>
      <c r="O2917">
        <v>61302411</v>
      </c>
      <c r="P2917">
        <v>123</v>
      </c>
      <c r="Q2917" t="s">
        <v>6173</v>
      </c>
    </row>
    <row r="2918" spans="1:17" x14ac:dyDescent="0.3">
      <c r="A2918" t="s">
        <v>17</v>
      </c>
      <c r="B2918" t="str">
        <f>"688360"</f>
        <v>688360</v>
      </c>
      <c r="C2918" t="s">
        <v>6174</v>
      </c>
      <c r="D2918" t="s">
        <v>1033</v>
      </c>
      <c r="E2918">
        <v>-32156822</v>
      </c>
      <c r="F2918">
        <v>-44188854</v>
      </c>
      <c r="G2918">
        <v>-46673930</v>
      </c>
      <c r="H2918">
        <v>-2402192</v>
      </c>
      <c r="P2918">
        <v>84</v>
      </c>
      <c r="Q2918" t="s">
        <v>6175</v>
      </c>
    </row>
    <row r="2919" spans="1:17" x14ac:dyDescent="0.3">
      <c r="A2919" t="s">
        <v>17</v>
      </c>
      <c r="B2919" t="str">
        <f>"688630"</f>
        <v>688630</v>
      </c>
      <c r="C2919" t="s">
        <v>6176</v>
      </c>
      <c r="D2919" t="s">
        <v>1895</v>
      </c>
      <c r="E2919">
        <v>-32166542</v>
      </c>
      <c r="F2919">
        <v>-6513638</v>
      </c>
      <c r="G2919">
        <v>-44059358</v>
      </c>
      <c r="P2919">
        <v>63</v>
      </c>
      <c r="Q2919" t="s">
        <v>6177</v>
      </c>
    </row>
    <row r="2920" spans="1:17" x14ac:dyDescent="0.3">
      <c r="A2920" t="s">
        <v>33</v>
      </c>
      <c r="B2920" t="str">
        <f>"002622"</f>
        <v>002622</v>
      </c>
      <c r="C2920" t="s">
        <v>6178</v>
      </c>
      <c r="D2920" t="s">
        <v>298</v>
      </c>
      <c r="E2920">
        <v>-32253007</v>
      </c>
      <c r="F2920">
        <v>4069851</v>
      </c>
      <c r="G2920">
        <v>6139924</v>
      </c>
      <c r="H2920">
        <v>-12743347</v>
      </c>
      <c r="I2920">
        <v>14450282</v>
      </c>
      <c r="J2920">
        <v>-14011303</v>
      </c>
      <c r="K2920">
        <v>1378213</v>
      </c>
      <c r="L2920">
        <v>11915070</v>
      </c>
      <c r="M2920">
        <v>-8140315</v>
      </c>
      <c r="N2920">
        <v>8226278</v>
      </c>
      <c r="O2920">
        <v>12223471</v>
      </c>
      <c r="P2920">
        <v>120</v>
      </c>
      <c r="Q2920" t="s">
        <v>6179</v>
      </c>
    </row>
    <row r="2921" spans="1:17" x14ac:dyDescent="0.3">
      <c r="A2921" t="s">
        <v>17</v>
      </c>
      <c r="B2921" t="str">
        <f>"605303"</f>
        <v>605303</v>
      </c>
      <c r="C2921" t="s">
        <v>6180</v>
      </c>
      <c r="D2921" t="s">
        <v>2330</v>
      </c>
      <c r="E2921">
        <v>-32328456</v>
      </c>
      <c r="F2921">
        <v>-188746284</v>
      </c>
      <c r="G2921">
        <v>-140059533</v>
      </c>
      <c r="P2921">
        <v>28</v>
      </c>
      <c r="Q2921" t="s">
        <v>6181</v>
      </c>
    </row>
    <row r="2922" spans="1:17" x14ac:dyDescent="0.3">
      <c r="A2922" t="s">
        <v>17</v>
      </c>
      <c r="B2922" t="str">
        <f>"603788"</f>
        <v>603788</v>
      </c>
      <c r="C2922" t="s">
        <v>6182</v>
      </c>
      <c r="D2922" t="s">
        <v>858</v>
      </c>
      <c r="E2922">
        <v>-32337390</v>
      </c>
      <c r="F2922">
        <v>-34664947</v>
      </c>
      <c r="G2922">
        <v>2347488</v>
      </c>
      <c r="H2922">
        <v>41422135</v>
      </c>
      <c r="I2922">
        <v>-55155729</v>
      </c>
      <c r="J2922">
        <v>-13266172</v>
      </c>
      <c r="K2922">
        <v>-4787517</v>
      </c>
      <c r="L2922">
        <v>-34876257</v>
      </c>
      <c r="M2922">
        <v>-48564602</v>
      </c>
      <c r="P2922">
        <v>330</v>
      </c>
      <c r="Q2922" t="s">
        <v>6183</v>
      </c>
    </row>
    <row r="2923" spans="1:17" x14ac:dyDescent="0.3">
      <c r="A2923" t="s">
        <v>17</v>
      </c>
      <c r="B2923" t="str">
        <f>"603990"</f>
        <v>603990</v>
      </c>
      <c r="C2923" t="s">
        <v>6184</v>
      </c>
      <c r="D2923" t="s">
        <v>807</v>
      </c>
      <c r="E2923">
        <v>-32355795</v>
      </c>
      <c r="F2923">
        <v>-13196762</v>
      </c>
      <c r="G2923">
        <v>-19172444</v>
      </c>
      <c r="H2923">
        <v>-47154974</v>
      </c>
      <c r="I2923">
        <v>-35674641</v>
      </c>
      <c r="J2923">
        <v>-33423591</v>
      </c>
      <c r="K2923">
        <v>-32786913</v>
      </c>
      <c r="P2923">
        <v>143</v>
      </c>
      <c r="Q2923" t="s">
        <v>6185</v>
      </c>
    </row>
    <row r="2924" spans="1:17" x14ac:dyDescent="0.3">
      <c r="A2924" t="s">
        <v>33</v>
      </c>
      <c r="B2924" t="str">
        <f>"301013"</f>
        <v>301013</v>
      </c>
      <c r="C2924" t="s">
        <v>6186</v>
      </c>
      <c r="D2924" t="s">
        <v>1895</v>
      </c>
      <c r="E2924">
        <v>-32379550</v>
      </c>
      <c r="F2924">
        <v>-41109896</v>
      </c>
      <c r="G2924">
        <v>62255523</v>
      </c>
      <c r="P2924">
        <v>20</v>
      </c>
      <c r="Q2924" t="s">
        <v>6187</v>
      </c>
    </row>
    <row r="2925" spans="1:17" x14ac:dyDescent="0.3">
      <c r="A2925" t="s">
        <v>33</v>
      </c>
      <c r="B2925" t="str">
        <f>"300522"</f>
        <v>300522</v>
      </c>
      <c r="C2925" t="s">
        <v>6188</v>
      </c>
      <c r="D2925" t="s">
        <v>1341</v>
      </c>
      <c r="E2925">
        <v>-32451373</v>
      </c>
      <c r="F2925">
        <v>-13258520</v>
      </c>
      <c r="G2925">
        <v>-5888336</v>
      </c>
      <c r="H2925">
        <v>-12289717</v>
      </c>
      <c r="I2925">
        <v>-4386229</v>
      </c>
      <c r="J2925">
        <v>-5548624</v>
      </c>
      <c r="K2925">
        <v>5896291</v>
      </c>
      <c r="L2925">
        <v>1231435</v>
      </c>
      <c r="P2925">
        <v>99</v>
      </c>
      <c r="Q2925" t="s">
        <v>6189</v>
      </c>
    </row>
    <row r="2926" spans="1:17" x14ac:dyDescent="0.3">
      <c r="A2926" t="s">
        <v>33</v>
      </c>
      <c r="B2926" t="str">
        <f>"300865"</f>
        <v>300865</v>
      </c>
      <c r="C2926" t="s">
        <v>6190</v>
      </c>
      <c r="D2926" t="s">
        <v>1132</v>
      </c>
      <c r="E2926">
        <v>-32489374</v>
      </c>
      <c r="F2926">
        <v>-49349515</v>
      </c>
      <c r="G2926">
        <v>-13702950</v>
      </c>
      <c r="P2926">
        <v>43</v>
      </c>
      <c r="Q2926" t="s">
        <v>6191</v>
      </c>
    </row>
    <row r="2927" spans="1:17" x14ac:dyDescent="0.3">
      <c r="A2927" t="s">
        <v>33</v>
      </c>
      <c r="B2927" t="str">
        <f>"002562"</f>
        <v>002562</v>
      </c>
      <c r="C2927" t="s">
        <v>6192</v>
      </c>
      <c r="D2927" t="s">
        <v>1028</v>
      </c>
      <c r="E2927">
        <v>-32496893</v>
      </c>
      <c r="F2927">
        <v>-74991152</v>
      </c>
      <c r="G2927">
        <v>-68532960</v>
      </c>
      <c r="H2927">
        <v>-42691727</v>
      </c>
      <c r="I2927">
        <v>117960914</v>
      </c>
      <c r="J2927">
        <v>-54223090</v>
      </c>
      <c r="K2927">
        <v>51616433</v>
      </c>
      <c r="L2927">
        <v>26093801</v>
      </c>
      <c r="M2927">
        <v>17345447</v>
      </c>
      <c r="N2927">
        <v>-45867152</v>
      </c>
      <c r="O2927">
        <v>-2718110</v>
      </c>
      <c r="P2927">
        <v>260</v>
      </c>
      <c r="Q2927" t="s">
        <v>6193</v>
      </c>
    </row>
    <row r="2928" spans="1:17" x14ac:dyDescent="0.3">
      <c r="A2928" t="s">
        <v>33</v>
      </c>
      <c r="B2928" t="str">
        <f>"300588"</f>
        <v>300588</v>
      </c>
      <c r="C2928" t="s">
        <v>6194</v>
      </c>
      <c r="D2928" t="s">
        <v>2597</v>
      </c>
      <c r="E2928">
        <v>-32548693</v>
      </c>
      <c r="F2928">
        <v>6589330</v>
      </c>
      <c r="G2928">
        <v>-54114117</v>
      </c>
      <c r="H2928">
        <v>12325556</v>
      </c>
      <c r="I2928">
        <v>-70871804</v>
      </c>
      <c r="J2928">
        <v>-31534755</v>
      </c>
      <c r="K2928">
        <v>-69287946</v>
      </c>
      <c r="P2928">
        <v>144</v>
      </c>
      <c r="Q2928" t="s">
        <v>6195</v>
      </c>
    </row>
    <row r="2929" spans="1:17" x14ac:dyDescent="0.3">
      <c r="A2929" t="s">
        <v>17</v>
      </c>
      <c r="B2929" t="str">
        <f>"603979"</f>
        <v>603979</v>
      </c>
      <c r="C2929" t="s">
        <v>6196</v>
      </c>
      <c r="D2929" t="s">
        <v>1454</v>
      </c>
      <c r="E2929">
        <v>-32614267</v>
      </c>
      <c r="F2929">
        <v>-36718464</v>
      </c>
      <c r="G2929">
        <v>-28396037</v>
      </c>
      <c r="H2929">
        <v>-173364837</v>
      </c>
      <c r="I2929">
        <v>-83049531</v>
      </c>
      <c r="J2929">
        <v>-68205193</v>
      </c>
      <c r="K2929">
        <v>-13168336</v>
      </c>
      <c r="L2929">
        <v>-90674300</v>
      </c>
      <c r="M2929">
        <v>-155690600</v>
      </c>
      <c r="P2929">
        <v>122</v>
      </c>
      <c r="Q2929" t="s">
        <v>6197</v>
      </c>
    </row>
    <row r="2930" spans="1:17" x14ac:dyDescent="0.3">
      <c r="A2930" t="s">
        <v>17</v>
      </c>
      <c r="B2930" t="str">
        <f>"600568"</f>
        <v>600568</v>
      </c>
      <c r="C2930" t="s">
        <v>6198</v>
      </c>
      <c r="D2930" t="s">
        <v>520</v>
      </c>
      <c r="E2930">
        <v>-32622358</v>
      </c>
      <c r="F2930">
        <v>-533751</v>
      </c>
      <c r="G2930">
        <v>60217574</v>
      </c>
      <c r="H2930">
        <v>204850093</v>
      </c>
      <c r="I2930">
        <v>-246862686</v>
      </c>
      <c r="J2930">
        <v>70600063</v>
      </c>
      <c r="K2930">
        <v>90254972</v>
      </c>
      <c r="L2930">
        <v>-136187251</v>
      </c>
      <c r="M2930">
        <v>-149812047</v>
      </c>
      <c r="N2930">
        <v>-15072177</v>
      </c>
      <c r="O2930">
        <v>19357763</v>
      </c>
      <c r="P2930">
        <v>98</v>
      </c>
      <c r="Q2930" t="s">
        <v>6199</v>
      </c>
    </row>
    <row r="2931" spans="1:17" x14ac:dyDescent="0.3">
      <c r="A2931" t="s">
        <v>33</v>
      </c>
      <c r="B2931" t="str">
        <f>"300106"</f>
        <v>300106</v>
      </c>
      <c r="C2931" t="s">
        <v>6200</v>
      </c>
      <c r="D2931" t="s">
        <v>918</v>
      </c>
      <c r="E2931">
        <v>-32646382</v>
      </c>
      <c r="F2931">
        <v>2345862</v>
      </c>
      <c r="G2931">
        <v>-5230851</v>
      </c>
      <c r="H2931">
        <v>-48619178</v>
      </c>
      <c r="I2931">
        <v>-24362710</v>
      </c>
      <c r="J2931">
        <v>-156978082</v>
      </c>
      <c r="K2931">
        <v>-70144954</v>
      </c>
      <c r="L2931">
        <v>30157364</v>
      </c>
      <c r="M2931">
        <v>6118771</v>
      </c>
      <c r="N2931">
        <v>6560485</v>
      </c>
      <c r="O2931">
        <v>457922</v>
      </c>
      <c r="P2931">
        <v>124</v>
      </c>
      <c r="Q2931" t="s">
        <v>6201</v>
      </c>
    </row>
    <row r="2932" spans="1:17" x14ac:dyDescent="0.3">
      <c r="A2932" t="s">
        <v>33</v>
      </c>
      <c r="B2932" t="str">
        <f>"002073"</f>
        <v>002073</v>
      </c>
      <c r="C2932" t="s">
        <v>6202</v>
      </c>
      <c r="D2932" t="s">
        <v>1895</v>
      </c>
      <c r="E2932">
        <v>-32704971</v>
      </c>
      <c r="F2932">
        <v>30911023</v>
      </c>
      <c r="G2932">
        <v>-68583014</v>
      </c>
      <c r="H2932">
        <v>46731500</v>
      </c>
      <c r="I2932">
        <v>2330792</v>
      </c>
      <c r="J2932">
        <v>28981605</v>
      </c>
      <c r="K2932">
        <v>-123069177</v>
      </c>
      <c r="L2932">
        <v>-58744974</v>
      </c>
      <c r="M2932">
        <v>-201456177</v>
      </c>
      <c r="N2932">
        <v>51059338</v>
      </c>
      <c r="O2932">
        <v>-31031182</v>
      </c>
      <c r="P2932">
        <v>150</v>
      </c>
      <c r="Q2932" t="s">
        <v>6203</v>
      </c>
    </row>
    <row r="2933" spans="1:17" x14ac:dyDescent="0.3">
      <c r="A2933" t="s">
        <v>33</v>
      </c>
      <c r="B2933" t="str">
        <f>"002569"</f>
        <v>002569</v>
      </c>
      <c r="C2933" t="s">
        <v>6204</v>
      </c>
      <c r="D2933" t="s">
        <v>581</v>
      </c>
      <c r="E2933">
        <v>-32803084</v>
      </c>
      <c r="F2933">
        <v>-22798834</v>
      </c>
      <c r="G2933">
        <v>-28108514</v>
      </c>
      <c r="H2933">
        <v>-24007861</v>
      </c>
      <c r="I2933">
        <v>-14604250</v>
      </c>
      <c r="J2933">
        <v>-22064636</v>
      </c>
      <c r="K2933">
        <v>-34186177</v>
      </c>
      <c r="L2933">
        <v>5796490</v>
      </c>
      <c r="M2933">
        <v>-62343779</v>
      </c>
      <c r="N2933">
        <v>-83084855</v>
      </c>
      <c r="O2933">
        <v>-94950638</v>
      </c>
      <c r="P2933">
        <v>59</v>
      </c>
      <c r="Q2933" t="s">
        <v>6205</v>
      </c>
    </row>
    <row r="2934" spans="1:17" x14ac:dyDescent="0.3">
      <c r="A2934" t="s">
        <v>33</v>
      </c>
      <c r="B2934" t="str">
        <f>"002169"</f>
        <v>002169</v>
      </c>
      <c r="C2934" t="s">
        <v>6206</v>
      </c>
      <c r="D2934" t="s">
        <v>1182</v>
      </c>
      <c r="E2934">
        <v>-32860915</v>
      </c>
      <c r="F2934">
        <v>-81232646</v>
      </c>
      <c r="G2934">
        <v>-76940895</v>
      </c>
      <c r="H2934">
        <v>-7247675</v>
      </c>
      <c r="I2934">
        <v>-150428558</v>
      </c>
      <c r="J2934">
        <v>-60662486</v>
      </c>
      <c r="K2934">
        <v>-68855665</v>
      </c>
      <c r="L2934">
        <v>-14475166</v>
      </c>
      <c r="M2934">
        <v>-26474539</v>
      </c>
      <c r="N2934">
        <v>-16857814</v>
      </c>
      <c r="O2934">
        <v>-15346012</v>
      </c>
      <c r="P2934">
        <v>219</v>
      </c>
      <c r="Q2934" t="s">
        <v>6207</v>
      </c>
    </row>
    <row r="2935" spans="1:17" x14ac:dyDescent="0.3">
      <c r="A2935" t="s">
        <v>17</v>
      </c>
      <c r="B2935" t="str">
        <f>"688658"</f>
        <v>688658</v>
      </c>
      <c r="C2935" t="s">
        <v>6208</v>
      </c>
      <c r="D2935" t="s">
        <v>590</v>
      </c>
      <c r="E2935">
        <v>-32912015</v>
      </c>
      <c r="F2935">
        <v>-7797646</v>
      </c>
      <c r="G2935">
        <v>52057500</v>
      </c>
      <c r="H2935">
        <v>67153300</v>
      </c>
      <c r="P2935">
        <v>75</v>
      </c>
      <c r="Q2935" t="s">
        <v>6209</v>
      </c>
    </row>
    <row r="2936" spans="1:17" x14ac:dyDescent="0.3">
      <c r="A2936" t="s">
        <v>33</v>
      </c>
      <c r="B2936" t="str">
        <f>"002495"</f>
        <v>002495</v>
      </c>
      <c r="C2936" t="s">
        <v>6210</v>
      </c>
      <c r="D2936" t="s">
        <v>669</v>
      </c>
      <c r="E2936">
        <v>-32951630</v>
      </c>
      <c r="F2936">
        <v>-33235613</v>
      </c>
      <c r="G2936">
        <v>-31425856</v>
      </c>
      <c r="H2936">
        <v>-1770080</v>
      </c>
      <c r="I2936">
        <v>25487489</v>
      </c>
      <c r="J2936">
        <v>13678394</v>
      </c>
      <c r="K2936">
        <v>703140</v>
      </c>
      <c r="L2936">
        <v>27968516</v>
      </c>
      <c r="M2936">
        <v>-12206989</v>
      </c>
      <c r="N2936">
        <v>20025369</v>
      </c>
      <c r="O2936">
        <v>-9196644</v>
      </c>
      <c r="P2936">
        <v>113</v>
      </c>
      <c r="Q2936" t="s">
        <v>6211</v>
      </c>
    </row>
    <row r="2937" spans="1:17" x14ac:dyDescent="0.3">
      <c r="A2937" t="s">
        <v>33</v>
      </c>
      <c r="B2937" t="str">
        <f>"002676"</f>
        <v>002676</v>
      </c>
      <c r="C2937" t="s">
        <v>6212</v>
      </c>
      <c r="D2937" t="s">
        <v>1869</v>
      </c>
      <c r="E2937">
        <v>-32977381</v>
      </c>
      <c r="F2937">
        <v>-37329264</v>
      </c>
      <c r="G2937">
        <v>-23146379</v>
      </c>
      <c r="H2937">
        <v>-30413068</v>
      </c>
      <c r="I2937">
        <v>-127209799</v>
      </c>
      <c r="J2937">
        <v>-167078653</v>
      </c>
      <c r="K2937">
        <v>-70034768</v>
      </c>
      <c r="L2937">
        <v>-110916951</v>
      </c>
      <c r="M2937">
        <v>-67503191</v>
      </c>
      <c r="N2937">
        <v>-45754709</v>
      </c>
      <c r="O2937">
        <v>-37453093</v>
      </c>
      <c r="P2937">
        <v>87</v>
      </c>
      <c r="Q2937" t="s">
        <v>6213</v>
      </c>
    </row>
    <row r="2938" spans="1:17" x14ac:dyDescent="0.3">
      <c r="A2938" t="s">
        <v>33</v>
      </c>
      <c r="B2938" t="str">
        <f>"301096"</f>
        <v>301096</v>
      </c>
      <c r="C2938" t="s">
        <v>6214</v>
      </c>
      <c r="D2938" t="s">
        <v>846</v>
      </c>
      <c r="E2938">
        <v>-33055022</v>
      </c>
      <c r="P2938">
        <v>26</v>
      </c>
      <c r="Q2938" t="s">
        <v>6215</v>
      </c>
    </row>
    <row r="2939" spans="1:17" x14ac:dyDescent="0.3">
      <c r="A2939" t="s">
        <v>33</v>
      </c>
      <c r="B2939" t="str">
        <f>"301228"</f>
        <v>301228</v>
      </c>
      <c r="C2939" t="s">
        <v>6216</v>
      </c>
      <c r="E2939">
        <v>-33206986</v>
      </c>
      <c r="G2939">
        <v>-17228033</v>
      </c>
      <c r="P2939">
        <v>11</v>
      </c>
      <c r="Q2939" t="s">
        <v>6217</v>
      </c>
    </row>
    <row r="2940" spans="1:17" x14ac:dyDescent="0.3">
      <c r="A2940" t="s">
        <v>17</v>
      </c>
      <c r="B2940" t="str">
        <f>"688577"</f>
        <v>688577</v>
      </c>
      <c r="C2940" t="s">
        <v>6218</v>
      </c>
      <c r="D2940" t="s">
        <v>1910</v>
      </c>
      <c r="E2940">
        <v>-33262360</v>
      </c>
      <c r="F2940">
        <v>6221421</v>
      </c>
      <c r="G2940">
        <v>24138954</v>
      </c>
      <c r="P2940">
        <v>56</v>
      </c>
      <c r="Q2940" t="s">
        <v>6219</v>
      </c>
    </row>
    <row r="2941" spans="1:17" x14ac:dyDescent="0.3">
      <c r="A2941" t="s">
        <v>17</v>
      </c>
      <c r="B2941" t="str">
        <f>"600738"</f>
        <v>600738</v>
      </c>
      <c r="C2941" t="s">
        <v>6220</v>
      </c>
      <c r="D2941" t="s">
        <v>989</v>
      </c>
      <c r="E2941">
        <v>-33341598</v>
      </c>
      <c r="F2941">
        <v>39090488</v>
      </c>
      <c r="G2941">
        <v>-41655700</v>
      </c>
      <c r="H2941">
        <v>-338541410</v>
      </c>
      <c r="I2941">
        <v>-46981554</v>
      </c>
      <c r="J2941">
        <v>-105809978</v>
      </c>
      <c r="K2941">
        <v>-101061475</v>
      </c>
      <c r="L2941">
        <v>-80876657</v>
      </c>
      <c r="M2941">
        <v>-66143518</v>
      </c>
      <c r="N2941">
        <v>53475963</v>
      </c>
      <c r="O2941">
        <v>30979655</v>
      </c>
      <c r="P2941">
        <v>153</v>
      </c>
      <c r="Q2941" t="s">
        <v>6221</v>
      </c>
    </row>
    <row r="2942" spans="1:17" x14ac:dyDescent="0.3">
      <c r="A2942" t="s">
        <v>17</v>
      </c>
      <c r="B2942" t="str">
        <f>"600246"</f>
        <v>600246</v>
      </c>
      <c r="C2942" t="s">
        <v>6222</v>
      </c>
      <c r="D2942" t="s">
        <v>167</v>
      </c>
      <c r="E2942">
        <v>-33360120</v>
      </c>
      <c r="F2942">
        <v>-172124803</v>
      </c>
      <c r="G2942">
        <v>36499990</v>
      </c>
      <c r="H2942">
        <v>-190802334</v>
      </c>
      <c r="I2942">
        <v>-32074995</v>
      </c>
      <c r="J2942">
        <v>52970233</v>
      </c>
      <c r="K2942">
        <v>29519260</v>
      </c>
      <c r="L2942">
        <v>-195636398</v>
      </c>
      <c r="M2942">
        <v>-944960789</v>
      </c>
      <c r="N2942">
        <v>-144125206</v>
      </c>
      <c r="O2942">
        <v>100097630</v>
      </c>
      <c r="P2942">
        <v>122</v>
      </c>
      <c r="Q2942" t="s">
        <v>6223</v>
      </c>
    </row>
    <row r="2943" spans="1:17" x14ac:dyDescent="0.3">
      <c r="A2943" t="s">
        <v>33</v>
      </c>
      <c r="B2943" t="str">
        <f>"002253"</f>
        <v>002253</v>
      </c>
      <c r="C2943" t="s">
        <v>6224</v>
      </c>
      <c r="D2943" t="s">
        <v>807</v>
      </c>
      <c r="E2943">
        <v>-33479124</v>
      </c>
      <c r="F2943">
        <v>-27669866</v>
      </c>
      <c r="G2943">
        <v>-56523822</v>
      </c>
      <c r="H2943">
        <v>-8247053</v>
      </c>
      <c r="I2943">
        <v>-4969597</v>
      </c>
      <c r="J2943">
        <v>-3351813</v>
      </c>
      <c r="K2943">
        <v>-21915221</v>
      </c>
      <c r="L2943">
        <v>-1708007</v>
      </c>
      <c r="M2943">
        <v>14588432</v>
      </c>
      <c r="N2943">
        <v>-13898703</v>
      </c>
      <c r="O2943">
        <v>-8570069</v>
      </c>
      <c r="P2943">
        <v>151</v>
      </c>
      <c r="Q2943" t="s">
        <v>6225</v>
      </c>
    </row>
    <row r="2944" spans="1:17" x14ac:dyDescent="0.3">
      <c r="A2944" t="s">
        <v>17</v>
      </c>
      <c r="B2944" t="str">
        <f>"603335"</f>
        <v>603335</v>
      </c>
      <c r="C2944" t="s">
        <v>6226</v>
      </c>
      <c r="D2944" t="s">
        <v>1618</v>
      </c>
      <c r="E2944">
        <v>-33667462</v>
      </c>
      <c r="F2944">
        <v>24108130</v>
      </c>
      <c r="G2944">
        <v>-9901221</v>
      </c>
      <c r="H2944">
        <v>18434068</v>
      </c>
      <c r="I2944">
        <v>-25324668</v>
      </c>
      <c r="J2944">
        <v>20968721</v>
      </c>
      <c r="P2944">
        <v>66</v>
      </c>
      <c r="Q2944" t="s">
        <v>6227</v>
      </c>
    </row>
    <row r="2945" spans="1:17" x14ac:dyDescent="0.3">
      <c r="A2945" t="s">
        <v>17</v>
      </c>
      <c r="B2945" t="str">
        <f>"603926"</f>
        <v>603926</v>
      </c>
      <c r="C2945" t="s">
        <v>6228</v>
      </c>
      <c r="D2945" t="s">
        <v>858</v>
      </c>
      <c r="E2945">
        <v>-33708944</v>
      </c>
      <c r="F2945">
        <v>-34961710</v>
      </c>
      <c r="G2945">
        <v>-38905651</v>
      </c>
      <c r="H2945">
        <v>-15393015</v>
      </c>
      <c r="I2945">
        <v>-45051341</v>
      </c>
      <c r="J2945">
        <v>-10436935</v>
      </c>
      <c r="K2945">
        <v>617560</v>
      </c>
      <c r="P2945">
        <v>104</v>
      </c>
      <c r="Q2945" t="s">
        <v>6229</v>
      </c>
    </row>
    <row r="2946" spans="1:17" x14ac:dyDescent="0.3">
      <c r="A2946" t="s">
        <v>17</v>
      </c>
      <c r="B2946" t="str">
        <f>"600889"</f>
        <v>600889</v>
      </c>
      <c r="C2946" t="s">
        <v>6230</v>
      </c>
      <c r="D2946" t="s">
        <v>448</v>
      </c>
      <c r="E2946">
        <v>-33725908</v>
      </c>
      <c r="F2946">
        <v>-79903429</v>
      </c>
      <c r="G2946">
        <v>11936906</v>
      </c>
      <c r="H2946">
        <v>-62625642</v>
      </c>
      <c r="I2946">
        <v>-18172345</v>
      </c>
      <c r="J2946">
        <v>-109152373</v>
      </c>
      <c r="K2946">
        <v>61914657</v>
      </c>
      <c r="L2946">
        <v>71114949</v>
      </c>
      <c r="M2946">
        <v>125264179</v>
      </c>
      <c r="N2946">
        <v>-77003052</v>
      </c>
      <c r="O2946">
        <v>32045249</v>
      </c>
      <c r="P2946">
        <v>77</v>
      </c>
      <c r="Q2946" t="s">
        <v>6231</v>
      </c>
    </row>
    <row r="2947" spans="1:17" x14ac:dyDescent="0.3">
      <c r="A2947" t="s">
        <v>33</v>
      </c>
      <c r="B2947" t="str">
        <f>"300868"</f>
        <v>300868</v>
      </c>
      <c r="C2947" t="s">
        <v>6232</v>
      </c>
      <c r="D2947" t="s">
        <v>499</v>
      </c>
      <c r="E2947">
        <v>-33747491</v>
      </c>
      <c r="F2947">
        <v>5430614</v>
      </c>
      <c r="G2947">
        <v>28659465</v>
      </c>
      <c r="H2947">
        <v>17511200</v>
      </c>
      <c r="P2947">
        <v>40</v>
      </c>
      <c r="Q2947" t="s">
        <v>6233</v>
      </c>
    </row>
    <row r="2948" spans="1:17" x14ac:dyDescent="0.3">
      <c r="A2948" t="s">
        <v>33</v>
      </c>
      <c r="B2948" t="str">
        <f>"002011"</f>
        <v>002011</v>
      </c>
      <c r="C2948" t="s">
        <v>6234</v>
      </c>
      <c r="D2948" t="s">
        <v>1869</v>
      </c>
      <c r="E2948">
        <v>-33805719</v>
      </c>
      <c r="F2948">
        <v>-177439196</v>
      </c>
      <c r="G2948">
        <v>-6009726</v>
      </c>
      <c r="H2948">
        <v>18522340</v>
      </c>
      <c r="I2948">
        <v>11861545</v>
      </c>
      <c r="J2948">
        <v>-522941338</v>
      </c>
      <c r="K2948">
        <v>21492101</v>
      </c>
      <c r="L2948">
        <v>139326733</v>
      </c>
      <c r="M2948">
        <v>-48637742</v>
      </c>
      <c r="N2948">
        <v>62181661</v>
      </c>
      <c r="O2948">
        <v>82863789</v>
      </c>
      <c r="P2948">
        <v>201</v>
      </c>
      <c r="Q2948" t="s">
        <v>6235</v>
      </c>
    </row>
    <row r="2949" spans="1:17" x14ac:dyDescent="0.3">
      <c r="A2949" t="s">
        <v>33</v>
      </c>
      <c r="B2949" t="str">
        <f>"000548"</f>
        <v>000548</v>
      </c>
      <c r="C2949" t="s">
        <v>6236</v>
      </c>
      <c r="D2949" t="s">
        <v>458</v>
      </c>
      <c r="E2949">
        <v>-33852482</v>
      </c>
      <c r="F2949">
        <v>-330404868</v>
      </c>
      <c r="G2949">
        <v>-118524437</v>
      </c>
      <c r="H2949">
        <v>35974948</v>
      </c>
      <c r="I2949">
        <v>52116422</v>
      </c>
      <c r="J2949">
        <v>183308840</v>
      </c>
      <c r="K2949">
        <v>358068410</v>
      </c>
      <c r="L2949">
        <v>-24642065</v>
      </c>
      <c r="M2949">
        <v>4672835</v>
      </c>
      <c r="N2949">
        <v>28373028</v>
      </c>
      <c r="O2949">
        <v>41431812</v>
      </c>
      <c r="P2949">
        <v>90</v>
      </c>
      <c r="Q2949" t="s">
        <v>6237</v>
      </c>
    </row>
    <row r="2950" spans="1:17" x14ac:dyDescent="0.3">
      <c r="A2950" t="s">
        <v>33</v>
      </c>
      <c r="B2950" t="str">
        <f>"300062"</f>
        <v>300062</v>
      </c>
      <c r="C2950" t="s">
        <v>6238</v>
      </c>
      <c r="D2950" t="s">
        <v>298</v>
      </c>
      <c r="E2950">
        <v>-33860034</v>
      </c>
      <c r="F2950">
        <v>15633673</v>
      </c>
      <c r="G2950">
        <v>-20954759</v>
      </c>
      <c r="H2950">
        <v>-40433119</v>
      </c>
      <c r="I2950">
        <v>-36642338</v>
      </c>
      <c r="J2950">
        <v>-39115460</v>
      </c>
      <c r="K2950">
        <v>81551662</v>
      </c>
      <c r="L2950">
        <v>17836223</v>
      </c>
      <c r="M2950">
        <v>-36316765</v>
      </c>
      <c r="N2950">
        <v>-11730692</v>
      </c>
      <c r="O2950">
        <v>-6698351</v>
      </c>
      <c r="P2950">
        <v>125</v>
      </c>
      <c r="Q2950" t="s">
        <v>6239</v>
      </c>
    </row>
    <row r="2951" spans="1:17" x14ac:dyDescent="0.3">
      <c r="A2951" t="s">
        <v>17</v>
      </c>
      <c r="B2951" t="str">
        <f>"688589"</f>
        <v>688589</v>
      </c>
      <c r="C2951" t="s">
        <v>6240</v>
      </c>
      <c r="D2951" t="s">
        <v>1277</v>
      </c>
      <c r="E2951">
        <v>-33934533</v>
      </c>
      <c r="F2951">
        <v>-2887852</v>
      </c>
      <c r="G2951">
        <v>-40982259</v>
      </c>
      <c r="H2951">
        <v>-16139411</v>
      </c>
      <c r="P2951">
        <v>73</v>
      </c>
      <c r="Q2951" t="s">
        <v>6241</v>
      </c>
    </row>
    <row r="2952" spans="1:17" x14ac:dyDescent="0.3">
      <c r="A2952" t="s">
        <v>33</v>
      </c>
      <c r="B2952" t="str">
        <f>"002324"</f>
        <v>002324</v>
      </c>
      <c r="C2952" t="s">
        <v>6242</v>
      </c>
      <c r="D2952" t="s">
        <v>1556</v>
      </c>
      <c r="E2952">
        <v>-33968671</v>
      </c>
      <c r="F2952">
        <v>73035332</v>
      </c>
      <c r="G2952">
        <v>-129416107</v>
      </c>
      <c r="H2952">
        <v>160480604</v>
      </c>
      <c r="I2952">
        <v>-39376455</v>
      </c>
      <c r="J2952">
        <v>-153412064</v>
      </c>
      <c r="K2952">
        <v>-58756372</v>
      </c>
      <c r="L2952">
        <v>-110663610</v>
      </c>
      <c r="M2952">
        <v>-63008721</v>
      </c>
      <c r="N2952">
        <v>-75539405</v>
      </c>
      <c r="O2952">
        <v>-66826924</v>
      </c>
      <c r="P2952">
        <v>212</v>
      </c>
      <c r="Q2952" t="s">
        <v>6243</v>
      </c>
    </row>
    <row r="2953" spans="1:17" x14ac:dyDescent="0.3">
      <c r="A2953" t="s">
        <v>17</v>
      </c>
      <c r="B2953" t="str">
        <f>"600156"</f>
        <v>600156</v>
      </c>
      <c r="C2953" t="s">
        <v>6244</v>
      </c>
      <c r="D2953" t="s">
        <v>1292</v>
      </c>
      <c r="E2953">
        <v>-33995618</v>
      </c>
      <c r="F2953">
        <v>-11359732</v>
      </c>
      <c r="G2953">
        <v>30336596</v>
      </c>
      <c r="H2953">
        <v>-41048957</v>
      </c>
      <c r="I2953">
        <v>-27778468</v>
      </c>
      <c r="J2953">
        <v>-5553286</v>
      </c>
      <c r="K2953">
        <v>-14845901</v>
      </c>
      <c r="L2953">
        <v>4026052</v>
      </c>
      <c r="M2953">
        <v>17837714</v>
      </c>
      <c r="N2953">
        <v>-22067233</v>
      </c>
      <c r="O2953">
        <v>19094230</v>
      </c>
      <c r="P2953">
        <v>75</v>
      </c>
      <c r="Q2953" t="s">
        <v>6245</v>
      </c>
    </row>
    <row r="2954" spans="1:17" x14ac:dyDescent="0.3">
      <c r="A2954" t="s">
        <v>17</v>
      </c>
      <c r="B2954" t="str">
        <f>"600187"</f>
        <v>600187</v>
      </c>
      <c r="C2954" t="s">
        <v>6246</v>
      </c>
      <c r="D2954" t="s">
        <v>932</v>
      </c>
      <c r="E2954">
        <v>-34002415</v>
      </c>
      <c r="F2954">
        <v>-32295475</v>
      </c>
      <c r="G2954">
        <v>-231485291</v>
      </c>
      <c r="H2954">
        <v>-44684195</v>
      </c>
      <c r="I2954">
        <v>16518828</v>
      </c>
      <c r="J2954">
        <v>-1857332</v>
      </c>
      <c r="K2954">
        <v>47512648</v>
      </c>
      <c r="L2954">
        <v>-16236592</v>
      </c>
      <c r="M2954">
        <v>-8130929</v>
      </c>
      <c r="N2954">
        <v>2282810</v>
      </c>
      <c r="O2954">
        <v>3103690</v>
      </c>
      <c r="P2954">
        <v>116</v>
      </c>
      <c r="Q2954" t="s">
        <v>6247</v>
      </c>
    </row>
    <row r="2955" spans="1:17" x14ac:dyDescent="0.3">
      <c r="A2955" t="s">
        <v>33</v>
      </c>
      <c r="B2955" t="str">
        <f>"000037"</f>
        <v>000037</v>
      </c>
      <c r="C2955" t="s">
        <v>6248</v>
      </c>
      <c r="D2955" t="s">
        <v>1094</v>
      </c>
      <c r="E2955">
        <v>-34049454</v>
      </c>
      <c r="F2955">
        <v>-38883595</v>
      </c>
      <c r="G2955">
        <v>22023624</v>
      </c>
      <c r="H2955">
        <v>-4897655</v>
      </c>
      <c r="I2955">
        <v>-69260606</v>
      </c>
      <c r="J2955">
        <v>-213153839</v>
      </c>
      <c r="K2955">
        <v>-53539090</v>
      </c>
      <c r="L2955">
        <v>-80257202</v>
      </c>
      <c r="M2955">
        <v>255063388</v>
      </c>
      <c r="N2955">
        <v>312733181</v>
      </c>
      <c r="O2955">
        <v>301024997</v>
      </c>
      <c r="P2955">
        <v>112</v>
      </c>
      <c r="Q2955" t="s">
        <v>6249</v>
      </c>
    </row>
    <row r="2956" spans="1:17" x14ac:dyDescent="0.3">
      <c r="A2956" t="s">
        <v>17</v>
      </c>
      <c r="B2956" t="str">
        <f>"603007"</f>
        <v>603007</v>
      </c>
      <c r="C2956" t="s">
        <v>6250</v>
      </c>
      <c r="D2956" t="s">
        <v>2330</v>
      </c>
      <c r="E2956">
        <v>-34150302</v>
      </c>
      <c r="F2956">
        <v>68617540</v>
      </c>
      <c r="G2956">
        <v>-220710936</v>
      </c>
      <c r="H2956">
        <v>-213423218</v>
      </c>
      <c r="I2956">
        <v>-201010554</v>
      </c>
      <c r="J2956">
        <v>-232786704</v>
      </c>
      <c r="K2956">
        <v>-16947100</v>
      </c>
      <c r="L2956">
        <v>-53651400</v>
      </c>
      <c r="P2956">
        <v>81</v>
      </c>
      <c r="Q2956" t="s">
        <v>6251</v>
      </c>
    </row>
    <row r="2957" spans="1:17" x14ac:dyDescent="0.3">
      <c r="A2957" t="s">
        <v>33</v>
      </c>
      <c r="B2957" t="str">
        <f>"002917"</f>
        <v>002917</v>
      </c>
      <c r="C2957" t="s">
        <v>6252</v>
      </c>
      <c r="D2957" t="s">
        <v>1474</v>
      </c>
      <c r="E2957">
        <v>-34171018</v>
      </c>
      <c r="F2957">
        <v>-19060488</v>
      </c>
      <c r="G2957">
        <v>-17879862</v>
      </c>
      <c r="H2957">
        <v>-30134099</v>
      </c>
      <c r="I2957">
        <v>-26828253</v>
      </c>
      <c r="J2957">
        <v>12153666</v>
      </c>
      <c r="P2957">
        <v>67</v>
      </c>
      <c r="Q2957" t="s">
        <v>6253</v>
      </c>
    </row>
    <row r="2958" spans="1:17" x14ac:dyDescent="0.3">
      <c r="A2958" t="s">
        <v>33</v>
      </c>
      <c r="B2958" t="str">
        <f>"300438"</f>
        <v>300438</v>
      </c>
      <c r="C2958" t="s">
        <v>6254</v>
      </c>
      <c r="D2958" t="s">
        <v>156</v>
      </c>
      <c r="E2958">
        <v>-34185921</v>
      </c>
      <c r="F2958">
        <v>-21942763</v>
      </c>
      <c r="G2958">
        <v>83806607</v>
      </c>
      <c r="H2958">
        <v>-72799715</v>
      </c>
      <c r="I2958">
        <v>48959594</v>
      </c>
      <c r="J2958">
        <v>5585134</v>
      </c>
      <c r="K2958">
        <v>-23156901</v>
      </c>
      <c r="L2958">
        <v>-6261921</v>
      </c>
      <c r="M2958">
        <v>274789</v>
      </c>
      <c r="P2958">
        <v>394</v>
      </c>
      <c r="Q2958" t="s">
        <v>6255</v>
      </c>
    </row>
    <row r="2959" spans="1:17" x14ac:dyDescent="0.3">
      <c r="A2959" t="s">
        <v>17</v>
      </c>
      <c r="B2959" t="str">
        <f>"688201"</f>
        <v>688201</v>
      </c>
      <c r="C2959" t="s">
        <v>6256</v>
      </c>
      <c r="D2959" t="s">
        <v>1713</v>
      </c>
      <c r="E2959">
        <v>-34299951</v>
      </c>
      <c r="F2959">
        <v>-19400868</v>
      </c>
      <c r="G2959">
        <v>-46145270</v>
      </c>
      <c r="P2959">
        <v>62</v>
      </c>
      <c r="Q2959" t="s">
        <v>6257</v>
      </c>
    </row>
    <row r="2960" spans="1:17" x14ac:dyDescent="0.3">
      <c r="A2960" t="s">
        <v>33</v>
      </c>
      <c r="B2960" t="str">
        <f>"300356"</f>
        <v>300356</v>
      </c>
      <c r="C2960" t="s">
        <v>6258</v>
      </c>
      <c r="D2960" t="s">
        <v>2128</v>
      </c>
      <c r="E2960">
        <v>-34351920</v>
      </c>
      <c r="F2960">
        <v>-48465438</v>
      </c>
      <c r="G2960">
        <v>-19175915</v>
      </c>
      <c r="H2960">
        <v>19560338</v>
      </c>
      <c r="I2960">
        <v>-81384723</v>
      </c>
      <c r="J2960">
        <v>-67040547</v>
      </c>
      <c r="K2960">
        <v>-16993344</v>
      </c>
      <c r="L2960">
        <v>-57771841</v>
      </c>
      <c r="M2960">
        <v>-46113122</v>
      </c>
      <c r="N2960">
        <v>-55364859</v>
      </c>
      <c r="O2960">
        <v>1047193</v>
      </c>
      <c r="P2960">
        <v>67</v>
      </c>
      <c r="Q2960" t="s">
        <v>6259</v>
      </c>
    </row>
    <row r="2961" spans="1:17" x14ac:dyDescent="0.3">
      <c r="A2961" t="s">
        <v>17</v>
      </c>
      <c r="B2961" t="str">
        <f>"688221"</f>
        <v>688221</v>
      </c>
      <c r="C2961" t="s">
        <v>6260</v>
      </c>
      <c r="D2961" t="s">
        <v>590</v>
      </c>
      <c r="E2961">
        <v>-34410228</v>
      </c>
      <c r="F2961">
        <v>-52829172</v>
      </c>
      <c r="G2961">
        <v>-40712600</v>
      </c>
      <c r="H2961">
        <v>5849580</v>
      </c>
      <c r="P2961">
        <v>51</v>
      </c>
      <c r="Q2961" t="s">
        <v>6261</v>
      </c>
    </row>
    <row r="2962" spans="1:17" x14ac:dyDescent="0.3">
      <c r="A2962" t="s">
        <v>33</v>
      </c>
      <c r="B2962" t="str">
        <f>"300325"</f>
        <v>300325</v>
      </c>
      <c r="C2962" t="s">
        <v>6262</v>
      </c>
      <c r="D2962" t="s">
        <v>1483</v>
      </c>
      <c r="E2962">
        <v>-34421286</v>
      </c>
      <c r="F2962">
        <v>-32484181</v>
      </c>
      <c r="G2962">
        <v>35257050</v>
      </c>
      <c r="H2962">
        <v>34425668</v>
      </c>
      <c r="I2962">
        <v>-92977973</v>
      </c>
      <c r="J2962">
        <v>-324690081</v>
      </c>
      <c r="K2962">
        <v>-201922098</v>
      </c>
      <c r="L2962">
        <v>-22927427</v>
      </c>
      <c r="M2962">
        <v>7158183</v>
      </c>
      <c r="N2962">
        <v>-36673906</v>
      </c>
      <c r="O2962">
        <v>-4694402</v>
      </c>
      <c r="P2962">
        <v>81</v>
      </c>
      <c r="Q2962" t="s">
        <v>6263</v>
      </c>
    </row>
    <row r="2963" spans="1:17" x14ac:dyDescent="0.3">
      <c r="A2963" t="s">
        <v>17</v>
      </c>
      <c r="B2963" t="str">
        <f>"688558"</f>
        <v>688558</v>
      </c>
      <c r="C2963" t="s">
        <v>6264</v>
      </c>
      <c r="D2963" t="s">
        <v>1910</v>
      </c>
      <c r="E2963">
        <v>-34485662</v>
      </c>
      <c r="F2963">
        <v>-25344469</v>
      </c>
      <c r="G2963">
        <v>-3795202</v>
      </c>
      <c r="H2963">
        <v>14632400</v>
      </c>
      <c r="P2963">
        <v>95</v>
      </c>
      <c r="Q2963" t="s">
        <v>6265</v>
      </c>
    </row>
    <row r="2964" spans="1:17" x14ac:dyDescent="0.3">
      <c r="A2964" t="s">
        <v>33</v>
      </c>
      <c r="B2964" t="str">
        <f>"300491"</f>
        <v>300491</v>
      </c>
      <c r="C2964" t="s">
        <v>6266</v>
      </c>
      <c r="D2964" t="s">
        <v>2956</v>
      </c>
      <c r="E2964">
        <v>-34571225</v>
      </c>
      <c r="F2964">
        <v>-13284266</v>
      </c>
      <c r="G2964">
        <v>-7457006</v>
      </c>
      <c r="H2964">
        <v>-986888</v>
      </c>
      <c r="I2964">
        <v>-25081183</v>
      </c>
      <c r="J2964">
        <v>-22544894</v>
      </c>
      <c r="K2964">
        <v>6030951</v>
      </c>
      <c r="L2964">
        <v>2450026</v>
      </c>
      <c r="P2964">
        <v>94</v>
      </c>
      <c r="Q2964" t="s">
        <v>6267</v>
      </c>
    </row>
    <row r="2965" spans="1:17" x14ac:dyDescent="0.3">
      <c r="A2965" t="s">
        <v>33</v>
      </c>
      <c r="B2965" t="str">
        <f>"000798"</f>
        <v>000798</v>
      </c>
      <c r="C2965" t="s">
        <v>6268</v>
      </c>
      <c r="D2965" t="s">
        <v>3941</v>
      </c>
      <c r="E2965">
        <v>-34628656</v>
      </c>
      <c r="F2965">
        <v>-20531264</v>
      </c>
      <c r="G2965">
        <v>-22280163</v>
      </c>
      <c r="H2965">
        <v>-8516365</v>
      </c>
      <c r="I2965">
        <v>-17287178</v>
      </c>
      <c r="J2965">
        <v>9193494</v>
      </c>
      <c r="K2965">
        <v>-50624918</v>
      </c>
      <c r="L2965">
        <v>-58847563</v>
      </c>
      <c r="M2965">
        <v>-39189289</v>
      </c>
      <c r="N2965">
        <v>-66425675</v>
      </c>
      <c r="O2965">
        <v>-42457472</v>
      </c>
      <c r="P2965">
        <v>83</v>
      </c>
      <c r="Q2965" t="s">
        <v>6269</v>
      </c>
    </row>
    <row r="2966" spans="1:17" x14ac:dyDescent="0.3">
      <c r="A2966" t="s">
        <v>33</v>
      </c>
      <c r="B2966" t="str">
        <f>"000973"</f>
        <v>000973</v>
      </c>
      <c r="C2966" t="s">
        <v>6270</v>
      </c>
      <c r="D2966" t="s">
        <v>1734</v>
      </c>
      <c r="E2966">
        <v>-34661693</v>
      </c>
      <c r="F2966">
        <v>-41853548</v>
      </c>
      <c r="G2966">
        <v>51529125</v>
      </c>
      <c r="H2966">
        <v>-21928948</v>
      </c>
      <c r="I2966">
        <v>201398322</v>
      </c>
      <c r="J2966">
        <v>-44513590</v>
      </c>
      <c r="K2966">
        <v>14058732</v>
      </c>
      <c r="L2966">
        <v>-50029460</v>
      </c>
      <c r="M2966">
        <v>-43386300</v>
      </c>
      <c r="N2966">
        <v>-49762514</v>
      </c>
      <c r="O2966">
        <v>10584033</v>
      </c>
      <c r="P2966">
        <v>123</v>
      </c>
      <c r="Q2966" t="s">
        <v>6271</v>
      </c>
    </row>
    <row r="2967" spans="1:17" x14ac:dyDescent="0.3">
      <c r="A2967" t="s">
        <v>17</v>
      </c>
      <c r="B2967" t="str">
        <f>"601512"</f>
        <v>601512</v>
      </c>
      <c r="C2967" t="s">
        <v>6272</v>
      </c>
      <c r="D2967" t="s">
        <v>1135</v>
      </c>
      <c r="E2967">
        <v>-34668393</v>
      </c>
      <c r="F2967">
        <v>335269761</v>
      </c>
      <c r="G2967">
        <v>-512172837</v>
      </c>
      <c r="H2967">
        <v>-171780968</v>
      </c>
      <c r="P2967">
        <v>103</v>
      </c>
      <c r="Q2967" t="s">
        <v>6273</v>
      </c>
    </row>
    <row r="2968" spans="1:17" x14ac:dyDescent="0.3">
      <c r="A2968" t="s">
        <v>17</v>
      </c>
      <c r="B2968" t="str">
        <f>"603638"</f>
        <v>603638</v>
      </c>
      <c r="C2968" t="s">
        <v>6274</v>
      </c>
      <c r="D2968" t="s">
        <v>1213</v>
      </c>
      <c r="E2968">
        <v>-34677658</v>
      </c>
      <c r="F2968">
        <v>4986584</v>
      </c>
      <c r="G2968">
        <v>-32392765</v>
      </c>
      <c r="H2968">
        <v>-51151290</v>
      </c>
      <c r="I2968">
        <v>-10553404</v>
      </c>
      <c r="J2968">
        <v>-5113111</v>
      </c>
      <c r="K2968">
        <v>2769361</v>
      </c>
      <c r="P2968">
        <v>665</v>
      </c>
      <c r="Q2968" t="s">
        <v>6275</v>
      </c>
    </row>
    <row r="2969" spans="1:17" x14ac:dyDescent="0.3">
      <c r="A2969" t="s">
        <v>33</v>
      </c>
      <c r="B2969" t="str">
        <f>"000584"</f>
        <v>000584</v>
      </c>
      <c r="C2969" t="s">
        <v>6276</v>
      </c>
      <c r="D2969" t="s">
        <v>1142</v>
      </c>
      <c r="E2969">
        <v>-34683232</v>
      </c>
      <c r="F2969">
        <v>-66120864</v>
      </c>
      <c r="G2969">
        <v>-80390534</v>
      </c>
      <c r="H2969">
        <v>-105117594</v>
      </c>
      <c r="I2969">
        <v>36692621</v>
      </c>
      <c r="J2969">
        <v>-15427418</v>
      </c>
      <c r="K2969">
        <v>-11636155</v>
      </c>
      <c r="L2969">
        <v>15697658</v>
      </c>
      <c r="M2969">
        <v>185352846</v>
      </c>
      <c r="N2969">
        <v>-19981546</v>
      </c>
      <c r="O2969">
        <v>30200020</v>
      </c>
      <c r="P2969">
        <v>134</v>
      </c>
      <c r="Q2969" t="s">
        <v>6277</v>
      </c>
    </row>
    <row r="2970" spans="1:17" x14ac:dyDescent="0.3">
      <c r="A2970" t="s">
        <v>33</v>
      </c>
      <c r="B2970" t="str">
        <f>"002668"</f>
        <v>002668</v>
      </c>
      <c r="C2970" t="s">
        <v>6278</v>
      </c>
      <c r="D2970" t="s">
        <v>474</v>
      </c>
      <c r="E2970">
        <v>-34683375</v>
      </c>
      <c r="F2970">
        <v>-840672375</v>
      </c>
      <c r="G2970">
        <v>-353081888</v>
      </c>
      <c r="H2970">
        <v>-596251690</v>
      </c>
      <c r="I2970">
        <v>320338755</v>
      </c>
      <c r="J2970">
        <v>-500308808</v>
      </c>
      <c r="K2970">
        <v>-81252242</v>
      </c>
      <c r="L2970">
        <v>37333104</v>
      </c>
      <c r="M2970">
        <v>17160041</v>
      </c>
      <c r="N2970">
        <v>-91261681</v>
      </c>
      <c r="O2970">
        <v>-132642639</v>
      </c>
      <c r="P2970">
        <v>204</v>
      </c>
      <c r="Q2970" t="s">
        <v>6279</v>
      </c>
    </row>
    <row r="2971" spans="1:17" x14ac:dyDescent="0.3">
      <c r="A2971" t="s">
        <v>33</v>
      </c>
      <c r="B2971" t="str">
        <f>"300466"</f>
        <v>300466</v>
      </c>
      <c r="C2971" t="s">
        <v>6280</v>
      </c>
      <c r="D2971" t="s">
        <v>2128</v>
      </c>
      <c r="E2971">
        <v>-34698698</v>
      </c>
      <c r="F2971">
        <v>-26679310</v>
      </c>
      <c r="G2971">
        <v>-28573014</v>
      </c>
      <c r="H2971">
        <v>-4296411</v>
      </c>
      <c r="I2971">
        <v>-28824276</v>
      </c>
      <c r="J2971">
        <v>-29681572</v>
      </c>
      <c r="K2971">
        <v>-33235948</v>
      </c>
      <c r="L2971">
        <v>-18811194</v>
      </c>
      <c r="P2971">
        <v>121</v>
      </c>
      <c r="Q2971" t="s">
        <v>6281</v>
      </c>
    </row>
    <row r="2972" spans="1:17" x14ac:dyDescent="0.3">
      <c r="A2972" t="s">
        <v>33</v>
      </c>
      <c r="B2972" t="str">
        <f>"300509"</f>
        <v>300509</v>
      </c>
      <c r="C2972" t="s">
        <v>6282</v>
      </c>
      <c r="D2972" t="s">
        <v>2269</v>
      </c>
      <c r="E2972">
        <v>-34719288</v>
      </c>
      <c r="F2972">
        <v>-46486857</v>
      </c>
      <c r="G2972">
        <v>-9827745</v>
      </c>
      <c r="H2972">
        <v>-55897998</v>
      </c>
      <c r="I2972">
        <v>20212657</v>
      </c>
      <c r="J2972">
        <v>-3384735</v>
      </c>
      <c r="K2972">
        <v>-14904365</v>
      </c>
      <c r="L2972">
        <v>-8002203</v>
      </c>
      <c r="P2972">
        <v>64</v>
      </c>
      <c r="Q2972" t="s">
        <v>6283</v>
      </c>
    </row>
    <row r="2973" spans="1:17" x14ac:dyDescent="0.3">
      <c r="A2973" t="s">
        <v>17</v>
      </c>
      <c r="B2973" t="str">
        <f>"688049"</f>
        <v>688049</v>
      </c>
      <c r="C2973" t="s">
        <v>6284</v>
      </c>
      <c r="D2973" t="s">
        <v>1277</v>
      </c>
      <c r="E2973">
        <v>-34775725</v>
      </c>
      <c r="P2973">
        <v>21</v>
      </c>
      <c r="Q2973" t="s">
        <v>6285</v>
      </c>
    </row>
    <row r="2974" spans="1:17" x14ac:dyDescent="0.3">
      <c r="A2974" t="s">
        <v>33</v>
      </c>
      <c r="B2974" t="str">
        <f>"300767"</f>
        <v>300767</v>
      </c>
      <c r="C2974" t="s">
        <v>6286</v>
      </c>
      <c r="D2974" t="s">
        <v>2369</v>
      </c>
      <c r="E2974">
        <v>-34932300</v>
      </c>
      <c r="F2974">
        <v>-19785087</v>
      </c>
      <c r="G2974">
        <v>13158021</v>
      </c>
      <c r="H2974">
        <v>-38900457</v>
      </c>
      <c r="I2974">
        <v>14261254</v>
      </c>
      <c r="P2974">
        <v>197</v>
      </c>
      <c r="Q2974" t="s">
        <v>6287</v>
      </c>
    </row>
    <row r="2975" spans="1:17" x14ac:dyDescent="0.3">
      <c r="A2975" t="s">
        <v>17</v>
      </c>
      <c r="B2975" t="str">
        <f>"603500"</f>
        <v>603500</v>
      </c>
      <c r="C2975" t="s">
        <v>6288</v>
      </c>
      <c r="D2975" t="s">
        <v>1703</v>
      </c>
      <c r="E2975">
        <v>-34940415</v>
      </c>
      <c r="F2975">
        <v>-4612741</v>
      </c>
      <c r="G2975">
        <v>8267269</v>
      </c>
      <c r="H2975">
        <v>-31638776</v>
      </c>
      <c r="I2975">
        <v>-16815410</v>
      </c>
      <c r="J2975">
        <v>37756071</v>
      </c>
      <c r="P2975">
        <v>91</v>
      </c>
      <c r="Q2975" t="s">
        <v>6289</v>
      </c>
    </row>
    <row r="2976" spans="1:17" x14ac:dyDescent="0.3">
      <c r="A2976" t="s">
        <v>33</v>
      </c>
      <c r="B2976" t="str">
        <f>"301045"</f>
        <v>301045</v>
      </c>
      <c r="C2976" t="s">
        <v>6290</v>
      </c>
      <c r="D2976" t="s">
        <v>2017</v>
      </c>
      <c r="E2976">
        <v>-34942600</v>
      </c>
      <c r="F2976">
        <v>-27650694</v>
      </c>
      <c r="G2976">
        <v>2017912</v>
      </c>
      <c r="P2976">
        <v>17</v>
      </c>
      <c r="Q2976" t="s">
        <v>6291</v>
      </c>
    </row>
    <row r="2977" spans="1:17" x14ac:dyDescent="0.3">
      <c r="A2977" t="s">
        <v>33</v>
      </c>
      <c r="B2977" t="str">
        <f>"300557"</f>
        <v>300557</v>
      </c>
      <c r="C2977" t="s">
        <v>6292</v>
      </c>
      <c r="D2977" t="s">
        <v>2417</v>
      </c>
      <c r="E2977">
        <v>-34985605</v>
      </c>
      <c r="F2977">
        <v>-62394120</v>
      </c>
      <c r="G2977">
        <v>-40644453</v>
      </c>
      <c r="H2977">
        <v>-28993384</v>
      </c>
      <c r="I2977">
        <v>-19900278</v>
      </c>
      <c r="J2977">
        <v>-78535023</v>
      </c>
      <c r="K2977">
        <v>-41376356</v>
      </c>
      <c r="P2977">
        <v>61</v>
      </c>
      <c r="Q2977" t="s">
        <v>6293</v>
      </c>
    </row>
    <row r="2978" spans="1:17" x14ac:dyDescent="0.3">
      <c r="A2978" t="s">
        <v>33</v>
      </c>
      <c r="B2978" t="str">
        <f>"301169"</f>
        <v>301169</v>
      </c>
      <c r="C2978" t="s">
        <v>6294</v>
      </c>
      <c r="D2978" t="s">
        <v>3118</v>
      </c>
      <c r="E2978">
        <v>-35000643</v>
      </c>
      <c r="P2978">
        <v>15</v>
      </c>
      <c r="Q2978" t="s">
        <v>6295</v>
      </c>
    </row>
    <row r="2979" spans="1:17" x14ac:dyDescent="0.3">
      <c r="A2979" t="s">
        <v>17</v>
      </c>
      <c r="B2979" t="str">
        <f>"600608"</f>
        <v>600608</v>
      </c>
      <c r="C2979" t="s">
        <v>6296</v>
      </c>
      <c r="D2979" t="s">
        <v>1592</v>
      </c>
      <c r="E2979">
        <v>-35011426</v>
      </c>
      <c r="F2979">
        <v>-11012774</v>
      </c>
      <c r="G2979">
        <v>33170611</v>
      </c>
      <c r="H2979">
        <v>-3719443</v>
      </c>
      <c r="I2979">
        <v>-53703741</v>
      </c>
      <c r="J2979">
        <v>-34769034</v>
      </c>
      <c r="K2979">
        <v>-19222927</v>
      </c>
      <c r="L2979">
        <v>-9852175</v>
      </c>
      <c r="M2979">
        <v>17804257</v>
      </c>
      <c r="N2979">
        <v>-16844194</v>
      </c>
      <c r="O2979">
        <v>-31291676</v>
      </c>
      <c r="P2979">
        <v>47</v>
      </c>
      <c r="Q2979" t="s">
        <v>6297</v>
      </c>
    </row>
    <row r="2980" spans="1:17" x14ac:dyDescent="0.3">
      <c r="A2980" t="s">
        <v>33</v>
      </c>
      <c r="B2980" t="str">
        <f>"300112"</f>
        <v>300112</v>
      </c>
      <c r="C2980" t="s">
        <v>6298</v>
      </c>
      <c r="D2980" t="s">
        <v>2417</v>
      </c>
      <c r="E2980">
        <v>-35023775</v>
      </c>
      <c r="F2980">
        <v>-14325656</v>
      </c>
      <c r="G2980">
        <v>-871492</v>
      </c>
      <c r="H2980">
        <v>-666383</v>
      </c>
      <c r="I2980">
        <v>-15998207</v>
      </c>
      <c r="J2980">
        <v>7172721</v>
      </c>
      <c r="K2980">
        <v>-134166</v>
      </c>
      <c r="L2980">
        <v>-16935317</v>
      </c>
      <c r="M2980">
        <v>2176678</v>
      </c>
      <c r="N2980">
        <v>-4071963</v>
      </c>
      <c r="O2980">
        <v>893040</v>
      </c>
      <c r="P2980">
        <v>123</v>
      </c>
      <c r="Q2980" t="s">
        <v>6299</v>
      </c>
    </row>
    <row r="2981" spans="1:17" x14ac:dyDescent="0.3">
      <c r="A2981" t="s">
        <v>33</v>
      </c>
      <c r="B2981" t="str">
        <f>"300779"</f>
        <v>300779</v>
      </c>
      <c r="C2981" t="s">
        <v>6300</v>
      </c>
      <c r="D2981" t="s">
        <v>897</v>
      </c>
      <c r="E2981">
        <v>-35160813</v>
      </c>
      <c r="F2981">
        <v>-19109412</v>
      </c>
      <c r="G2981">
        <v>-20264002</v>
      </c>
      <c r="H2981">
        <v>20976208</v>
      </c>
      <c r="I2981">
        <v>9104738</v>
      </c>
      <c r="P2981">
        <v>62</v>
      </c>
      <c r="Q2981" t="s">
        <v>6301</v>
      </c>
    </row>
    <row r="2982" spans="1:17" x14ac:dyDescent="0.3">
      <c r="A2982" t="s">
        <v>33</v>
      </c>
      <c r="B2982" t="str">
        <f>"000715"</f>
        <v>000715</v>
      </c>
      <c r="C2982" t="s">
        <v>6302</v>
      </c>
      <c r="D2982" t="s">
        <v>989</v>
      </c>
      <c r="E2982">
        <v>-35195878</v>
      </c>
      <c r="F2982">
        <v>66291815</v>
      </c>
      <c r="G2982">
        <v>-43973510</v>
      </c>
      <c r="H2982">
        <v>93578867</v>
      </c>
      <c r="I2982">
        <v>78838338</v>
      </c>
      <c r="J2982">
        <v>31731104</v>
      </c>
      <c r="K2982">
        <v>-10343979</v>
      </c>
      <c r="L2982">
        <v>-26701877</v>
      </c>
      <c r="M2982">
        <v>-29877239</v>
      </c>
      <c r="N2982">
        <v>75172395</v>
      </c>
      <c r="O2982">
        <v>71979391</v>
      </c>
      <c r="P2982">
        <v>103</v>
      </c>
      <c r="Q2982" t="s">
        <v>6303</v>
      </c>
    </row>
    <row r="2983" spans="1:17" x14ac:dyDescent="0.3">
      <c r="A2983" t="s">
        <v>33</v>
      </c>
      <c r="B2983" t="str">
        <f>"002971"</f>
        <v>002971</v>
      </c>
      <c r="C2983" t="s">
        <v>6304</v>
      </c>
      <c r="D2983" t="s">
        <v>418</v>
      </c>
      <c r="E2983">
        <v>-35211956</v>
      </c>
      <c r="F2983">
        <v>-19169292</v>
      </c>
      <c r="G2983">
        <v>-70850558</v>
      </c>
      <c r="H2983">
        <v>15532172</v>
      </c>
      <c r="P2983">
        <v>70</v>
      </c>
      <c r="Q2983" t="s">
        <v>6305</v>
      </c>
    </row>
    <row r="2984" spans="1:17" x14ac:dyDescent="0.3">
      <c r="A2984" t="s">
        <v>17</v>
      </c>
      <c r="B2984" t="str">
        <f>"600367"</f>
        <v>600367</v>
      </c>
      <c r="C2984" t="s">
        <v>6306</v>
      </c>
      <c r="D2984" t="s">
        <v>511</v>
      </c>
      <c r="E2984">
        <v>-35218180</v>
      </c>
      <c r="F2984">
        <v>-22792876</v>
      </c>
      <c r="G2984">
        <v>-51543490</v>
      </c>
      <c r="H2984">
        <v>101343070</v>
      </c>
      <c r="I2984">
        <v>-50239759</v>
      </c>
      <c r="J2984">
        <v>13704963</v>
      </c>
      <c r="K2984">
        <v>10415024</v>
      </c>
      <c r="L2984">
        <v>22332906</v>
      </c>
      <c r="M2984">
        <v>-25257830</v>
      </c>
      <c r="N2984">
        <v>-61678455</v>
      </c>
      <c r="O2984">
        <v>-2401447</v>
      </c>
      <c r="P2984">
        <v>115</v>
      </c>
      <c r="Q2984" t="s">
        <v>6307</v>
      </c>
    </row>
    <row r="2985" spans="1:17" x14ac:dyDescent="0.3">
      <c r="A2985" t="s">
        <v>17</v>
      </c>
      <c r="B2985" t="str">
        <f>"605088"</f>
        <v>605088</v>
      </c>
      <c r="C2985" t="s">
        <v>6308</v>
      </c>
      <c r="D2985" t="s">
        <v>858</v>
      </c>
      <c r="E2985">
        <v>-35246874</v>
      </c>
      <c r="F2985">
        <v>-81367703</v>
      </c>
      <c r="G2985">
        <v>-31883873</v>
      </c>
      <c r="H2985">
        <v>-50391058</v>
      </c>
      <c r="P2985">
        <v>47</v>
      </c>
      <c r="Q2985" t="s">
        <v>6309</v>
      </c>
    </row>
    <row r="2986" spans="1:17" x14ac:dyDescent="0.3">
      <c r="A2986" t="s">
        <v>17</v>
      </c>
      <c r="B2986" t="str">
        <f>"601636"</f>
        <v>601636</v>
      </c>
      <c r="C2986" t="s">
        <v>6310</v>
      </c>
      <c r="D2986" t="s">
        <v>1025</v>
      </c>
      <c r="E2986">
        <v>-35469597</v>
      </c>
      <c r="F2986">
        <v>871816634</v>
      </c>
      <c r="G2986">
        <v>-239211556</v>
      </c>
      <c r="H2986">
        <v>106758142</v>
      </c>
      <c r="I2986">
        <v>234626340</v>
      </c>
      <c r="J2986">
        <v>264474599</v>
      </c>
      <c r="K2986">
        <v>11225836</v>
      </c>
      <c r="L2986">
        <v>22623158</v>
      </c>
      <c r="M2986">
        <v>252967541</v>
      </c>
      <c r="N2986">
        <v>378239415</v>
      </c>
      <c r="O2986">
        <v>34263172</v>
      </c>
      <c r="P2986">
        <v>1517</v>
      </c>
      <c r="Q2986" t="s">
        <v>6311</v>
      </c>
    </row>
    <row r="2987" spans="1:17" x14ac:dyDescent="0.3">
      <c r="A2987" t="s">
        <v>17</v>
      </c>
      <c r="B2987" t="str">
        <f>"600505"</f>
        <v>600505</v>
      </c>
      <c r="C2987" t="s">
        <v>6312</v>
      </c>
      <c r="D2987" t="s">
        <v>245</v>
      </c>
      <c r="E2987">
        <v>-35507942</v>
      </c>
      <c r="F2987">
        <v>-5875814</v>
      </c>
      <c r="G2987">
        <v>-7237194</v>
      </c>
      <c r="H2987">
        <v>5417083</v>
      </c>
      <c r="I2987">
        <v>48176245</v>
      </c>
      <c r="J2987">
        <v>49905642</v>
      </c>
      <c r="K2987">
        <v>31689995</v>
      </c>
      <c r="L2987">
        <v>36109152</v>
      </c>
      <c r="M2987">
        <v>55287351</v>
      </c>
      <c r="N2987">
        <v>4843770</v>
      </c>
      <c r="O2987">
        <v>-30911024</v>
      </c>
      <c r="P2987">
        <v>104</v>
      </c>
      <c r="Q2987" t="s">
        <v>6313</v>
      </c>
    </row>
    <row r="2988" spans="1:17" x14ac:dyDescent="0.3">
      <c r="A2988" t="s">
        <v>33</v>
      </c>
      <c r="B2988" t="str">
        <f>"300081"</f>
        <v>300081</v>
      </c>
      <c r="C2988" t="s">
        <v>6314</v>
      </c>
      <c r="D2988" t="s">
        <v>1566</v>
      </c>
      <c r="E2988">
        <v>-35530072</v>
      </c>
      <c r="F2988">
        <v>-26470855</v>
      </c>
      <c r="G2988">
        <v>-51381697</v>
      </c>
      <c r="H2988">
        <v>-45534512</v>
      </c>
      <c r="I2988">
        <v>-46209619</v>
      </c>
      <c r="J2988">
        <v>-46806417</v>
      </c>
      <c r="K2988">
        <v>21897172</v>
      </c>
      <c r="L2988">
        <v>1754035</v>
      </c>
      <c r="M2988">
        <v>10626949</v>
      </c>
      <c r="N2988">
        <v>-21547954</v>
      </c>
      <c r="O2988">
        <v>-99905405</v>
      </c>
      <c r="P2988">
        <v>160</v>
      </c>
      <c r="Q2988" t="s">
        <v>6315</v>
      </c>
    </row>
    <row r="2989" spans="1:17" x14ac:dyDescent="0.3">
      <c r="A2989" t="s">
        <v>33</v>
      </c>
      <c r="B2989" t="str">
        <f>"300050"</f>
        <v>300050</v>
      </c>
      <c r="C2989" t="s">
        <v>6316</v>
      </c>
      <c r="D2989" t="s">
        <v>4393</v>
      </c>
      <c r="E2989">
        <v>-35543016</v>
      </c>
      <c r="F2989">
        <v>-74352551</v>
      </c>
      <c r="G2989">
        <v>-152700305</v>
      </c>
      <c r="H2989">
        <v>-136071365</v>
      </c>
      <c r="I2989">
        <v>-150912604</v>
      </c>
      <c r="J2989">
        <v>-40760962</v>
      </c>
      <c r="K2989">
        <v>-39442383</v>
      </c>
      <c r="L2989">
        <v>-31849945</v>
      </c>
      <c r="M2989">
        <v>-24585207</v>
      </c>
      <c r="N2989">
        <v>-3210441</v>
      </c>
      <c r="O2989">
        <v>-45737577</v>
      </c>
      <c r="P2989">
        <v>164</v>
      </c>
      <c r="Q2989" t="s">
        <v>6317</v>
      </c>
    </row>
    <row r="2990" spans="1:17" x14ac:dyDescent="0.3">
      <c r="A2990" t="s">
        <v>33</v>
      </c>
      <c r="B2990" t="str">
        <f>"000679"</f>
        <v>000679</v>
      </c>
      <c r="C2990" t="s">
        <v>6318</v>
      </c>
      <c r="D2990" t="s">
        <v>526</v>
      </c>
      <c r="E2990">
        <v>-35547612</v>
      </c>
      <c r="F2990">
        <v>7158627</v>
      </c>
      <c r="G2990">
        <v>-6709161</v>
      </c>
      <c r="H2990">
        <v>-17916335</v>
      </c>
      <c r="I2990">
        <v>-109052372</v>
      </c>
      <c r="J2990">
        <v>-199126569</v>
      </c>
      <c r="K2990">
        <v>235847271</v>
      </c>
      <c r="L2990">
        <v>-69256022</v>
      </c>
      <c r="M2990">
        <v>-261158109</v>
      </c>
      <c r="N2990">
        <v>-86087611</v>
      </c>
      <c r="O2990">
        <v>-127109914</v>
      </c>
      <c r="P2990">
        <v>83</v>
      </c>
      <c r="Q2990" t="s">
        <v>6319</v>
      </c>
    </row>
    <row r="2991" spans="1:17" x14ac:dyDescent="0.3">
      <c r="A2991" t="s">
        <v>17</v>
      </c>
      <c r="B2991" t="str">
        <f>"605098"</f>
        <v>605098</v>
      </c>
      <c r="C2991" t="s">
        <v>6320</v>
      </c>
      <c r="D2991" t="s">
        <v>761</v>
      </c>
      <c r="E2991">
        <v>-35550454</v>
      </c>
      <c r="F2991">
        <v>58044740</v>
      </c>
      <c r="G2991">
        <v>-27309873</v>
      </c>
      <c r="P2991">
        <v>53</v>
      </c>
      <c r="Q2991" t="s">
        <v>6321</v>
      </c>
    </row>
    <row r="2992" spans="1:17" x14ac:dyDescent="0.3">
      <c r="A2992" t="s">
        <v>17</v>
      </c>
      <c r="B2992" t="str">
        <f>"688020"</f>
        <v>688020</v>
      </c>
      <c r="C2992" t="s">
        <v>6322</v>
      </c>
      <c r="D2992" t="s">
        <v>239</v>
      </c>
      <c r="E2992">
        <v>-35561896</v>
      </c>
      <c r="F2992">
        <v>33622518</v>
      </c>
      <c r="G2992">
        <v>13649718</v>
      </c>
      <c r="H2992">
        <v>30340100</v>
      </c>
      <c r="I2992">
        <v>25007300</v>
      </c>
      <c r="P2992">
        <v>253</v>
      </c>
      <c r="Q2992" t="s">
        <v>6323</v>
      </c>
    </row>
    <row r="2993" spans="1:17" x14ac:dyDescent="0.3">
      <c r="A2993" t="s">
        <v>17</v>
      </c>
      <c r="B2993" t="str">
        <f>"603608"</f>
        <v>603608</v>
      </c>
      <c r="C2993" t="s">
        <v>6324</v>
      </c>
      <c r="D2993" t="s">
        <v>1680</v>
      </c>
      <c r="E2993">
        <v>-35594113</v>
      </c>
      <c r="F2993">
        <v>-24624880</v>
      </c>
      <c r="G2993">
        <v>32650877</v>
      </c>
      <c r="H2993">
        <v>27647349</v>
      </c>
      <c r="I2993">
        <v>40172791</v>
      </c>
      <c r="J2993">
        <v>71434007</v>
      </c>
      <c r="K2993">
        <v>19033433</v>
      </c>
      <c r="L2993">
        <v>2906557</v>
      </c>
      <c r="P2993">
        <v>138</v>
      </c>
      <c r="Q2993" t="s">
        <v>6325</v>
      </c>
    </row>
    <row r="2994" spans="1:17" x14ac:dyDescent="0.3">
      <c r="A2994" t="s">
        <v>33</v>
      </c>
      <c r="B2994" t="str">
        <f>"300929"</f>
        <v>300929</v>
      </c>
      <c r="C2994" t="s">
        <v>6326</v>
      </c>
      <c r="D2994" t="s">
        <v>932</v>
      </c>
      <c r="E2994">
        <v>-35603955</v>
      </c>
      <c r="F2994">
        <v>-120308088</v>
      </c>
      <c r="G2994">
        <v>-14377678</v>
      </c>
      <c r="P2994">
        <v>48</v>
      </c>
      <c r="Q2994" t="s">
        <v>6327</v>
      </c>
    </row>
    <row r="2995" spans="1:17" x14ac:dyDescent="0.3">
      <c r="A2995" t="s">
        <v>17</v>
      </c>
      <c r="B2995" t="str">
        <f>"603860"</f>
        <v>603860</v>
      </c>
      <c r="C2995" t="s">
        <v>6328</v>
      </c>
      <c r="D2995" t="s">
        <v>4300</v>
      </c>
      <c r="E2995">
        <v>-35719614</v>
      </c>
      <c r="F2995">
        <v>-22762786</v>
      </c>
      <c r="G2995">
        <v>-31979134</v>
      </c>
      <c r="H2995">
        <v>-24670212</v>
      </c>
      <c r="I2995">
        <v>-29372285</v>
      </c>
      <c r="J2995">
        <v>-21084602</v>
      </c>
      <c r="K2995">
        <v>-9950808</v>
      </c>
      <c r="P2995">
        <v>58</v>
      </c>
      <c r="Q2995" t="s">
        <v>6329</v>
      </c>
    </row>
    <row r="2996" spans="1:17" x14ac:dyDescent="0.3">
      <c r="A2996" t="s">
        <v>17</v>
      </c>
      <c r="B2996" t="str">
        <f>"603725"</f>
        <v>603725</v>
      </c>
      <c r="C2996" t="s">
        <v>6330</v>
      </c>
      <c r="D2996" t="s">
        <v>418</v>
      </c>
      <c r="E2996">
        <v>-35724598</v>
      </c>
      <c r="F2996">
        <v>11004507</v>
      </c>
      <c r="G2996">
        <v>-7552347</v>
      </c>
      <c r="H2996">
        <v>-9554995</v>
      </c>
      <c r="I2996">
        <v>-29316490</v>
      </c>
      <c r="J2996">
        <v>-11963138</v>
      </c>
      <c r="P2996">
        <v>74</v>
      </c>
      <c r="Q2996" t="s">
        <v>6331</v>
      </c>
    </row>
    <row r="2997" spans="1:17" x14ac:dyDescent="0.3">
      <c r="A2997" t="s">
        <v>33</v>
      </c>
      <c r="B2997" t="str">
        <f>"300065"</f>
        <v>300065</v>
      </c>
      <c r="C2997" t="s">
        <v>6332</v>
      </c>
      <c r="D2997" t="s">
        <v>248</v>
      </c>
      <c r="E2997">
        <v>-35802393</v>
      </c>
      <c r="F2997">
        <v>-91782325</v>
      </c>
      <c r="G2997">
        <v>-41682012</v>
      </c>
      <c r="H2997">
        <v>19838063</v>
      </c>
      <c r="I2997">
        <v>16696964</v>
      </c>
      <c r="J2997">
        <v>-25167093</v>
      </c>
      <c r="K2997">
        <v>-38185420</v>
      </c>
      <c r="L2997">
        <v>-43329238</v>
      </c>
      <c r="M2997">
        <v>-65808175</v>
      </c>
      <c r="N2997">
        <v>-85931116</v>
      </c>
      <c r="O2997">
        <v>-83436109</v>
      </c>
      <c r="P2997">
        <v>152</v>
      </c>
      <c r="Q2997" t="s">
        <v>6333</v>
      </c>
    </row>
    <row r="2998" spans="1:17" x14ac:dyDescent="0.3">
      <c r="A2998" t="s">
        <v>33</v>
      </c>
      <c r="B2998" t="str">
        <f>"300333"</f>
        <v>300333</v>
      </c>
      <c r="C2998" t="s">
        <v>6334</v>
      </c>
      <c r="D2998" t="s">
        <v>1571</v>
      </c>
      <c r="E2998">
        <v>-36073206</v>
      </c>
      <c r="F2998">
        <v>-34476890</v>
      </c>
      <c r="G2998">
        <v>-19998423</v>
      </c>
      <c r="H2998">
        <v>-44077541</v>
      </c>
      <c r="I2998">
        <v>-8430377</v>
      </c>
      <c r="J2998">
        <v>-16291632</v>
      </c>
      <c r="K2998">
        <v>-12131327</v>
      </c>
      <c r="L2998">
        <v>-12679128</v>
      </c>
      <c r="M2998">
        <v>-16706064</v>
      </c>
      <c r="N2998">
        <v>-10948576</v>
      </c>
      <c r="O2998">
        <v>21682849</v>
      </c>
      <c r="P2998">
        <v>94</v>
      </c>
      <c r="Q2998" t="s">
        <v>6335</v>
      </c>
    </row>
    <row r="2999" spans="1:17" x14ac:dyDescent="0.3">
      <c r="A2999" t="s">
        <v>33</v>
      </c>
      <c r="B2999" t="str">
        <f>"300875"</f>
        <v>300875</v>
      </c>
      <c r="C2999" t="s">
        <v>6336</v>
      </c>
      <c r="D2999" t="s">
        <v>967</v>
      </c>
      <c r="E2999">
        <v>-36173813</v>
      </c>
      <c r="F2999">
        <v>133261036</v>
      </c>
      <c r="G2999">
        <v>69007221</v>
      </c>
      <c r="I2999">
        <v>1974512</v>
      </c>
      <c r="P2999">
        <v>106</v>
      </c>
      <c r="Q2999" t="s">
        <v>6337</v>
      </c>
    </row>
    <row r="3000" spans="1:17" x14ac:dyDescent="0.3">
      <c r="A3000" t="s">
        <v>33</v>
      </c>
      <c r="B3000" t="str">
        <f>"301213"</f>
        <v>301213</v>
      </c>
      <c r="C3000" t="s">
        <v>6338</v>
      </c>
      <c r="D3000" t="s">
        <v>617</v>
      </c>
      <c r="E3000">
        <v>-36237945</v>
      </c>
      <c r="G3000">
        <v>12501318</v>
      </c>
      <c r="P3000">
        <v>16</v>
      </c>
      <c r="Q3000" t="s">
        <v>6339</v>
      </c>
    </row>
    <row r="3001" spans="1:17" x14ac:dyDescent="0.3">
      <c r="A3001" t="s">
        <v>33</v>
      </c>
      <c r="B3001" t="str">
        <f>"002356"</f>
        <v>002356</v>
      </c>
      <c r="C3001" t="s">
        <v>6340</v>
      </c>
      <c r="D3001" t="s">
        <v>526</v>
      </c>
      <c r="E3001">
        <v>-36247843</v>
      </c>
      <c r="F3001">
        <v>-51652</v>
      </c>
      <c r="G3001">
        <v>27471925</v>
      </c>
      <c r="H3001">
        <v>-5792879</v>
      </c>
      <c r="I3001">
        <v>-236638469</v>
      </c>
      <c r="J3001">
        <v>-176422702</v>
      </c>
      <c r="K3001">
        <v>-186720730</v>
      </c>
      <c r="L3001">
        <v>-87496073</v>
      </c>
      <c r="M3001">
        <v>698908</v>
      </c>
      <c r="N3001">
        <v>-97284445</v>
      </c>
      <c r="O3001">
        <v>-41501134</v>
      </c>
      <c r="P3001">
        <v>75</v>
      </c>
      <c r="Q3001" t="s">
        <v>6341</v>
      </c>
    </row>
    <row r="3002" spans="1:17" x14ac:dyDescent="0.3">
      <c r="A3002" t="s">
        <v>33</v>
      </c>
      <c r="B3002" t="str">
        <f>"002771"</f>
        <v>002771</v>
      </c>
      <c r="C3002" t="s">
        <v>6342</v>
      </c>
      <c r="D3002" t="s">
        <v>508</v>
      </c>
      <c r="E3002">
        <v>-36298373</v>
      </c>
      <c r="F3002">
        <v>-95292621</v>
      </c>
      <c r="G3002">
        <v>-109623419</v>
      </c>
      <c r="H3002">
        <v>-148668612</v>
      </c>
      <c r="I3002">
        <v>-159714754</v>
      </c>
      <c r="J3002">
        <v>-132952757</v>
      </c>
      <c r="K3002">
        <v>-134552013</v>
      </c>
      <c r="L3002">
        <v>-76150900</v>
      </c>
      <c r="M3002">
        <v>-66628400</v>
      </c>
      <c r="P3002">
        <v>95</v>
      </c>
      <c r="Q3002" t="s">
        <v>6343</v>
      </c>
    </row>
    <row r="3003" spans="1:17" x14ac:dyDescent="0.3">
      <c r="A3003" t="s">
        <v>33</v>
      </c>
      <c r="B3003" t="str">
        <f>"300966"</f>
        <v>300966</v>
      </c>
      <c r="C3003" t="s">
        <v>6344</v>
      </c>
      <c r="D3003" t="s">
        <v>941</v>
      </c>
      <c r="E3003">
        <v>-36560041</v>
      </c>
      <c r="F3003">
        <v>13908393</v>
      </c>
      <c r="G3003">
        <v>-17820932</v>
      </c>
      <c r="P3003">
        <v>32</v>
      </c>
      <c r="Q3003" t="s">
        <v>6345</v>
      </c>
    </row>
    <row r="3004" spans="1:17" x14ac:dyDescent="0.3">
      <c r="A3004" t="s">
        <v>33</v>
      </c>
      <c r="B3004" t="str">
        <f>"301256"</f>
        <v>301256</v>
      </c>
      <c r="C3004" t="s">
        <v>6346</v>
      </c>
      <c r="E3004">
        <v>-36640674</v>
      </c>
      <c r="P3004">
        <v>3</v>
      </c>
      <c r="Q3004" t="s">
        <v>6347</v>
      </c>
    </row>
    <row r="3005" spans="1:17" x14ac:dyDescent="0.3">
      <c r="A3005" t="s">
        <v>17</v>
      </c>
      <c r="B3005" t="str">
        <f>"600783"</f>
        <v>600783</v>
      </c>
      <c r="C3005" t="s">
        <v>6348</v>
      </c>
      <c r="D3005" t="s">
        <v>523</v>
      </c>
      <c r="E3005">
        <v>-36661731</v>
      </c>
      <c r="F3005">
        <v>-20583623</v>
      </c>
      <c r="G3005">
        <v>-30932870</v>
      </c>
      <c r="H3005">
        <v>-62045677</v>
      </c>
      <c r="I3005">
        <v>-38344369</v>
      </c>
      <c r="J3005">
        <v>-75899379</v>
      </c>
      <c r="K3005">
        <v>-15213767</v>
      </c>
      <c r="L3005">
        <v>-12759466</v>
      </c>
      <c r="M3005">
        <v>-16967782</v>
      </c>
      <c r="N3005">
        <v>-11246219</v>
      </c>
      <c r="O3005">
        <v>-1267760</v>
      </c>
      <c r="P3005">
        <v>124</v>
      </c>
      <c r="Q3005" t="s">
        <v>6349</v>
      </c>
    </row>
    <row r="3006" spans="1:17" x14ac:dyDescent="0.3">
      <c r="A3006" t="s">
        <v>33</v>
      </c>
      <c r="B3006" t="str">
        <f>"002114"</f>
        <v>002114</v>
      </c>
      <c r="C3006" t="s">
        <v>6350</v>
      </c>
      <c r="D3006" t="s">
        <v>702</v>
      </c>
      <c r="E3006">
        <v>-36684559</v>
      </c>
      <c r="F3006">
        <v>-3408218</v>
      </c>
      <c r="G3006">
        <v>-87187639</v>
      </c>
      <c r="H3006">
        <v>2593640</v>
      </c>
      <c r="I3006">
        <v>23879284</v>
      </c>
      <c r="J3006">
        <v>-135162445</v>
      </c>
      <c r="K3006">
        <v>-84478295</v>
      </c>
      <c r="L3006">
        <v>65090023</v>
      </c>
      <c r="M3006">
        <v>78124147</v>
      </c>
      <c r="N3006">
        <v>38031907</v>
      </c>
      <c r="O3006">
        <v>236878501</v>
      </c>
      <c r="P3006">
        <v>73</v>
      </c>
      <c r="Q3006" t="s">
        <v>6351</v>
      </c>
    </row>
    <row r="3007" spans="1:17" x14ac:dyDescent="0.3">
      <c r="A3007" t="s">
        <v>17</v>
      </c>
      <c r="B3007" t="str">
        <f>"600753"</f>
        <v>600753</v>
      </c>
      <c r="C3007" t="s">
        <v>6352</v>
      </c>
      <c r="D3007" t="s">
        <v>5270</v>
      </c>
      <c r="E3007">
        <v>-36733388</v>
      </c>
      <c r="F3007">
        <v>-60825036</v>
      </c>
      <c r="G3007">
        <v>-50334517</v>
      </c>
      <c r="H3007">
        <v>-80523124</v>
      </c>
      <c r="I3007">
        <v>-171963034</v>
      </c>
      <c r="J3007">
        <v>-3563147</v>
      </c>
      <c r="K3007">
        <v>-1661977</v>
      </c>
      <c r="L3007">
        <v>-119714</v>
      </c>
      <c r="M3007">
        <v>-198927</v>
      </c>
      <c r="N3007">
        <v>-179427</v>
      </c>
      <c r="O3007">
        <v>-173914</v>
      </c>
      <c r="P3007">
        <v>91</v>
      </c>
      <c r="Q3007" t="s">
        <v>6353</v>
      </c>
    </row>
    <row r="3008" spans="1:17" x14ac:dyDescent="0.3">
      <c r="A3008" t="s">
        <v>17</v>
      </c>
      <c r="B3008" t="str">
        <f>"600230"</f>
        <v>600230</v>
      </c>
      <c r="C3008" t="s">
        <v>6354</v>
      </c>
      <c r="D3008" t="s">
        <v>195</v>
      </c>
      <c r="E3008">
        <v>-36748955</v>
      </c>
      <c r="F3008">
        <v>85155555</v>
      </c>
      <c r="G3008">
        <v>-195100433</v>
      </c>
      <c r="H3008">
        <v>73828776</v>
      </c>
      <c r="I3008">
        <v>67561180</v>
      </c>
      <c r="J3008">
        <v>192669555</v>
      </c>
      <c r="K3008">
        <v>29842785</v>
      </c>
      <c r="L3008">
        <v>-11072446</v>
      </c>
      <c r="M3008">
        <v>-67746845</v>
      </c>
      <c r="N3008">
        <v>157851314</v>
      </c>
      <c r="O3008">
        <v>120732475</v>
      </c>
      <c r="P3008">
        <v>382</v>
      </c>
      <c r="Q3008" t="s">
        <v>6355</v>
      </c>
    </row>
    <row r="3009" spans="1:17" x14ac:dyDescent="0.3">
      <c r="A3009" t="s">
        <v>17</v>
      </c>
      <c r="B3009" t="str">
        <f>"688701"</f>
        <v>688701</v>
      </c>
      <c r="C3009" t="s">
        <v>6356</v>
      </c>
      <c r="D3009" t="s">
        <v>2171</v>
      </c>
      <c r="E3009">
        <v>-36794081</v>
      </c>
      <c r="G3009">
        <v>-65239302</v>
      </c>
      <c r="P3009">
        <v>19</v>
      </c>
      <c r="Q3009" t="s">
        <v>6357</v>
      </c>
    </row>
    <row r="3010" spans="1:17" x14ac:dyDescent="0.3">
      <c r="A3010" t="s">
        <v>17</v>
      </c>
      <c r="B3010" t="str">
        <f>"688165"</f>
        <v>688165</v>
      </c>
      <c r="C3010" t="s">
        <v>6358</v>
      </c>
      <c r="D3010" t="s">
        <v>1142</v>
      </c>
      <c r="E3010">
        <v>-36832427</v>
      </c>
      <c r="F3010">
        <v>-25191400</v>
      </c>
      <c r="G3010">
        <v>-55780098</v>
      </c>
      <c r="P3010">
        <v>64</v>
      </c>
      <c r="Q3010" t="s">
        <v>6359</v>
      </c>
    </row>
    <row r="3011" spans="1:17" x14ac:dyDescent="0.3">
      <c r="A3011" t="s">
        <v>17</v>
      </c>
      <c r="B3011" t="str">
        <f>"688018"</f>
        <v>688018</v>
      </c>
      <c r="C3011" t="s">
        <v>6360</v>
      </c>
      <c r="D3011" t="s">
        <v>1277</v>
      </c>
      <c r="E3011">
        <v>-36870506</v>
      </c>
      <c r="F3011">
        <v>-13498498</v>
      </c>
      <c r="G3011">
        <v>-107151743</v>
      </c>
      <c r="H3011">
        <v>-3951070</v>
      </c>
      <c r="I3011">
        <v>3539605</v>
      </c>
      <c r="P3011">
        <v>317</v>
      </c>
      <c r="Q3011" t="s">
        <v>6361</v>
      </c>
    </row>
    <row r="3012" spans="1:17" x14ac:dyDescent="0.3">
      <c r="A3012" t="s">
        <v>33</v>
      </c>
      <c r="B3012" t="str">
        <f>"002890"</f>
        <v>002890</v>
      </c>
      <c r="C3012" t="s">
        <v>6362</v>
      </c>
      <c r="D3012" t="s">
        <v>2941</v>
      </c>
      <c r="E3012">
        <v>-36887183</v>
      </c>
      <c r="F3012">
        <v>-15217691</v>
      </c>
      <c r="G3012">
        <v>-7909634</v>
      </c>
      <c r="H3012">
        <v>-4286841</v>
      </c>
      <c r="I3012">
        <v>-18785855</v>
      </c>
      <c r="J3012">
        <v>2244380</v>
      </c>
      <c r="P3012">
        <v>70</v>
      </c>
      <c r="Q3012" t="s">
        <v>6363</v>
      </c>
    </row>
    <row r="3013" spans="1:17" x14ac:dyDescent="0.3">
      <c r="A3013" t="s">
        <v>33</v>
      </c>
      <c r="B3013" t="str">
        <f>"300204"</f>
        <v>300204</v>
      </c>
      <c r="C3013" t="s">
        <v>6364</v>
      </c>
      <c r="D3013" t="s">
        <v>756</v>
      </c>
      <c r="E3013">
        <v>-36899357</v>
      </c>
      <c r="F3013">
        <v>-30451157</v>
      </c>
      <c r="G3013">
        <v>26920230</v>
      </c>
      <c r="H3013">
        <v>83395180</v>
      </c>
      <c r="I3013">
        <v>143116962</v>
      </c>
      <c r="J3013">
        <v>111125680</v>
      </c>
      <c r="K3013">
        <v>112521955</v>
      </c>
      <c r="L3013">
        <v>48657102</v>
      </c>
      <c r="M3013">
        <v>40584136</v>
      </c>
      <c r="N3013">
        <v>17213717</v>
      </c>
      <c r="O3013">
        <v>24424522</v>
      </c>
      <c r="P3013">
        <v>202</v>
      </c>
      <c r="Q3013" t="s">
        <v>6365</v>
      </c>
    </row>
    <row r="3014" spans="1:17" x14ac:dyDescent="0.3">
      <c r="A3014" t="s">
        <v>33</v>
      </c>
      <c r="B3014" t="str">
        <f>"300410"</f>
        <v>300410</v>
      </c>
      <c r="C3014" t="s">
        <v>6366</v>
      </c>
      <c r="D3014" t="s">
        <v>2417</v>
      </c>
      <c r="E3014">
        <v>-37130422</v>
      </c>
      <c r="F3014">
        <v>18441588</v>
      </c>
      <c r="G3014">
        <v>-7878319</v>
      </c>
      <c r="H3014">
        <v>-64277063</v>
      </c>
      <c r="I3014">
        <v>-36211917</v>
      </c>
      <c r="J3014">
        <v>4669898</v>
      </c>
      <c r="K3014">
        <v>-6909797</v>
      </c>
      <c r="L3014">
        <v>-11057510</v>
      </c>
      <c r="M3014">
        <v>-9771294</v>
      </c>
      <c r="P3014">
        <v>215</v>
      </c>
      <c r="Q3014" t="s">
        <v>6367</v>
      </c>
    </row>
    <row r="3015" spans="1:17" x14ac:dyDescent="0.3">
      <c r="A3015" t="s">
        <v>17</v>
      </c>
      <c r="B3015" t="str">
        <f>"688510"</f>
        <v>688510</v>
      </c>
      <c r="C3015" t="s">
        <v>6368</v>
      </c>
      <c r="D3015" t="s">
        <v>2262</v>
      </c>
      <c r="E3015">
        <v>-37136426</v>
      </c>
      <c r="F3015">
        <v>-29756181</v>
      </c>
      <c r="G3015">
        <v>-16604856</v>
      </c>
      <c r="P3015">
        <v>66</v>
      </c>
      <c r="Q3015" t="s">
        <v>6369</v>
      </c>
    </row>
    <row r="3016" spans="1:17" x14ac:dyDescent="0.3">
      <c r="A3016" t="s">
        <v>33</v>
      </c>
      <c r="B3016" t="str">
        <f>"300726"</f>
        <v>300726</v>
      </c>
      <c r="C3016" t="s">
        <v>6370</v>
      </c>
      <c r="D3016" t="s">
        <v>617</v>
      </c>
      <c r="E3016">
        <v>-37165161</v>
      </c>
      <c r="F3016">
        <v>43642633</v>
      </c>
      <c r="G3016">
        <v>-17524302</v>
      </c>
      <c r="H3016">
        <v>-6257385</v>
      </c>
      <c r="I3016">
        <v>-21876755</v>
      </c>
      <c r="J3016">
        <v>707524</v>
      </c>
      <c r="P3016">
        <v>748</v>
      </c>
      <c r="Q3016" t="s">
        <v>6371</v>
      </c>
    </row>
    <row r="3017" spans="1:17" x14ac:dyDescent="0.3">
      <c r="A3017" t="s">
        <v>33</v>
      </c>
      <c r="B3017" t="str">
        <f>"002581"</f>
        <v>002581</v>
      </c>
      <c r="C3017" t="s">
        <v>6372</v>
      </c>
      <c r="D3017" t="s">
        <v>756</v>
      </c>
      <c r="E3017">
        <v>-37178175</v>
      </c>
      <c r="F3017">
        <v>-31347736</v>
      </c>
      <c r="G3017">
        <v>-12686937</v>
      </c>
      <c r="H3017">
        <v>91695908</v>
      </c>
      <c r="I3017">
        <v>76636993</v>
      </c>
      <c r="J3017">
        <v>18639969</v>
      </c>
      <c r="K3017">
        <v>56665586</v>
      </c>
      <c r="L3017">
        <v>35311846</v>
      </c>
      <c r="M3017">
        <v>19421258</v>
      </c>
      <c r="N3017">
        <v>5122734</v>
      </c>
      <c r="O3017">
        <v>5065145</v>
      </c>
      <c r="P3017">
        <v>228</v>
      </c>
      <c r="Q3017" t="s">
        <v>6373</v>
      </c>
    </row>
    <row r="3018" spans="1:17" x14ac:dyDescent="0.3">
      <c r="A3018" t="s">
        <v>33</v>
      </c>
      <c r="B3018" t="str">
        <f>"300092"</f>
        <v>300092</v>
      </c>
      <c r="C3018" t="s">
        <v>6374</v>
      </c>
      <c r="D3018" t="s">
        <v>164</v>
      </c>
      <c r="E3018">
        <v>-37260487</v>
      </c>
      <c r="F3018">
        <v>-11179313</v>
      </c>
      <c r="G3018">
        <v>-35802493</v>
      </c>
      <c r="H3018">
        <v>-11867571</v>
      </c>
      <c r="I3018">
        <v>-14979289</v>
      </c>
      <c r="J3018">
        <v>-37322756</v>
      </c>
      <c r="K3018">
        <v>-10898402</v>
      </c>
      <c r="L3018">
        <v>-5456708</v>
      </c>
      <c r="M3018">
        <v>-12133286</v>
      </c>
      <c r="N3018">
        <v>-4047023</v>
      </c>
      <c r="O3018">
        <v>-9261907</v>
      </c>
      <c r="P3018">
        <v>81</v>
      </c>
      <c r="Q3018" t="s">
        <v>6375</v>
      </c>
    </row>
    <row r="3019" spans="1:17" x14ac:dyDescent="0.3">
      <c r="A3019" t="s">
        <v>17</v>
      </c>
      <c r="B3019" t="str">
        <f>"600992"</f>
        <v>600992</v>
      </c>
      <c r="C3019" t="s">
        <v>6376</v>
      </c>
      <c r="D3019" t="s">
        <v>164</v>
      </c>
      <c r="E3019">
        <v>-37309230</v>
      </c>
      <c r="F3019">
        <v>-42769556</v>
      </c>
      <c r="G3019">
        <v>-21041318</v>
      </c>
      <c r="H3019">
        <v>1046399</v>
      </c>
      <c r="I3019">
        <v>3403547</v>
      </c>
      <c r="J3019">
        <v>3337188</v>
      </c>
      <c r="K3019">
        <v>3187957</v>
      </c>
      <c r="L3019">
        <v>-167900181</v>
      </c>
      <c r="M3019">
        <v>-122458744</v>
      </c>
      <c r="N3019">
        <v>-11868020</v>
      </c>
      <c r="O3019">
        <v>-214818083</v>
      </c>
      <c r="P3019">
        <v>57</v>
      </c>
      <c r="Q3019" t="s">
        <v>6377</v>
      </c>
    </row>
    <row r="3020" spans="1:17" x14ac:dyDescent="0.3">
      <c r="A3020" t="s">
        <v>33</v>
      </c>
      <c r="B3020" t="str">
        <f>"002767"</f>
        <v>002767</v>
      </c>
      <c r="C3020" t="s">
        <v>6378</v>
      </c>
      <c r="D3020" t="s">
        <v>2417</v>
      </c>
      <c r="E3020">
        <v>-37326682</v>
      </c>
      <c r="F3020">
        <v>-73963351</v>
      </c>
      <c r="G3020">
        <v>-33627435</v>
      </c>
      <c r="H3020">
        <v>-16633606</v>
      </c>
      <c r="I3020">
        <v>-32277034</v>
      </c>
      <c r="J3020">
        <v>-27010603</v>
      </c>
      <c r="K3020">
        <v>-26171395</v>
      </c>
      <c r="L3020">
        <v>-19488500</v>
      </c>
      <c r="M3020">
        <v>-22363700</v>
      </c>
      <c r="P3020">
        <v>73</v>
      </c>
      <c r="Q3020" t="s">
        <v>6379</v>
      </c>
    </row>
    <row r="3021" spans="1:17" x14ac:dyDescent="0.3">
      <c r="A3021" t="s">
        <v>33</v>
      </c>
      <c r="B3021" t="str">
        <f>"300005"</f>
        <v>300005</v>
      </c>
      <c r="C3021" t="s">
        <v>6380</v>
      </c>
      <c r="D3021" t="s">
        <v>5484</v>
      </c>
      <c r="E3021">
        <v>-37333184</v>
      </c>
      <c r="F3021">
        <v>-2658338</v>
      </c>
      <c r="G3021">
        <v>-212385650</v>
      </c>
      <c r="H3021">
        <v>-1898080</v>
      </c>
      <c r="I3021">
        <v>-131923757</v>
      </c>
      <c r="J3021">
        <v>-175396110</v>
      </c>
      <c r="K3021">
        <v>-130217831</v>
      </c>
      <c r="L3021">
        <v>-39005480</v>
      </c>
      <c r="M3021">
        <v>-122103120</v>
      </c>
      <c r="N3021">
        <v>-53948501</v>
      </c>
      <c r="O3021">
        <v>-60299027</v>
      </c>
      <c r="P3021">
        <v>181</v>
      </c>
      <c r="Q3021" t="s">
        <v>6381</v>
      </c>
    </row>
    <row r="3022" spans="1:17" x14ac:dyDescent="0.3">
      <c r="A3022" t="s">
        <v>17</v>
      </c>
      <c r="B3022" t="str">
        <f>"688690"</f>
        <v>688690</v>
      </c>
      <c r="C3022" t="s">
        <v>6382</v>
      </c>
      <c r="D3022" t="s">
        <v>941</v>
      </c>
      <c r="E3022">
        <v>-37445286</v>
      </c>
      <c r="F3022">
        <v>-18999840</v>
      </c>
      <c r="G3022">
        <v>11386912</v>
      </c>
      <c r="P3022">
        <v>116</v>
      </c>
      <c r="Q3022" t="s">
        <v>6383</v>
      </c>
    </row>
    <row r="3023" spans="1:17" x14ac:dyDescent="0.3">
      <c r="A3023" t="s">
        <v>33</v>
      </c>
      <c r="B3023" t="str">
        <f>"301046"</f>
        <v>301046</v>
      </c>
      <c r="C3023" t="s">
        <v>6384</v>
      </c>
      <c r="D3023" t="s">
        <v>1454</v>
      </c>
      <c r="E3023">
        <v>-37550525</v>
      </c>
      <c r="F3023">
        <v>-60159476</v>
      </c>
      <c r="G3023">
        <v>-30796001</v>
      </c>
      <c r="P3023">
        <v>33</v>
      </c>
      <c r="Q3023" t="s">
        <v>6385</v>
      </c>
    </row>
    <row r="3024" spans="1:17" x14ac:dyDescent="0.3">
      <c r="A3024" t="s">
        <v>33</v>
      </c>
      <c r="B3024" t="str">
        <f>"300598"</f>
        <v>300598</v>
      </c>
      <c r="C3024" t="s">
        <v>6386</v>
      </c>
      <c r="D3024" t="s">
        <v>807</v>
      </c>
      <c r="E3024">
        <v>-37554903</v>
      </c>
      <c r="F3024">
        <v>-71082456</v>
      </c>
      <c r="G3024">
        <v>-52614969</v>
      </c>
      <c r="H3024">
        <v>-10905736</v>
      </c>
      <c r="I3024">
        <v>-31559533</v>
      </c>
      <c r="J3024">
        <v>-23790307</v>
      </c>
      <c r="K3024">
        <v>-2055303</v>
      </c>
      <c r="P3024">
        <v>319</v>
      </c>
      <c r="Q3024" t="s">
        <v>6387</v>
      </c>
    </row>
    <row r="3025" spans="1:17" x14ac:dyDescent="0.3">
      <c r="A3025" t="s">
        <v>17</v>
      </c>
      <c r="B3025" t="str">
        <f>"603886"</f>
        <v>603886</v>
      </c>
      <c r="C3025" t="s">
        <v>6388</v>
      </c>
      <c r="D3025" t="s">
        <v>1356</v>
      </c>
      <c r="E3025">
        <v>-37643844</v>
      </c>
      <c r="F3025">
        <v>-14744831</v>
      </c>
      <c r="G3025">
        <v>-33622252</v>
      </c>
      <c r="H3025">
        <v>-54461577</v>
      </c>
      <c r="I3025">
        <v>-32389194</v>
      </c>
      <c r="J3025">
        <v>-33103595</v>
      </c>
      <c r="K3025">
        <v>-71310356</v>
      </c>
      <c r="P3025">
        <v>3081</v>
      </c>
      <c r="Q3025" t="s">
        <v>6389</v>
      </c>
    </row>
    <row r="3026" spans="1:17" x14ac:dyDescent="0.3">
      <c r="A3026" t="s">
        <v>33</v>
      </c>
      <c r="B3026" t="str">
        <f>"002753"</f>
        <v>002753</v>
      </c>
      <c r="C3026" t="s">
        <v>6390</v>
      </c>
      <c r="D3026" t="s">
        <v>2082</v>
      </c>
      <c r="E3026">
        <v>-37645656</v>
      </c>
      <c r="F3026">
        <v>23712564</v>
      </c>
      <c r="G3026">
        <v>75678614</v>
      </c>
      <c r="H3026">
        <v>-3271714</v>
      </c>
      <c r="I3026">
        <v>28396886</v>
      </c>
      <c r="J3026">
        <v>-71011483</v>
      </c>
      <c r="K3026">
        <v>27591949</v>
      </c>
      <c r="L3026">
        <v>2170800</v>
      </c>
      <c r="M3026">
        <v>6833100</v>
      </c>
      <c r="P3026">
        <v>170</v>
      </c>
      <c r="Q3026" t="s">
        <v>6391</v>
      </c>
    </row>
    <row r="3027" spans="1:17" x14ac:dyDescent="0.3">
      <c r="A3027" t="s">
        <v>17</v>
      </c>
      <c r="B3027" t="str">
        <f>"688500"</f>
        <v>688500</v>
      </c>
      <c r="C3027" t="s">
        <v>6392</v>
      </c>
      <c r="D3027" t="s">
        <v>508</v>
      </c>
      <c r="E3027">
        <v>-37797853</v>
      </c>
      <c r="F3027">
        <v>-61524378</v>
      </c>
      <c r="G3027">
        <v>-35733097</v>
      </c>
      <c r="P3027">
        <v>26</v>
      </c>
      <c r="Q3027" t="s">
        <v>6393</v>
      </c>
    </row>
    <row r="3028" spans="1:17" x14ac:dyDescent="0.3">
      <c r="A3028" t="s">
        <v>33</v>
      </c>
      <c r="B3028" t="str">
        <f>"300540"</f>
        <v>300540</v>
      </c>
      <c r="C3028" t="s">
        <v>6394</v>
      </c>
      <c r="D3028" t="s">
        <v>1895</v>
      </c>
      <c r="E3028">
        <v>-37797932</v>
      </c>
      <c r="F3028">
        <v>-20311978</v>
      </c>
      <c r="G3028">
        <v>-39914012</v>
      </c>
      <c r="H3028">
        <v>-15621411</v>
      </c>
      <c r="I3028">
        <v>-35945067</v>
      </c>
      <c r="J3028">
        <v>-29871056</v>
      </c>
      <c r="K3028">
        <v>-3447188</v>
      </c>
      <c r="P3028">
        <v>65</v>
      </c>
      <c r="Q3028" t="s">
        <v>6395</v>
      </c>
    </row>
    <row r="3029" spans="1:17" x14ac:dyDescent="0.3">
      <c r="A3029" t="s">
        <v>33</v>
      </c>
      <c r="B3029" t="str">
        <f>"000590"</f>
        <v>000590</v>
      </c>
      <c r="C3029" t="s">
        <v>6396</v>
      </c>
      <c r="D3029" t="s">
        <v>533</v>
      </c>
      <c r="E3029">
        <v>-38063764</v>
      </c>
      <c r="F3029">
        <v>3802179</v>
      </c>
      <c r="G3029">
        <v>1998623</v>
      </c>
      <c r="H3029">
        <v>-5179642</v>
      </c>
      <c r="I3029">
        <v>-36691590</v>
      </c>
      <c r="J3029">
        <v>-69424719</v>
      </c>
      <c r="K3029">
        <v>1296137</v>
      </c>
      <c r="L3029">
        <v>-12599486</v>
      </c>
      <c r="M3029">
        <v>-4790333</v>
      </c>
      <c r="N3029">
        <v>24010651</v>
      </c>
      <c r="O3029">
        <v>12649303</v>
      </c>
      <c r="P3029">
        <v>148</v>
      </c>
      <c r="Q3029" t="s">
        <v>6397</v>
      </c>
    </row>
    <row r="3030" spans="1:17" x14ac:dyDescent="0.3">
      <c r="A3030" t="s">
        <v>17</v>
      </c>
      <c r="B3030" t="str">
        <f>"600592"</f>
        <v>600592</v>
      </c>
      <c r="C3030" t="s">
        <v>6398</v>
      </c>
      <c r="D3030" t="s">
        <v>164</v>
      </c>
      <c r="E3030">
        <v>-38340572</v>
      </c>
      <c r="F3030">
        <v>-43812645</v>
      </c>
      <c r="G3030">
        <v>-21060719</v>
      </c>
      <c r="H3030">
        <v>-31893867</v>
      </c>
      <c r="I3030">
        <v>-27456125</v>
      </c>
      <c r="J3030">
        <v>-52966412</v>
      </c>
      <c r="K3030">
        <v>-22827643</v>
      </c>
      <c r="L3030">
        <v>2700020</v>
      </c>
      <c r="M3030">
        <v>-42422073</v>
      </c>
      <c r="N3030">
        <v>-8366898</v>
      </c>
      <c r="O3030">
        <v>-73359782</v>
      </c>
      <c r="P3030">
        <v>75</v>
      </c>
      <c r="Q3030" t="s">
        <v>6399</v>
      </c>
    </row>
    <row r="3031" spans="1:17" x14ac:dyDescent="0.3">
      <c r="A3031" t="s">
        <v>33</v>
      </c>
      <c r="B3031" t="str">
        <f>"300895"</f>
        <v>300895</v>
      </c>
      <c r="C3031" t="s">
        <v>6400</v>
      </c>
      <c r="D3031" t="s">
        <v>508</v>
      </c>
      <c r="E3031">
        <v>-38483758</v>
      </c>
      <c r="F3031">
        <v>-95250596</v>
      </c>
      <c r="G3031">
        <v>-10793711</v>
      </c>
      <c r="P3031">
        <v>48</v>
      </c>
      <c r="Q3031" t="s">
        <v>6401</v>
      </c>
    </row>
    <row r="3032" spans="1:17" x14ac:dyDescent="0.3">
      <c r="A3032" t="s">
        <v>33</v>
      </c>
      <c r="B3032" t="str">
        <f>"002454"</f>
        <v>002454</v>
      </c>
      <c r="C3032" t="s">
        <v>6402</v>
      </c>
      <c r="D3032" t="s">
        <v>603</v>
      </c>
      <c r="E3032">
        <v>-38498916</v>
      </c>
      <c r="F3032">
        <v>130464147</v>
      </c>
      <c r="G3032">
        <v>212551370</v>
      </c>
      <c r="H3032">
        <v>-78788544</v>
      </c>
      <c r="I3032">
        <v>-51424833</v>
      </c>
      <c r="J3032">
        <v>51558921</v>
      </c>
      <c r="K3032">
        <v>-14911884</v>
      </c>
      <c r="L3032">
        <v>8959751</v>
      </c>
      <c r="M3032">
        <v>38231393</v>
      </c>
      <c r="N3032">
        <v>73602459</v>
      </c>
      <c r="O3032">
        <v>-1161878</v>
      </c>
      <c r="P3032">
        <v>191</v>
      </c>
      <c r="Q3032" t="s">
        <v>6403</v>
      </c>
    </row>
    <row r="3033" spans="1:17" x14ac:dyDescent="0.3">
      <c r="A3033" t="s">
        <v>33</v>
      </c>
      <c r="B3033" t="str">
        <f>"000721"</f>
        <v>000721</v>
      </c>
      <c r="C3033" t="s">
        <v>6404</v>
      </c>
      <c r="D3033" t="s">
        <v>2535</v>
      </c>
      <c r="E3033">
        <v>-38599900</v>
      </c>
      <c r="F3033">
        <v>-20241547</v>
      </c>
      <c r="G3033">
        <v>-14804437</v>
      </c>
      <c r="H3033">
        <v>-4777581</v>
      </c>
      <c r="I3033">
        <v>1408718</v>
      </c>
      <c r="J3033">
        <v>6297271</v>
      </c>
      <c r="K3033">
        <v>-5809061</v>
      </c>
      <c r="L3033">
        <v>-20658835</v>
      </c>
      <c r="M3033">
        <v>-33327314</v>
      </c>
      <c r="N3033">
        <v>730170</v>
      </c>
      <c r="O3033">
        <v>-2887888</v>
      </c>
      <c r="P3033">
        <v>130</v>
      </c>
      <c r="Q3033" t="s">
        <v>6405</v>
      </c>
    </row>
    <row r="3034" spans="1:17" x14ac:dyDescent="0.3">
      <c r="A3034" t="s">
        <v>17</v>
      </c>
      <c r="B3034" t="str">
        <f>"600059"</f>
        <v>600059</v>
      </c>
      <c r="C3034" t="s">
        <v>6406</v>
      </c>
      <c r="D3034" t="s">
        <v>1172</v>
      </c>
      <c r="E3034">
        <v>-38635001</v>
      </c>
      <c r="F3034">
        <v>-95729775</v>
      </c>
      <c r="G3034">
        <v>-191086152</v>
      </c>
      <c r="H3034">
        <v>-16172275</v>
      </c>
      <c r="I3034">
        <v>-9766459</v>
      </c>
      <c r="J3034">
        <v>2932029</v>
      </c>
      <c r="K3034">
        <v>-12866421</v>
      </c>
      <c r="L3034">
        <v>-61149506</v>
      </c>
      <c r="M3034">
        <v>-70581671</v>
      </c>
      <c r="N3034">
        <v>-35646843</v>
      </c>
      <c r="O3034">
        <v>-44837023</v>
      </c>
      <c r="P3034">
        <v>323</v>
      </c>
      <c r="Q3034" t="s">
        <v>6407</v>
      </c>
    </row>
    <row r="3035" spans="1:17" x14ac:dyDescent="0.3">
      <c r="A3035" t="s">
        <v>17</v>
      </c>
      <c r="B3035" t="str">
        <f>"603223"</f>
        <v>603223</v>
      </c>
      <c r="C3035" t="s">
        <v>6408</v>
      </c>
      <c r="D3035" t="s">
        <v>556</v>
      </c>
      <c r="E3035">
        <v>-38635918</v>
      </c>
      <c r="F3035">
        <v>136298791</v>
      </c>
      <c r="G3035">
        <v>17020017</v>
      </c>
      <c r="H3035">
        <v>-7063104</v>
      </c>
      <c r="I3035">
        <v>-5748084</v>
      </c>
      <c r="J3035">
        <v>57461304</v>
      </c>
      <c r="K3035">
        <v>-7173395</v>
      </c>
      <c r="L3035">
        <v>8048800</v>
      </c>
      <c r="M3035">
        <v>8521100</v>
      </c>
      <c r="P3035">
        <v>98</v>
      </c>
      <c r="Q3035" t="s">
        <v>6409</v>
      </c>
    </row>
    <row r="3036" spans="1:17" x14ac:dyDescent="0.3">
      <c r="A3036" t="s">
        <v>33</v>
      </c>
      <c r="B3036" t="str">
        <f>"003017"</f>
        <v>003017</v>
      </c>
      <c r="C3036" t="s">
        <v>6410</v>
      </c>
      <c r="D3036" t="s">
        <v>511</v>
      </c>
      <c r="E3036">
        <v>-38672236</v>
      </c>
      <c r="F3036">
        <v>2883434</v>
      </c>
      <c r="G3036">
        <v>-1257822</v>
      </c>
      <c r="I3036">
        <v>8423891</v>
      </c>
      <c r="P3036">
        <v>39</v>
      </c>
      <c r="Q3036" t="s">
        <v>6411</v>
      </c>
    </row>
    <row r="3037" spans="1:17" x14ac:dyDescent="0.3">
      <c r="A3037" t="s">
        <v>17</v>
      </c>
      <c r="B3037" t="str">
        <f>"600529"</f>
        <v>600529</v>
      </c>
      <c r="C3037" t="s">
        <v>6412</v>
      </c>
      <c r="D3037" t="s">
        <v>903</v>
      </c>
      <c r="E3037">
        <v>-38813883</v>
      </c>
      <c r="F3037">
        <v>-61359544</v>
      </c>
      <c r="G3037">
        <v>59751197</v>
      </c>
      <c r="H3037">
        <v>63037773</v>
      </c>
      <c r="I3037">
        <v>37047813</v>
      </c>
      <c r="J3037">
        <v>100081175</v>
      </c>
      <c r="K3037">
        <v>146017224</v>
      </c>
      <c r="L3037">
        <v>70509040</v>
      </c>
      <c r="M3037">
        <v>43924547</v>
      </c>
      <c r="N3037">
        <v>26760705</v>
      </c>
      <c r="O3037">
        <v>-77685327</v>
      </c>
      <c r="P3037">
        <v>1046</v>
      </c>
      <c r="Q3037" t="s">
        <v>6413</v>
      </c>
    </row>
    <row r="3038" spans="1:17" x14ac:dyDescent="0.3">
      <c r="A3038" t="s">
        <v>17</v>
      </c>
      <c r="B3038" t="str">
        <f>"600829"</f>
        <v>600829</v>
      </c>
      <c r="C3038" t="s">
        <v>6414</v>
      </c>
      <c r="D3038" t="s">
        <v>415</v>
      </c>
      <c r="E3038">
        <v>-39018919</v>
      </c>
      <c r="F3038">
        <v>-268587147</v>
      </c>
      <c r="G3038">
        <v>-68143741</v>
      </c>
      <c r="H3038">
        <v>-299241503</v>
      </c>
      <c r="I3038">
        <v>184685250</v>
      </c>
      <c r="J3038">
        <v>87299929</v>
      </c>
      <c r="K3038">
        <v>9685750</v>
      </c>
      <c r="L3038">
        <v>-99736777</v>
      </c>
      <c r="M3038">
        <v>-13263925</v>
      </c>
      <c r="N3038">
        <v>-87864928</v>
      </c>
      <c r="O3038">
        <v>272576845</v>
      </c>
      <c r="P3038">
        <v>1902</v>
      </c>
      <c r="Q3038" t="s">
        <v>6415</v>
      </c>
    </row>
    <row r="3039" spans="1:17" x14ac:dyDescent="0.3">
      <c r="A3039" t="s">
        <v>33</v>
      </c>
      <c r="B3039" t="str">
        <f>"002017"</f>
        <v>002017</v>
      </c>
      <c r="C3039" t="s">
        <v>6416</v>
      </c>
      <c r="D3039" t="s">
        <v>1347</v>
      </c>
      <c r="E3039">
        <v>-39051587</v>
      </c>
      <c r="F3039">
        <v>38297219</v>
      </c>
      <c r="G3039">
        <v>-74546903</v>
      </c>
      <c r="H3039">
        <v>-114496137</v>
      </c>
      <c r="I3039">
        <v>-78173057</v>
      </c>
      <c r="J3039">
        <v>-91130386</v>
      </c>
      <c r="K3039">
        <v>-134421456</v>
      </c>
      <c r="L3039">
        <v>-124980872</v>
      </c>
      <c r="M3039">
        <v>-56560815</v>
      </c>
      <c r="N3039">
        <v>-81266422</v>
      </c>
      <c r="O3039">
        <v>-30814064</v>
      </c>
      <c r="P3039">
        <v>216</v>
      </c>
      <c r="Q3039" t="s">
        <v>6417</v>
      </c>
    </row>
    <row r="3040" spans="1:17" x14ac:dyDescent="0.3">
      <c r="A3040" t="s">
        <v>33</v>
      </c>
      <c r="B3040" t="str">
        <f>"300501"</f>
        <v>300501</v>
      </c>
      <c r="C3040" t="s">
        <v>6418</v>
      </c>
      <c r="D3040" t="s">
        <v>3127</v>
      </c>
      <c r="E3040">
        <v>-39061737</v>
      </c>
      <c r="F3040">
        <v>35626125</v>
      </c>
      <c r="G3040">
        <v>39358221</v>
      </c>
      <c r="H3040">
        <v>29877681</v>
      </c>
      <c r="I3040">
        <v>8828514</v>
      </c>
      <c r="J3040">
        <v>2186068</v>
      </c>
      <c r="K3040">
        <v>6160810</v>
      </c>
      <c r="L3040">
        <v>1543104</v>
      </c>
      <c r="P3040">
        <v>131</v>
      </c>
      <c r="Q3040" t="s">
        <v>6419</v>
      </c>
    </row>
    <row r="3041" spans="1:17" x14ac:dyDescent="0.3">
      <c r="A3041" t="s">
        <v>17</v>
      </c>
      <c r="B3041" t="str">
        <f>"603968"</f>
        <v>603968</v>
      </c>
      <c r="C3041" t="s">
        <v>6420</v>
      </c>
      <c r="D3041" t="s">
        <v>1028</v>
      </c>
      <c r="E3041">
        <v>-39172362</v>
      </c>
      <c r="F3041">
        <v>-34075646</v>
      </c>
      <c r="G3041">
        <v>68282631</v>
      </c>
      <c r="H3041">
        <v>42451641</v>
      </c>
      <c r="I3041">
        <v>4007862</v>
      </c>
      <c r="J3041">
        <v>-11595301</v>
      </c>
      <c r="K3041">
        <v>-1723897</v>
      </c>
      <c r="L3041">
        <v>50040935</v>
      </c>
      <c r="M3041">
        <v>29158661</v>
      </c>
      <c r="P3041">
        <v>244</v>
      </c>
      <c r="Q3041" t="s">
        <v>6421</v>
      </c>
    </row>
    <row r="3042" spans="1:17" x14ac:dyDescent="0.3">
      <c r="A3042" t="s">
        <v>33</v>
      </c>
      <c r="B3042" t="str">
        <f>"300250"</f>
        <v>300250</v>
      </c>
      <c r="C3042" t="s">
        <v>6422</v>
      </c>
      <c r="D3042" t="s">
        <v>508</v>
      </c>
      <c r="E3042">
        <v>-39185641</v>
      </c>
      <c r="F3042">
        <v>-36454554</v>
      </c>
      <c r="G3042">
        <v>-37940142</v>
      </c>
      <c r="H3042">
        <v>-15710882</v>
      </c>
      <c r="I3042">
        <v>-4714016</v>
      </c>
      <c r="J3042">
        <v>-35342195</v>
      </c>
      <c r="K3042">
        <v>-47142295</v>
      </c>
      <c r="L3042">
        <v>-7981680</v>
      </c>
      <c r="M3042">
        <v>2914198</v>
      </c>
      <c r="N3042">
        <v>97603</v>
      </c>
      <c r="O3042">
        <v>-29941184</v>
      </c>
      <c r="P3042">
        <v>159</v>
      </c>
      <c r="Q3042" t="s">
        <v>6423</v>
      </c>
    </row>
    <row r="3043" spans="1:17" x14ac:dyDescent="0.3">
      <c r="A3043" t="s">
        <v>17</v>
      </c>
      <c r="B3043" t="str">
        <f>"688595"</f>
        <v>688595</v>
      </c>
      <c r="C3043" t="s">
        <v>6424</v>
      </c>
      <c r="D3043" t="s">
        <v>1192</v>
      </c>
      <c r="E3043">
        <v>-39623311</v>
      </c>
      <c r="F3043">
        <v>5467746</v>
      </c>
      <c r="G3043">
        <v>7546787</v>
      </c>
      <c r="P3043">
        <v>128</v>
      </c>
      <c r="Q3043" t="s">
        <v>6425</v>
      </c>
    </row>
    <row r="3044" spans="1:17" x14ac:dyDescent="0.3">
      <c r="A3044" t="s">
        <v>17</v>
      </c>
      <c r="B3044" t="str">
        <f>"605020"</f>
        <v>605020</v>
      </c>
      <c r="C3044" t="s">
        <v>6426</v>
      </c>
      <c r="D3044" t="s">
        <v>881</v>
      </c>
      <c r="E3044">
        <v>-39802356</v>
      </c>
      <c r="F3044">
        <v>20437747</v>
      </c>
      <c r="G3044">
        <v>-63046143</v>
      </c>
      <c r="P3044">
        <v>33</v>
      </c>
      <c r="Q3044" t="s">
        <v>6427</v>
      </c>
    </row>
    <row r="3045" spans="1:17" x14ac:dyDescent="0.3">
      <c r="A3045" t="s">
        <v>17</v>
      </c>
      <c r="B3045" t="str">
        <f>"688030"</f>
        <v>688030</v>
      </c>
      <c r="C3045" t="s">
        <v>6428</v>
      </c>
      <c r="D3045" t="s">
        <v>1713</v>
      </c>
      <c r="E3045">
        <v>-39804532</v>
      </c>
      <c r="F3045">
        <v>-107843897</v>
      </c>
      <c r="G3045">
        <v>-60976307</v>
      </c>
      <c r="H3045">
        <v>-51315052</v>
      </c>
      <c r="P3045">
        <v>145</v>
      </c>
      <c r="Q3045" t="s">
        <v>6429</v>
      </c>
    </row>
    <row r="3046" spans="1:17" x14ac:dyDescent="0.3">
      <c r="A3046" t="s">
        <v>33</v>
      </c>
      <c r="B3046" t="str">
        <f>"002694"</f>
        <v>002694</v>
      </c>
      <c r="C3046" t="s">
        <v>6430</v>
      </c>
      <c r="D3046" t="s">
        <v>1169</v>
      </c>
      <c r="E3046">
        <v>-39831266</v>
      </c>
      <c r="F3046">
        <v>-29585683</v>
      </c>
      <c r="G3046">
        <v>-59449770</v>
      </c>
      <c r="H3046">
        <v>12994313</v>
      </c>
      <c r="I3046">
        <v>-185630125</v>
      </c>
      <c r="J3046">
        <v>-115390990</v>
      </c>
      <c r="K3046">
        <v>18994962</v>
      </c>
      <c r="L3046">
        <v>6934490</v>
      </c>
      <c r="M3046">
        <v>-113761638</v>
      </c>
      <c r="N3046">
        <v>-30262148</v>
      </c>
      <c r="O3046">
        <v>-82323482</v>
      </c>
      <c r="P3046">
        <v>71</v>
      </c>
      <c r="Q3046" t="s">
        <v>6431</v>
      </c>
    </row>
    <row r="3047" spans="1:17" x14ac:dyDescent="0.3">
      <c r="A3047" t="s">
        <v>17</v>
      </c>
      <c r="B3047" t="str">
        <f>"603066"</f>
        <v>603066</v>
      </c>
      <c r="C3047" t="s">
        <v>6432</v>
      </c>
      <c r="D3047" t="s">
        <v>183</v>
      </c>
      <c r="E3047">
        <v>-39902701</v>
      </c>
      <c r="F3047">
        <v>4676706</v>
      </c>
      <c r="G3047">
        <v>12934808</v>
      </c>
      <c r="H3047">
        <v>-47994690</v>
      </c>
      <c r="I3047">
        <v>-67864210</v>
      </c>
      <c r="J3047">
        <v>16959049</v>
      </c>
      <c r="K3047">
        <v>19186570</v>
      </c>
      <c r="L3047">
        <v>26392100</v>
      </c>
      <c r="M3047">
        <v>-9372300</v>
      </c>
      <c r="P3047">
        <v>116</v>
      </c>
      <c r="Q3047" t="s">
        <v>6433</v>
      </c>
    </row>
    <row r="3048" spans="1:17" x14ac:dyDescent="0.3">
      <c r="A3048" t="s">
        <v>33</v>
      </c>
      <c r="B3048" t="str">
        <f>"301133"</f>
        <v>301133</v>
      </c>
      <c r="C3048" t="s">
        <v>6434</v>
      </c>
      <c r="D3048" t="s">
        <v>200</v>
      </c>
      <c r="E3048">
        <v>-39911073</v>
      </c>
      <c r="P3048">
        <v>15</v>
      </c>
      <c r="Q3048" t="s">
        <v>6435</v>
      </c>
    </row>
    <row r="3049" spans="1:17" x14ac:dyDescent="0.3">
      <c r="A3049" t="s">
        <v>33</v>
      </c>
      <c r="B3049" t="str">
        <f>"300306"</f>
        <v>300306</v>
      </c>
      <c r="C3049" t="s">
        <v>6436</v>
      </c>
      <c r="D3049" t="s">
        <v>2417</v>
      </c>
      <c r="E3049">
        <v>-39927090</v>
      </c>
      <c r="F3049">
        <v>-41673735</v>
      </c>
      <c r="G3049">
        <v>-26355986</v>
      </c>
      <c r="H3049">
        <v>9932544</v>
      </c>
      <c r="I3049">
        <v>-21966802</v>
      </c>
      <c r="J3049">
        <v>-12250714</v>
      </c>
      <c r="K3049">
        <v>1797096</v>
      </c>
      <c r="L3049">
        <v>-9326035</v>
      </c>
      <c r="M3049">
        <v>-4333467</v>
      </c>
      <c r="N3049">
        <v>-5793053</v>
      </c>
      <c r="O3049">
        <v>1097408</v>
      </c>
      <c r="P3049">
        <v>169</v>
      </c>
      <c r="Q3049" t="s">
        <v>6437</v>
      </c>
    </row>
    <row r="3050" spans="1:17" x14ac:dyDescent="0.3">
      <c r="A3050" t="s">
        <v>17</v>
      </c>
      <c r="B3050" t="str">
        <f>"600070"</f>
        <v>600070</v>
      </c>
      <c r="C3050" t="s">
        <v>6438</v>
      </c>
      <c r="D3050" t="s">
        <v>523</v>
      </c>
      <c r="E3050">
        <v>-39945146</v>
      </c>
      <c r="F3050">
        <v>-108684191</v>
      </c>
      <c r="G3050">
        <v>-17445510</v>
      </c>
      <c r="H3050">
        <v>-40543424</v>
      </c>
      <c r="I3050">
        <v>-104332537</v>
      </c>
      <c r="J3050">
        <v>-71315752</v>
      </c>
      <c r="K3050">
        <v>-3364414</v>
      </c>
      <c r="L3050">
        <v>-27110005</v>
      </c>
      <c r="M3050">
        <v>-14329670</v>
      </c>
      <c r="N3050">
        <v>9208141</v>
      </c>
      <c r="O3050">
        <v>-2526361</v>
      </c>
      <c r="P3050">
        <v>183</v>
      </c>
      <c r="Q3050" t="s">
        <v>6439</v>
      </c>
    </row>
    <row r="3051" spans="1:17" x14ac:dyDescent="0.3">
      <c r="A3051" t="s">
        <v>33</v>
      </c>
      <c r="B3051" t="str">
        <f>"300479"</f>
        <v>300479</v>
      </c>
      <c r="C3051" t="s">
        <v>6440</v>
      </c>
      <c r="D3051" t="s">
        <v>1571</v>
      </c>
      <c r="E3051">
        <v>-39982928</v>
      </c>
      <c r="F3051">
        <v>-12059502</v>
      </c>
      <c r="G3051">
        <v>-56834467</v>
      </c>
      <c r="H3051">
        <v>-34736345</v>
      </c>
      <c r="I3051">
        <v>-28882665</v>
      </c>
      <c r="J3051">
        <v>-27789536</v>
      </c>
      <c r="K3051">
        <v>-61147561</v>
      </c>
      <c r="L3051">
        <v>-63465503</v>
      </c>
      <c r="M3051">
        <v>975760</v>
      </c>
      <c r="P3051">
        <v>167</v>
      </c>
      <c r="Q3051" t="s">
        <v>6441</v>
      </c>
    </row>
    <row r="3052" spans="1:17" x14ac:dyDescent="0.3">
      <c r="A3052" t="s">
        <v>33</v>
      </c>
      <c r="B3052" t="str">
        <f>"300584"</f>
        <v>300584</v>
      </c>
      <c r="C3052" t="s">
        <v>6442</v>
      </c>
      <c r="D3052" t="s">
        <v>590</v>
      </c>
      <c r="E3052">
        <v>-40136477</v>
      </c>
      <c r="F3052">
        <v>18153992</v>
      </c>
      <c r="G3052">
        <v>-9632384</v>
      </c>
      <c r="H3052">
        <v>579084</v>
      </c>
      <c r="I3052">
        <v>9917755</v>
      </c>
      <c r="J3052">
        <v>-951608</v>
      </c>
      <c r="K3052">
        <v>-6832196</v>
      </c>
      <c r="P3052">
        <v>195</v>
      </c>
      <c r="Q3052" t="s">
        <v>6443</v>
      </c>
    </row>
    <row r="3053" spans="1:17" x14ac:dyDescent="0.3">
      <c r="A3053" t="s">
        <v>33</v>
      </c>
      <c r="B3053" t="str">
        <f>"000801"</f>
        <v>000801</v>
      </c>
      <c r="C3053" t="s">
        <v>6444</v>
      </c>
      <c r="D3053" t="s">
        <v>3783</v>
      </c>
      <c r="E3053">
        <v>-40311129</v>
      </c>
      <c r="F3053">
        <v>-88782903</v>
      </c>
      <c r="G3053">
        <v>-3228486</v>
      </c>
      <c r="H3053">
        <v>-218997732</v>
      </c>
      <c r="I3053">
        <v>-45963146</v>
      </c>
      <c r="J3053">
        <v>-99462516</v>
      </c>
      <c r="K3053">
        <v>-185102599</v>
      </c>
      <c r="L3053">
        <v>2809145</v>
      </c>
      <c r="M3053">
        <v>-47289065</v>
      </c>
      <c r="N3053">
        <v>-89417243</v>
      </c>
      <c r="O3053">
        <v>-166491943</v>
      </c>
      <c r="P3053">
        <v>218</v>
      </c>
      <c r="Q3053" t="s">
        <v>6445</v>
      </c>
    </row>
    <row r="3054" spans="1:17" x14ac:dyDescent="0.3">
      <c r="A3054" t="s">
        <v>17</v>
      </c>
      <c r="B3054" t="str">
        <f>"603133"</f>
        <v>603133</v>
      </c>
      <c r="C3054" t="s">
        <v>6446</v>
      </c>
      <c r="D3054" t="s">
        <v>226</v>
      </c>
      <c r="E3054">
        <v>-40341649</v>
      </c>
      <c r="F3054">
        <v>-17196883</v>
      </c>
      <c r="G3054">
        <v>-14298344</v>
      </c>
      <c r="H3054">
        <v>13991907</v>
      </c>
      <c r="I3054">
        <v>5123378</v>
      </c>
      <c r="J3054">
        <v>14698715</v>
      </c>
      <c r="K3054">
        <v>6359707</v>
      </c>
      <c r="P3054">
        <v>138</v>
      </c>
      <c r="Q3054" t="s">
        <v>6447</v>
      </c>
    </row>
    <row r="3055" spans="1:17" x14ac:dyDescent="0.3">
      <c r="A3055" t="s">
        <v>17</v>
      </c>
      <c r="B3055" t="str">
        <f>"688058"</f>
        <v>688058</v>
      </c>
      <c r="C3055" t="s">
        <v>6448</v>
      </c>
      <c r="D3055" t="s">
        <v>1713</v>
      </c>
      <c r="E3055">
        <v>-40364951</v>
      </c>
      <c r="F3055">
        <v>-14957220</v>
      </c>
      <c r="G3055">
        <v>-23631366</v>
      </c>
      <c r="H3055">
        <v>959251</v>
      </c>
      <c r="P3055">
        <v>96</v>
      </c>
      <c r="Q3055" t="s">
        <v>6449</v>
      </c>
    </row>
    <row r="3056" spans="1:17" x14ac:dyDescent="0.3">
      <c r="A3056" t="s">
        <v>17</v>
      </c>
      <c r="B3056" t="str">
        <f>"600231"</f>
        <v>600231</v>
      </c>
      <c r="C3056" t="s">
        <v>6450</v>
      </c>
      <c r="D3056" t="s">
        <v>872</v>
      </c>
      <c r="E3056">
        <v>-40420737</v>
      </c>
      <c r="F3056">
        <v>-346614571</v>
      </c>
      <c r="G3056">
        <v>466745267</v>
      </c>
      <c r="H3056">
        <v>51495777</v>
      </c>
      <c r="I3056">
        <v>-439700548</v>
      </c>
      <c r="J3056">
        <v>768900300</v>
      </c>
      <c r="K3056">
        <v>-429294695</v>
      </c>
      <c r="L3056">
        <v>-560784985</v>
      </c>
      <c r="M3056">
        <v>296879869</v>
      </c>
      <c r="N3056">
        <v>-461552675</v>
      </c>
      <c r="O3056">
        <v>299609524</v>
      </c>
      <c r="P3056">
        <v>187</v>
      </c>
      <c r="Q3056" t="s">
        <v>6451</v>
      </c>
    </row>
    <row r="3057" spans="1:17" x14ac:dyDescent="0.3">
      <c r="A3057" t="s">
        <v>33</v>
      </c>
      <c r="B3057" t="str">
        <f>"300683"</f>
        <v>300683</v>
      </c>
      <c r="C3057" t="s">
        <v>6452</v>
      </c>
      <c r="D3057" t="s">
        <v>756</v>
      </c>
      <c r="E3057">
        <v>-40422327</v>
      </c>
      <c r="F3057">
        <v>-10527421</v>
      </c>
      <c r="G3057">
        <v>5040128</v>
      </c>
      <c r="H3057">
        <v>18232747</v>
      </c>
      <c r="I3057">
        <v>26363112</v>
      </c>
      <c r="J3057">
        <v>-13126100</v>
      </c>
      <c r="K3057">
        <v>-9556300</v>
      </c>
      <c r="P3057">
        <v>123</v>
      </c>
      <c r="Q3057" t="s">
        <v>6453</v>
      </c>
    </row>
    <row r="3058" spans="1:17" x14ac:dyDescent="0.3">
      <c r="A3058" t="s">
        <v>33</v>
      </c>
      <c r="B3058" t="str">
        <f>"300908"</f>
        <v>300908</v>
      </c>
      <c r="C3058" t="s">
        <v>6454</v>
      </c>
      <c r="D3058" t="s">
        <v>669</v>
      </c>
      <c r="E3058">
        <v>-40465744</v>
      </c>
      <c r="F3058">
        <v>25191812</v>
      </c>
      <c r="G3058">
        <v>34747261</v>
      </c>
      <c r="P3058">
        <v>173</v>
      </c>
      <c r="Q3058" t="s">
        <v>6455</v>
      </c>
    </row>
    <row r="3059" spans="1:17" x14ac:dyDescent="0.3">
      <c r="A3059" t="s">
        <v>33</v>
      </c>
      <c r="B3059" t="str">
        <f>"300420"</f>
        <v>300420</v>
      </c>
      <c r="C3059" t="s">
        <v>6456</v>
      </c>
      <c r="D3059" t="s">
        <v>1033</v>
      </c>
      <c r="E3059">
        <v>-40467104</v>
      </c>
      <c r="F3059">
        <v>-74653107</v>
      </c>
      <c r="G3059">
        <v>-77644112</v>
      </c>
      <c r="H3059">
        <v>-56745098</v>
      </c>
      <c r="I3059">
        <v>-28860538</v>
      </c>
      <c r="J3059">
        <v>-24245801</v>
      </c>
      <c r="K3059">
        <v>-28898577</v>
      </c>
      <c r="L3059">
        <v>-4716484</v>
      </c>
      <c r="M3059">
        <v>-15680576</v>
      </c>
      <c r="P3059">
        <v>146</v>
      </c>
      <c r="Q3059" t="s">
        <v>6457</v>
      </c>
    </row>
    <row r="3060" spans="1:17" x14ac:dyDescent="0.3">
      <c r="A3060" t="s">
        <v>33</v>
      </c>
      <c r="B3060" t="str">
        <f>"300045"</f>
        <v>300045</v>
      </c>
      <c r="C3060" t="s">
        <v>6458</v>
      </c>
      <c r="D3060" t="s">
        <v>617</v>
      </c>
      <c r="E3060">
        <v>-40571081</v>
      </c>
      <c r="F3060">
        <v>-118264354</v>
      </c>
      <c r="G3060">
        <v>-75660173</v>
      </c>
      <c r="H3060">
        <v>-81062650</v>
      </c>
      <c r="I3060">
        <v>-11803591</v>
      </c>
      <c r="J3060">
        <v>-59286785</v>
      </c>
      <c r="K3060">
        <v>-64371835</v>
      </c>
      <c r="L3060">
        <v>-69519647</v>
      </c>
      <c r="M3060">
        <v>-26853786</v>
      </c>
      <c r="N3060">
        <v>-26362091</v>
      </c>
      <c r="O3060">
        <v>-15778108</v>
      </c>
      <c r="P3060">
        <v>158</v>
      </c>
      <c r="Q3060" t="s">
        <v>6459</v>
      </c>
    </row>
    <row r="3061" spans="1:17" x14ac:dyDescent="0.3">
      <c r="A3061" t="s">
        <v>33</v>
      </c>
      <c r="B3061" t="str">
        <f>"002599"</f>
        <v>002599</v>
      </c>
      <c r="C3061" t="s">
        <v>6460</v>
      </c>
      <c r="D3061" t="s">
        <v>3492</v>
      </c>
      <c r="E3061">
        <v>-40604709</v>
      </c>
      <c r="F3061">
        <v>-72338955</v>
      </c>
      <c r="G3061">
        <v>-51267425</v>
      </c>
      <c r="H3061">
        <v>-16918852</v>
      </c>
      <c r="I3061">
        <v>-103354527</v>
      </c>
      <c r="J3061">
        <v>-73561120</v>
      </c>
      <c r="K3061">
        <v>19899022</v>
      </c>
      <c r="L3061">
        <v>16993741</v>
      </c>
      <c r="M3061">
        <v>9828732</v>
      </c>
      <c r="N3061">
        <v>23198378</v>
      </c>
      <c r="O3061">
        <v>1792217</v>
      </c>
      <c r="P3061">
        <v>87</v>
      </c>
      <c r="Q3061" t="s">
        <v>6461</v>
      </c>
    </row>
    <row r="3062" spans="1:17" x14ac:dyDescent="0.3">
      <c r="A3062" t="s">
        <v>17</v>
      </c>
      <c r="B3062" t="str">
        <f>"603916"</f>
        <v>603916</v>
      </c>
      <c r="C3062" t="s">
        <v>6462</v>
      </c>
      <c r="D3062" t="s">
        <v>418</v>
      </c>
      <c r="E3062">
        <v>-40660487</v>
      </c>
      <c r="F3062">
        <v>53606896</v>
      </c>
      <c r="G3062">
        <v>51187128</v>
      </c>
      <c r="H3062">
        <v>38470609</v>
      </c>
      <c r="I3062">
        <v>-46682875</v>
      </c>
      <c r="J3062">
        <v>17282213</v>
      </c>
      <c r="P3062">
        <v>273</v>
      </c>
      <c r="Q3062" t="s">
        <v>6463</v>
      </c>
    </row>
    <row r="3063" spans="1:17" x14ac:dyDescent="0.3">
      <c r="A3063" t="s">
        <v>17</v>
      </c>
      <c r="B3063" t="str">
        <f>"600129"</f>
        <v>600129</v>
      </c>
      <c r="C3063" t="s">
        <v>6464</v>
      </c>
      <c r="D3063" t="s">
        <v>533</v>
      </c>
      <c r="E3063">
        <v>-40690206</v>
      </c>
      <c r="F3063">
        <v>-330376337</v>
      </c>
      <c r="G3063">
        <v>-237975077</v>
      </c>
      <c r="H3063">
        <v>87053853</v>
      </c>
      <c r="I3063">
        <v>11837713</v>
      </c>
      <c r="J3063">
        <v>-91634773</v>
      </c>
      <c r="K3063">
        <v>-117614489</v>
      </c>
      <c r="L3063">
        <v>34699802</v>
      </c>
      <c r="M3063">
        <v>21179799</v>
      </c>
      <c r="N3063">
        <v>19839682</v>
      </c>
      <c r="O3063">
        <v>5078299</v>
      </c>
      <c r="P3063">
        <v>283</v>
      </c>
      <c r="Q3063" t="s">
        <v>6465</v>
      </c>
    </row>
    <row r="3064" spans="1:17" x14ac:dyDescent="0.3">
      <c r="A3064" t="s">
        <v>33</v>
      </c>
      <c r="B3064" t="str">
        <f>"300126"</f>
        <v>300126</v>
      </c>
      <c r="C3064" t="s">
        <v>6466</v>
      </c>
      <c r="D3064" t="s">
        <v>1033</v>
      </c>
      <c r="E3064">
        <v>-40859512</v>
      </c>
      <c r="F3064">
        <v>-31360920</v>
      </c>
      <c r="G3064">
        <v>-32347984</v>
      </c>
      <c r="H3064">
        <v>12725437</v>
      </c>
      <c r="I3064">
        <v>34298924</v>
      </c>
      <c r="J3064">
        <v>-7117565</v>
      </c>
      <c r="K3064">
        <v>-5132017</v>
      </c>
      <c r="L3064">
        <v>-100646428</v>
      </c>
      <c r="M3064">
        <v>6556635</v>
      </c>
      <c r="N3064">
        <v>-17657479</v>
      </c>
      <c r="O3064">
        <v>-38803864</v>
      </c>
      <c r="P3064">
        <v>50</v>
      </c>
      <c r="Q3064" t="s">
        <v>6467</v>
      </c>
    </row>
    <row r="3065" spans="1:17" x14ac:dyDescent="0.3">
      <c r="A3065" t="s">
        <v>33</v>
      </c>
      <c r="B3065" t="str">
        <f>"301055"</f>
        <v>301055</v>
      </c>
      <c r="C3065" t="s">
        <v>6468</v>
      </c>
      <c r="D3065" t="s">
        <v>927</v>
      </c>
      <c r="E3065">
        <v>-40873490</v>
      </c>
      <c r="P3065">
        <v>28</v>
      </c>
      <c r="Q3065" t="s">
        <v>6469</v>
      </c>
    </row>
    <row r="3066" spans="1:17" x14ac:dyDescent="0.3">
      <c r="A3066" t="s">
        <v>17</v>
      </c>
      <c r="B3066" t="str">
        <f>"688800"</f>
        <v>688800</v>
      </c>
      <c r="C3066" t="s">
        <v>6470</v>
      </c>
      <c r="D3066" t="s">
        <v>499</v>
      </c>
      <c r="E3066">
        <v>-40904006</v>
      </c>
      <c r="F3066">
        <v>12075962</v>
      </c>
      <c r="G3066">
        <v>15643716</v>
      </c>
      <c r="P3066">
        <v>51</v>
      </c>
      <c r="Q3066" t="s">
        <v>6471</v>
      </c>
    </row>
    <row r="3067" spans="1:17" x14ac:dyDescent="0.3">
      <c r="A3067" t="s">
        <v>33</v>
      </c>
      <c r="B3067" t="str">
        <f>"002333"</f>
        <v>002333</v>
      </c>
      <c r="C3067" t="s">
        <v>6472</v>
      </c>
      <c r="D3067" t="s">
        <v>2632</v>
      </c>
      <c r="E3067">
        <v>-40960599</v>
      </c>
      <c r="F3067">
        <v>-25760418</v>
      </c>
      <c r="G3067">
        <v>-4902722</v>
      </c>
      <c r="H3067">
        <v>-1218788</v>
      </c>
      <c r="I3067">
        <v>19356303</v>
      </c>
      <c r="J3067">
        <v>-58839823</v>
      </c>
      <c r="K3067">
        <v>-1690273</v>
      </c>
      <c r="L3067">
        <v>-46280173</v>
      </c>
      <c r="M3067">
        <v>23580840</v>
      </c>
      <c r="N3067">
        <v>5056860</v>
      </c>
      <c r="O3067">
        <v>-3322693</v>
      </c>
      <c r="P3067">
        <v>59</v>
      </c>
      <c r="Q3067" t="s">
        <v>6473</v>
      </c>
    </row>
    <row r="3068" spans="1:17" x14ac:dyDescent="0.3">
      <c r="A3068" t="s">
        <v>33</v>
      </c>
      <c r="B3068" t="str">
        <f>"002121"</f>
        <v>002121</v>
      </c>
      <c r="C3068" t="s">
        <v>6474</v>
      </c>
      <c r="D3068" t="s">
        <v>2128</v>
      </c>
      <c r="E3068">
        <v>-41039081</v>
      </c>
      <c r="F3068">
        <v>81063731</v>
      </c>
      <c r="G3068">
        <v>42472763</v>
      </c>
      <c r="H3068">
        <v>64590236</v>
      </c>
      <c r="I3068">
        <v>-11938558</v>
      </c>
      <c r="J3068">
        <v>-104377956</v>
      </c>
      <c r="K3068">
        <v>-217208115</v>
      </c>
      <c r="L3068">
        <v>-79250419</v>
      </c>
      <c r="M3068">
        <v>-58297035</v>
      </c>
      <c r="N3068">
        <v>-111903986</v>
      </c>
      <c r="O3068">
        <v>-159295217</v>
      </c>
      <c r="P3068">
        <v>234</v>
      </c>
      <c r="Q3068" t="s">
        <v>6475</v>
      </c>
    </row>
    <row r="3069" spans="1:17" x14ac:dyDescent="0.3">
      <c r="A3069" t="s">
        <v>33</v>
      </c>
      <c r="B3069" t="str">
        <f>"300249"</f>
        <v>300249</v>
      </c>
      <c r="C3069" t="s">
        <v>6476</v>
      </c>
      <c r="D3069" t="s">
        <v>1571</v>
      </c>
      <c r="E3069">
        <v>-41044117</v>
      </c>
      <c r="F3069">
        <v>-25382510</v>
      </c>
      <c r="G3069">
        <v>-34028848</v>
      </c>
      <c r="H3069">
        <v>-93530880</v>
      </c>
      <c r="I3069">
        <v>-74910827</v>
      </c>
      <c r="J3069">
        <v>-88008585</v>
      </c>
      <c r="K3069">
        <v>17320772</v>
      </c>
      <c r="L3069">
        <v>-51590049</v>
      </c>
      <c r="M3069">
        <v>-34335342</v>
      </c>
      <c r="N3069">
        <v>1878293</v>
      </c>
      <c r="O3069">
        <v>-23308006</v>
      </c>
      <c r="P3069">
        <v>195</v>
      </c>
      <c r="Q3069" t="s">
        <v>6477</v>
      </c>
    </row>
    <row r="3070" spans="1:17" x14ac:dyDescent="0.3">
      <c r="A3070" t="s">
        <v>33</v>
      </c>
      <c r="B3070" t="str">
        <f>"002021"</f>
        <v>002021</v>
      </c>
      <c r="C3070" t="s">
        <v>6478</v>
      </c>
      <c r="D3070" t="s">
        <v>2847</v>
      </c>
      <c r="E3070">
        <v>-41102542</v>
      </c>
      <c r="F3070">
        <v>-25096507</v>
      </c>
      <c r="G3070">
        <v>-78510964</v>
      </c>
      <c r="H3070">
        <v>26610380</v>
      </c>
      <c r="I3070">
        <v>32245230</v>
      </c>
      <c r="J3070">
        <v>21852292</v>
      </c>
      <c r="K3070">
        <v>7780658</v>
      </c>
      <c r="L3070">
        <v>-92927322</v>
      </c>
      <c r="M3070">
        <v>68841077</v>
      </c>
      <c r="N3070">
        <v>22775329</v>
      </c>
      <c r="O3070">
        <v>-4014184</v>
      </c>
      <c r="P3070">
        <v>57</v>
      </c>
      <c r="Q3070" t="s">
        <v>6479</v>
      </c>
    </row>
    <row r="3071" spans="1:17" x14ac:dyDescent="0.3">
      <c r="A3071" t="s">
        <v>33</v>
      </c>
      <c r="B3071" t="str">
        <f>"002512"</f>
        <v>002512</v>
      </c>
      <c r="C3071" t="s">
        <v>6480</v>
      </c>
      <c r="D3071" t="s">
        <v>1571</v>
      </c>
      <c r="E3071">
        <v>-41151872</v>
      </c>
      <c r="F3071">
        <v>-107701995</v>
      </c>
      <c r="G3071">
        <v>-158327324</v>
      </c>
      <c r="H3071">
        <v>185063836</v>
      </c>
      <c r="I3071">
        <v>17387915</v>
      </c>
      <c r="J3071">
        <v>-92227505</v>
      </c>
      <c r="K3071">
        <v>-104665985</v>
      </c>
      <c r="L3071">
        <v>-228034391</v>
      </c>
      <c r="M3071">
        <v>-27276668</v>
      </c>
      <c r="N3071">
        <v>-44176240</v>
      </c>
      <c r="O3071">
        <v>-23338648</v>
      </c>
      <c r="P3071">
        <v>162</v>
      </c>
      <c r="Q3071" t="s">
        <v>6481</v>
      </c>
    </row>
    <row r="3072" spans="1:17" x14ac:dyDescent="0.3">
      <c r="A3072" t="s">
        <v>33</v>
      </c>
      <c r="B3072" t="str">
        <f>"002927"</f>
        <v>002927</v>
      </c>
      <c r="C3072" t="s">
        <v>6482</v>
      </c>
      <c r="D3072" t="s">
        <v>675</v>
      </c>
      <c r="E3072">
        <v>-41173893</v>
      </c>
      <c r="F3072">
        <v>-52647931</v>
      </c>
      <c r="G3072">
        <v>-27571325</v>
      </c>
      <c r="H3072">
        <v>-15450715</v>
      </c>
      <c r="I3072">
        <v>-20825374</v>
      </c>
      <c r="J3072">
        <v>-14040771</v>
      </c>
      <c r="P3072">
        <v>117</v>
      </c>
      <c r="Q3072" t="s">
        <v>6483</v>
      </c>
    </row>
    <row r="3073" spans="1:17" x14ac:dyDescent="0.3">
      <c r="A3073" t="s">
        <v>33</v>
      </c>
      <c r="B3073" t="str">
        <f>"300095"</f>
        <v>300095</v>
      </c>
      <c r="C3073" t="s">
        <v>6484</v>
      </c>
      <c r="D3073" t="s">
        <v>164</v>
      </c>
      <c r="E3073">
        <v>-41210048</v>
      </c>
      <c r="F3073">
        <v>-7982647</v>
      </c>
      <c r="G3073">
        <v>43163700</v>
      </c>
      <c r="H3073">
        <v>-61025501</v>
      </c>
      <c r="I3073">
        <v>-11607908</v>
      </c>
      <c r="J3073">
        <v>-1442155</v>
      </c>
      <c r="K3073">
        <v>-25102480</v>
      </c>
      <c r="L3073">
        <v>-13033687</v>
      </c>
      <c r="M3073">
        <v>-30128652</v>
      </c>
      <c r="N3073">
        <v>-4218644</v>
      </c>
      <c r="O3073">
        <v>-14700936</v>
      </c>
      <c r="P3073">
        <v>128</v>
      </c>
      <c r="Q3073" t="s">
        <v>6485</v>
      </c>
    </row>
    <row r="3074" spans="1:17" x14ac:dyDescent="0.3">
      <c r="A3074" t="s">
        <v>33</v>
      </c>
      <c r="B3074" t="str">
        <f>"000506"</f>
        <v>000506</v>
      </c>
      <c r="C3074" t="s">
        <v>6486</v>
      </c>
      <c r="D3074" t="s">
        <v>167</v>
      </c>
      <c r="E3074">
        <v>-41248590</v>
      </c>
      <c r="F3074">
        <v>-33728347</v>
      </c>
      <c r="G3074">
        <v>42188741</v>
      </c>
      <c r="H3074">
        <v>-1395575</v>
      </c>
      <c r="I3074">
        <v>40192252</v>
      </c>
      <c r="J3074">
        <v>22709577</v>
      </c>
      <c r="K3074">
        <v>57555985</v>
      </c>
      <c r="L3074">
        <v>32648608</v>
      </c>
      <c r="M3074">
        <v>-25786857</v>
      </c>
      <c r="N3074">
        <v>164196766</v>
      </c>
      <c r="O3074">
        <v>-10980909</v>
      </c>
      <c r="P3074">
        <v>85</v>
      </c>
      <c r="Q3074" t="s">
        <v>6487</v>
      </c>
    </row>
    <row r="3075" spans="1:17" x14ac:dyDescent="0.3">
      <c r="A3075" t="s">
        <v>17</v>
      </c>
      <c r="B3075" t="str">
        <f>"603177"</f>
        <v>603177</v>
      </c>
      <c r="C3075" t="s">
        <v>6488</v>
      </c>
      <c r="D3075" t="s">
        <v>3158</v>
      </c>
      <c r="E3075">
        <v>-41689969</v>
      </c>
      <c r="F3075">
        <v>11302163</v>
      </c>
      <c r="G3075">
        <v>-72223401</v>
      </c>
      <c r="H3075">
        <v>-55133105</v>
      </c>
      <c r="I3075">
        <v>-80085239</v>
      </c>
      <c r="J3075">
        <v>-54173131</v>
      </c>
      <c r="K3075">
        <v>-71724793</v>
      </c>
      <c r="P3075">
        <v>68</v>
      </c>
      <c r="Q3075" t="s">
        <v>6489</v>
      </c>
    </row>
    <row r="3076" spans="1:17" x14ac:dyDescent="0.3">
      <c r="A3076" t="s">
        <v>33</v>
      </c>
      <c r="B3076" t="str">
        <f>"002184"</f>
        <v>002184</v>
      </c>
      <c r="C3076" t="s">
        <v>6490</v>
      </c>
      <c r="D3076" t="s">
        <v>2148</v>
      </c>
      <c r="E3076">
        <v>-41695070</v>
      </c>
      <c r="F3076">
        <v>-29378845</v>
      </c>
      <c r="G3076">
        <v>28280853</v>
      </c>
      <c r="H3076">
        <v>1466353</v>
      </c>
      <c r="I3076">
        <v>-77052324</v>
      </c>
      <c r="J3076">
        <v>-44485204</v>
      </c>
      <c r="K3076">
        <v>19504082</v>
      </c>
      <c r="L3076">
        <v>-38774598</v>
      </c>
      <c r="M3076">
        <v>-9621619</v>
      </c>
      <c r="N3076">
        <v>3543772</v>
      </c>
      <c r="O3076">
        <v>1721672</v>
      </c>
      <c r="P3076">
        <v>186</v>
      </c>
      <c r="Q3076" t="s">
        <v>6491</v>
      </c>
    </row>
    <row r="3077" spans="1:17" x14ac:dyDescent="0.3">
      <c r="A3077" t="s">
        <v>17</v>
      </c>
      <c r="B3077" t="str">
        <f>"605358"</f>
        <v>605358</v>
      </c>
      <c r="C3077" t="s">
        <v>6492</v>
      </c>
      <c r="D3077" t="s">
        <v>1177</v>
      </c>
      <c r="E3077">
        <v>-41754606</v>
      </c>
      <c r="F3077">
        <v>-84263353</v>
      </c>
      <c r="G3077">
        <v>24201736</v>
      </c>
      <c r="P3077">
        <v>289</v>
      </c>
      <c r="Q3077" t="s">
        <v>6493</v>
      </c>
    </row>
    <row r="3078" spans="1:17" x14ac:dyDescent="0.3">
      <c r="A3078" t="s">
        <v>33</v>
      </c>
      <c r="B3078" t="str">
        <f>"300391"</f>
        <v>300391</v>
      </c>
      <c r="C3078" t="s">
        <v>6494</v>
      </c>
      <c r="D3078" t="s">
        <v>858</v>
      </c>
      <c r="E3078">
        <v>-41839545</v>
      </c>
      <c r="F3078">
        <v>-36074307</v>
      </c>
      <c r="G3078">
        <v>-6480908</v>
      </c>
      <c r="H3078">
        <v>-3780992</v>
      </c>
      <c r="I3078">
        <v>-52055028</v>
      </c>
      <c r="J3078">
        <v>5300117</v>
      </c>
      <c r="K3078">
        <v>-5447256</v>
      </c>
      <c r="L3078">
        <v>-22308801</v>
      </c>
      <c r="M3078">
        <v>-24644619</v>
      </c>
      <c r="N3078">
        <v>6992913</v>
      </c>
      <c r="P3078">
        <v>80</v>
      </c>
      <c r="Q3078" t="s">
        <v>6495</v>
      </c>
    </row>
    <row r="3079" spans="1:17" x14ac:dyDescent="0.3">
      <c r="A3079" t="s">
        <v>17</v>
      </c>
      <c r="B3079" t="str">
        <f>"688528"</f>
        <v>688528</v>
      </c>
      <c r="C3079" t="s">
        <v>6496</v>
      </c>
      <c r="D3079" t="s">
        <v>2417</v>
      </c>
      <c r="E3079">
        <v>-41876162</v>
      </c>
      <c r="F3079">
        <v>-48124961</v>
      </c>
      <c r="G3079">
        <v>-12640600</v>
      </c>
      <c r="H3079">
        <v>-3918986</v>
      </c>
      <c r="P3079">
        <v>42</v>
      </c>
      <c r="Q3079" t="s">
        <v>6497</v>
      </c>
    </row>
    <row r="3080" spans="1:17" x14ac:dyDescent="0.3">
      <c r="A3080" t="s">
        <v>33</v>
      </c>
      <c r="B3080" t="str">
        <f>"002638"</f>
        <v>002638</v>
      </c>
      <c r="C3080" t="s">
        <v>6498</v>
      </c>
      <c r="D3080" t="s">
        <v>761</v>
      </c>
      <c r="E3080">
        <v>-41925297</v>
      </c>
      <c r="F3080">
        <v>-145195539</v>
      </c>
      <c r="G3080">
        <v>-80260084</v>
      </c>
      <c r="H3080">
        <v>-40337973</v>
      </c>
      <c r="I3080">
        <v>-54932142</v>
      </c>
      <c r="J3080">
        <v>96209613</v>
      </c>
      <c r="K3080">
        <v>-26414421</v>
      </c>
      <c r="L3080">
        <v>17282810</v>
      </c>
      <c r="M3080">
        <v>-1581925</v>
      </c>
      <c r="N3080">
        <v>-61206556</v>
      </c>
      <c r="O3080">
        <v>-55637491</v>
      </c>
      <c r="P3080">
        <v>83</v>
      </c>
      <c r="Q3080" t="s">
        <v>6499</v>
      </c>
    </row>
    <row r="3081" spans="1:17" x14ac:dyDescent="0.3">
      <c r="A3081" t="s">
        <v>33</v>
      </c>
      <c r="B3081" t="str">
        <f>"300820"</f>
        <v>300820</v>
      </c>
      <c r="C3081" t="s">
        <v>6500</v>
      </c>
      <c r="D3081" t="s">
        <v>2956</v>
      </c>
      <c r="E3081">
        <v>-41965282</v>
      </c>
      <c r="F3081">
        <v>-37698756</v>
      </c>
      <c r="G3081">
        <v>-13371444</v>
      </c>
      <c r="H3081">
        <v>23517413</v>
      </c>
      <c r="P3081">
        <v>369</v>
      </c>
      <c r="Q3081" t="s">
        <v>6501</v>
      </c>
    </row>
    <row r="3082" spans="1:17" x14ac:dyDescent="0.3">
      <c r="A3082" t="s">
        <v>33</v>
      </c>
      <c r="B3082" t="str">
        <f>"300342"</f>
        <v>300342</v>
      </c>
      <c r="C3082" t="s">
        <v>6502</v>
      </c>
      <c r="D3082" t="s">
        <v>1869</v>
      </c>
      <c r="E3082">
        <v>-42049728</v>
      </c>
      <c r="F3082">
        <v>-52547201</v>
      </c>
      <c r="G3082">
        <v>35008257</v>
      </c>
      <c r="H3082">
        <v>-16687097</v>
      </c>
      <c r="I3082">
        <v>-10908528</v>
      </c>
      <c r="J3082">
        <v>-20238284</v>
      </c>
      <c r="K3082">
        <v>-10505931</v>
      </c>
      <c r="L3082">
        <v>16645655</v>
      </c>
      <c r="M3082">
        <v>5183520</v>
      </c>
      <c r="N3082">
        <v>9272297</v>
      </c>
      <c r="O3082">
        <v>4814603</v>
      </c>
      <c r="P3082">
        <v>181</v>
      </c>
      <c r="Q3082" t="s">
        <v>6503</v>
      </c>
    </row>
    <row r="3083" spans="1:17" x14ac:dyDescent="0.3">
      <c r="A3083" t="s">
        <v>17</v>
      </c>
      <c r="B3083" t="str">
        <f>"688466"</f>
        <v>688466</v>
      </c>
      <c r="C3083" t="s">
        <v>6504</v>
      </c>
      <c r="D3083" t="s">
        <v>932</v>
      </c>
      <c r="E3083">
        <v>-42232097</v>
      </c>
      <c r="F3083">
        <v>-89200836</v>
      </c>
      <c r="G3083">
        <v>-68813575</v>
      </c>
      <c r="H3083">
        <v>-44822949</v>
      </c>
      <c r="P3083">
        <v>60</v>
      </c>
      <c r="Q3083" t="s">
        <v>6505</v>
      </c>
    </row>
    <row r="3084" spans="1:17" x14ac:dyDescent="0.3">
      <c r="A3084" t="s">
        <v>33</v>
      </c>
      <c r="B3084" t="str">
        <f>"300263"</f>
        <v>300263</v>
      </c>
      <c r="C3084" t="s">
        <v>6506</v>
      </c>
      <c r="D3084" t="s">
        <v>1033</v>
      </c>
      <c r="E3084">
        <v>-42233464</v>
      </c>
      <c r="F3084">
        <v>-89349980</v>
      </c>
      <c r="G3084">
        <v>-95784371</v>
      </c>
      <c r="H3084">
        <v>-98059043</v>
      </c>
      <c r="I3084">
        <v>-83610647</v>
      </c>
      <c r="J3084">
        <v>143242246</v>
      </c>
      <c r="K3084">
        <v>-320407009</v>
      </c>
      <c r="L3084">
        <v>-61714121</v>
      </c>
      <c r="M3084">
        <v>-30421007</v>
      </c>
      <c r="N3084">
        <v>7780322</v>
      </c>
      <c r="O3084">
        <v>-24019650</v>
      </c>
      <c r="P3084">
        <v>232</v>
      </c>
      <c r="Q3084" t="s">
        <v>6507</v>
      </c>
    </row>
    <row r="3085" spans="1:17" x14ac:dyDescent="0.3">
      <c r="A3085" t="s">
        <v>17</v>
      </c>
      <c r="B3085" t="str">
        <f>"688098"</f>
        <v>688098</v>
      </c>
      <c r="C3085" t="s">
        <v>6508</v>
      </c>
      <c r="D3085" t="s">
        <v>2035</v>
      </c>
      <c r="E3085">
        <v>-42272933</v>
      </c>
      <c r="F3085">
        <v>-43438747</v>
      </c>
      <c r="G3085">
        <v>-12704567</v>
      </c>
      <c r="H3085">
        <v>-37260000</v>
      </c>
      <c r="I3085">
        <v>-4727400</v>
      </c>
      <c r="P3085">
        <v>73</v>
      </c>
      <c r="Q3085" t="s">
        <v>6509</v>
      </c>
    </row>
    <row r="3086" spans="1:17" x14ac:dyDescent="0.3">
      <c r="A3086" t="s">
        <v>33</v>
      </c>
      <c r="B3086" t="str">
        <f>"300756"</f>
        <v>300756</v>
      </c>
      <c r="C3086" t="s">
        <v>6510</v>
      </c>
      <c r="D3086" t="s">
        <v>3234</v>
      </c>
      <c r="E3086">
        <v>-42286725</v>
      </c>
      <c r="F3086">
        <v>-13710611</v>
      </c>
      <c r="G3086">
        <v>-29274135</v>
      </c>
      <c r="H3086">
        <v>-20687298</v>
      </c>
      <c r="I3086">
        <v>-29526932</v>
      </c>
      <c r="J3086">
        <v>4110744</v>
      </c>
      <c r="P3086">
        <v>76</v>
      </c>
      <c r="Q3086" t="s">
        <v>6511</v>
      </c>
    </row>
    <row r="3087" spans="1:17" x14ac:dyDescent="0.3">
      <c r="A3087" t="s">
        <v>17</v>
      </c>
      <c r="B3087" t="str">
        <f>"600860"</f>
        <v>600860</v>
      </c>
      <c r="C3087" t="s">
        <v>6512</v>
      </c>
      <c r="D3087" t="s">
        <v>164</v>
      </c>
      <c r="E3087">
        <v>-42316254</v>
      </c>
      <c r="F3087">
        <v>-15817719</v>
      </c>
      <c r="G3087">
        <v>14456623</v>
      </c>
      <c r="H3087">
        <v>9802115</v>
      </c>
      <c r="I3087">
        <v>19620002</v>
      </c>
      <c r="J3087">
        <v>-39191315</v>
      </c>
      <c r="K3087">
        <v>-27233037</v>
      </c>
      <c r="L3087">
        <v>-25192623</v>
      </c>
      <c r="M3087">
        <v>-12629276</v>
      </c>
      <c r="N3087">
        <v>-25911384</v>
      </c>
      <c r="O3087">
        <v>-62564953</v>
      </c>
      <c r="P3087">
        <v>108</v>
      </c>
      <c r="Q3087" t="s">
        <v>6513</v>
      </c>
    </row>
    <row r="3088" spans="1:17" x14ac:dyDescent="0.3">
      <c r="A3088" t="s">
        <v>17</v>
      </c>
      <c r="B3088" t="str">
        <f>"600305"</f>
        <v>600305</v>
      </c>
      <c r="C3088" t="s">
        <v>6514</v>
      </c>
      <c r="D3088" t="s">
        <v>669</v>
      </c>
      <c r="E3088">
        <v>-42317218</v>
      </c>
      <c r="F3088">
        <v>34895825</v>
      </c>
      <c r="G3088">
        <v>74671831</v>
      </c>
      <c r="H3088">
        <v>68042899</v>
      </c>
      <c r="I3088">
        <v>104304949</v>
      </c>
      <c r="J3088">
        <v>33944012</v>
      </c>
      <c r="K3088">
        <v>63296464</v>
      </c>
      <c r="L3088">
        <v>51083881</v>
      </c>
      <c r="M3088">
        <v>60037681</v>
      </c>
      <c r="N3088">
        <v>69587093</v>
      </c>
      <c r="O3088">
        <v>-40888201</v>
      </c>
      <c r="P3088">
        <v>2155</v>
      </c>
      <c r="Q3088" t="s">
        <v>6515</v>
      </c>
    </row>
    <row r="3089" spans="1:17" x14ac:dyDescent="0.3">
      <c r="A3089" t="s">
        <v>33</v>
      </c>
      <c r="B3089" t="str">
        <f>"300506"</f>
        <v>300506</v>
      </c>
      <c r="C3089" t="s">
        <v>6516</v>
      </c>
      <c r="D3089" t="s">
        <v>1779</v>
      </c>
      <c r="E3089">
        <v>-42420008</v>
      </c>
      <c r="F3089">
        <v>-26934574</v>
      </c>
      <c r="G3089">
        <v>-106553018</v>
      </c>
      <c r="H3089">
        <v>-2855391</v>
      </c>
      <c r="I3089">
        <v>-33709115</v>
      </c>
      <c r="J3089">
        <v>-38999579</v>
      </c>
      <c r="K3089">
        <v>-10081969</v>
      </c>
      <c r="L3089">
        <v>-1227998</v>
      </c>
      <c r="P3089">
        <v>294</v>
      </c>
      <c r="Q3089" t="s">
        <v>6517</v>
      </c>
    </row>
    <row r="3090" spans="1:17" x14ac:dyDescent="0.3">
      <c r="A3090" t="s">
        <v>17</v>
      </c>
      <c r="B3090" t="str">
        <f>"603199"</f>
        <v>603199</v>
      </c>
      <c r="C3090" t="s">
        <v>6518</v>
      </c>
      <c r="D3090" t="s">
        <v>5307</v>
      </c>
      <c r="E3090">
        <v>-42511983</v>
      </c>
      <c r="F3090">
        <v>-10931498</v>
      </c>
      <c r="G3090">
        <v>-79361779</v>
      </c>
      <c r="H3090">
        <v>18334144</v>
      </c>
      <c r="I3090">
        <v>10022038</v>
      </c>
      <c r="J3090">
        <v>28610938</v>
      </c>
      <c r="K3090">
        <v>19090322</v>
      </c>
      <c r="L3090">
        <v>6013001</v>
      </c>
      <c r="M3090">
        <v>13637165</v>
      </c>
      <c r="P3090">
        <v>144</v>
      </c>
      <c r="Q3090" t="s">
        <v>6519</v>
      </c>
    </row>
    <row r="3091" spans="1:17" x14ac:dyDescent="0.3">
      <c r="A3091" t="s">
        <v>17</v>
      </c>
      <c r="B3091" t="str">
        <f>"600628"</f>
        <v>600628</v>
      </c>
      <c r="C3091" t="s">
        <v>6520</v>
      </c>
      <c r="D3091" t="s">
        <v>989</v>
      </c>
      <c r="E3091">
        <v>-42623752</v>
      </c>
      <c r="F3091">
        <v>-72718357</v>
      </c>
      <c r="G3091">
        <v>-72176095</v>
      </c>
      <c r="H3091">
        <v>72604454</v>
      </c>
      <c r="I3091">
        <v>140554174</v>
      </c>
      <c r="J3091">
        <v>13507636</v>
      </c>
      <c r="K3091">
        <v>88671763</v>
      </c>
      <c r="L3091">
        <v>113096276</v>
      </c>
      <c r="M3091">
        <v>74108774</v>
      </c>
      <c r="N3091">
        <v>77884039</v>
      </c>
      <c r="O3091">
        <v>49728440</v>
      </c>
      <c r="P3091">
        <v>112</v>
      </c>
      <c r="Q3091" t="s">
        <v>6521</v>
      </c>
    </row>
    <row r="3092" spans="1:17" x14ac:dyDescent="0.3">
      <c r="A3092" t="s">
        <v>33</v>
      </c>
      <c r="B3092" t="str">
        <f>"002862"</f>
        <v>002862</v>
      </c>
      <c r="C3092" t="s">
        <v>6522</v>
      </c>
      <c r="D3092" t="s">
        <v>3234</v>
      </c>
      <c r="E3092">
        <v>-42651471</v>
      </c>
      <c r="F3092">
        <v>-37890604</v>
      </c>
      <c r="G3092">
        <v>-37362869</v>
      </c>
      <c r="H3092">
        <v>-27424924</v>
      </c>
      <c r="I3092">
        <v>-27754429</v>
      </c>
      <c r="J3092">
        <v>-21121080</v>
      </c>
      <c r="K3092">
        <v>-49045526</v>
      </c>
      <c r="P3092">
        <v>66</v>
      </c>
      <c r="Q3092" t="s">
        <v>6523</v>
      </c>
    </row>
    <row r="3093" spans="1:17" x14ac:dyDescent="0.3">
      <c r="A3093" t="s">
        <v>33</v>
      </c>
      <c r="B3093" t="str">
        <f>"300918"</f>
        <v>300918</v>
      </c>
      <c r="C3093" t="s">
        <v>6524</v>
      </c>
      <c r="D3093" t="s">
        <v>1292</v>
      </c>
      <c r="E3093">
        <v>-42732861</v>
      </c>
      <c r="F3093">
        <v>-68702231</v>
      </c>
      <c r="G3093">
        <v>-53106900</v>
      </c>
      <c r="P3093">
        <v>38</v>
      </c>
      <c r="Q3093" t="s">
        <v>6525</v>
      </c>
    </row>
    <row r="3094" spans="1:17" x14ac:dyDescent="0.3">
      <c r="A3094" t="s">
        <v>33</v>
      </c>
      <c r="B3094" t="str">
        <f>"300293"</f>
        <v>300293</v>
      </c>
      <c r="C3094" t="s">
        <v>6526</v>
      </c>
      <c r="D3094" t="s">
        <v>1895</v>
      </c>
      <c r="E3094">
        <v>-42837037</v>
      </c>
      <c r="F3094">
        <v>-30651493</v>
      </c>
      <c r="G3094">
        <v>22443043</v>
      </c>
      <c r="H3094">
        <v>-63440109</v>
      </c>
      <c r="I3094">
        <v>45135824</v>
      </c>
      <c r="J3094">
        <v>40517120</v>
      </c>
      <c r="K3094">
        <v>4556015</v>
      </c>
      <c r="L3094">
        <v>43565428</v>
      </c>
      <c r="M3094">
        <v>40229736</v>
      </c>
      <c r="N3094">
        <v>-161281240</v>
      </c>
      <c r="O3094">
        <v>-24768690</v>
      </c>
      <c r="P3094">
        <v>112</v>
      </c>
      <c r="Q3094" t="s">
        <v>6527</v>
      </c>
    </row>
    <row r="3095" spans="1:17" x14ac:dyDescent="0.3">
      <c r="A3095" t="s">
        <v>33</v>
      </c>
      <c r="B3095" t="str">
        <f>"002899"</f>
        <v>002899</v>
      </c>
      <c r="C3095" t="s">
        <v>6528</v>
      </c>
      <c r="D3095" t="s">
        <v>3234</v>
      </c>
      <c r="E3095">
        <v>-42893088</v>
      </c>
      <c r="F3095">
        <v>-29437921</v>
      </c>
      <c r="G3095">
        <v>-31588428</v>
      </c>
      <c r="H3095">
        <v>-65016017</v>
      </c>
      <c r="I3095">
        <v>-9946012</v>
      </c>
      <c r="J3095">
        <v>-17398841</v>
      </c>
      <c r="P3095">
        <v>65</v>
      </c>
      <c r="Q3095" t="s">
        <v>6529</v>
      </c>
    </row>
    <row r="3096" spans="1:17" x14ac:dyDescent="0.3">
      <c r="A3096" t="s">
        <v>17</v>
      </c>
      <c r="B3096" t="str">
        <f>"688628"</f>
        <v>688628</v>
      </c>
      <c r="C3096" t="s">
        <v>6530</v>
      </c>
      <c r="D3096" t="s">
        <v>2417</v>
      </c>
      <c r="E3096">
        <v>-42901708</v>
      </c>
      <c r="F3096">
        <v>-42383811</v>
      </c>
      <c r="G3096">
        <v>69063814</v>
      </c>
      <c r="P3096">
        <v>35</v>
      </c>
      <c r="Q3096" t="s">
        <v>6531</v>
      </c>
    </row>
    <row r="3097" spans="1:17" x14ac:dyDescent="0.3">
      <c r="A3097" t="s">
        <v>17</v>
      </c>
      <c r="B3097" t="str">
        <f>"688328"</f>
        <v>688328</v>
      </c>
      <c r="C3097" t="s">
        <v>6532</v>
      </c>
      <c r="D3097" t="s">
        <v>1895</v>
      </c>
      <c r="E3097">
        <v>-43106399</v>
      </c>
      <c r="F3097">
        <v>-52215403</v>
      </c>
      <c r="G3097">
        <v>-59596600</v>
      </c>
      <c r="P3097">
        <v>39</v>
      </c>
      <c r="Q3097" t="s">
        <v>6533</v>
      </c>
    </row>
    <row r="3098" spans="1:17" x14ac:dyDescent="0.3">
      <c r="A3098" t="s">
        <v>17</v>
      </c>
      <c r="B3098" t="str">
        <f>"603506"</f>
        <v>603506</v>
      </c>
      <c r="C3098" t="s">
        <v>6534</v>
      </c>
      <c r="D3098" t="s">
        <v>2398</v>
      </c>
      <c r="E3098">
        <v>-43122076</v>
      </c>
      <c r="F3098">
        <v>-38700225</v>
      </c>
      <c r="G3098">
        <v>-8474537</v>
      </c>
      <c r="H3098">
        <v>175324</v>
      </c>
      <c r="I3098">
        <v>-4360016</v>
      </c>
      <c r="J3098">
        <v>15326029</v>
      </c>
      <c r="P3098">
        <v>355</v>
      </c>
      <c r="Q3098" t="s">
        <v>6535</v>
      </c>
    </row>
    <row r="3099" spans="1:17" x14ac:dyDescent="0.3">
      <c r="A3099" t="s">
        <v>17</v>
      </c>
      <c r="B3099" t="str">
        <f>"603028"</f>
        <v>603028</v>
      </c>
      <c r="C3099" t="s">
        <v>6536</v>
      </c>
      <c r="D3099" t="s">
        <v>164</v>
      </c>
      <c r="E3099">
        <v>-43140606</v>
      </c>
      <c r="F3099">
        <v>-18346359</v>
      </c>
      <c r="G3099">
        <v>-47233497</v>
      </c>
      <c r="H3099">
        <v>20312595</v>
      </c>
      <c r="I3099">
        <v>-53751884</v>
      </c>
      <c r="J3099">
        <v>-53219401</v>
      </c>
      <c r="K3099">
        <v>-37286782</v>
      </c>
      <c r="L3099">
        <v>-28495692</v>
      </c>
      <c r="P3099">
        <v>52</v>
      </c>
      <c r="Q3099" t="s">
        <v>6537</v>
      </c>
    </row>
    <row r="3100" spans="1:17" x14ac:dyDescent="0.3">
      <c r="A3100" t="s">
        <v>33</v>
      </c>
      <c r="B3100" t="str">
        <f>"002313"</f>
        <v>002313</v>
      </c>
      <c r="C3100" t="s">
        <v>6538</v>
      </c>
      <c r="D3100" t="s">
        <v>1347</v>
      </c>
      <c r="E3100">
        <v>-43168013</v>
      </c>
      <c r="F3100">
        <v>-133976641</v>
      </c>
      <c r="G3100">
        <v>-293462576</v>
      </c>
      <c r="H3100">
        <v>-424438056</v>
      </c>
      <c r="I3100">
        <v>-392948083</v>
      </c>
      <c r="J3100">
        <v>-125456491</v>
      </c>
      <c r="K3100">
        <v>-159426918</v>
      </c>
      <c r="L3100">
        <v>-159312598</v>
      </c>
      <c r="M3100">
        <v>-61953808</v>
      </c>
      <c r="N3100">
        <v>-169011791</v>
      </c>
      <c r="O3100">
        <v>-80823542</v>
      </c>
      <c r="P3100">
        <v>243</v>
      </c>
      <c r="Q3100" t="s">
        <v>6539</v>
      </c>
    </row>
    <row r="3101" spans="1:17" x14ac:dyDescent="0.3">
      <c r="A3101" t="s">
        <v>17</v>
      </c>
      <c r="B3101" t="str">
        <f>"603936"</f>
        <v>603936</v>
      </c>
      <c r="C3101" t="s">
        <v>6540</v>
      </c>
      <c r="D3101" t="s">
        <v>239</v>
      </c>
      <c r="E3101">
        <v>-43185943</v>
      </c>
      <c r="F3101">
        <v>-36537794</v>
      </c>
      <c r="G3101">
        <v>-50296039</v>
      </c>
      <c r="H3101">
        <v>12287004</v>
      </c>
      <c r="I3101">
        <v>12441545</v>
      </c>
      <c r="J3101">
        <v>75801666</v>
      </c>
      <c r="K3101">
        <v>-40385099</v>
      </c>
      <c r="P3101">
        <v>222</v>
      </c>
      <c r="Q3101" t="s">
        <v>6541</v>
      </c>
    </row>
    <row r="3102" spans="1:17" x14ac:dyDescent="0.3">
      <c r="A3102" t="s">
        <v>33</v>
      </c>
      <c r="B3102" t="str">
        <f>"001288"</f>
        <v>001288</v>
      </c>
      <c r="C3102" t="s">
        <v>6542</v>
      </c>
      <c r="D3102" t="s">
        <v>1132</v>
      </c>
      <c r="E3102">
        <v>-43288804</v>
      </c>
      <c r="F3102">
        <v>24188050</v>
      </c>
      <c r="P3102">
        <v>14</v>
      </c>
      <c r="Q3102" t="s">
        <v>6543</v>
      </c>
    </row>
    <row r="3103" spans="1:17" x14ac:dyDescent="0.3">
      <c r="A3103" t="s">
        <v>33</v>
      </c>
      <c r="B3103" t="str">
        <f>"300448"</f>
        <v>300448</v>
      </c>
      <c r="C3103" t="s">
        <v>6544</v>
      </c>
      <c r="D3103" t="s">
        <v>508</v>
      </c>
      <c r="E3103">
        <v>-43297277</v>
      </c>
      <c r="F3103">
        <v>-41950170</v>
      </c>
      <c r="G3103">
        <v>-85395418</v>
      </c>
      <c r="H3103">
        <v>-117825931</v>
      </c>
      <c r="I3103">
        <v>-59828776</v>
      </c>
      <c r="J3103">
        <v>-75411072</v>
      </c>
      <c r="K3103">
        <v>-82221712</v>
      </c>
      <c r="L3103">
        <v>-57340077</v>
      </c>
      <c r="M3103">
        <v>-72025710</v>
      </c>
      <c r="P3103">
        <v>157</v>
      </c>
      <c r="Q3103" t="s">
        <v>6545</v>
      </c>
    </row>
    <row r="3104" spans="1:17" x14ac:dyDescent="0.3">
      <c r="A3104" t="s">
        <v>17</v>
      </c>
      <c r="B3104" t="str">
        <f>"688319"</f>
        <v>688319</v>
      </c>
      <c r="C3104" t="s">
        <v>6546</v>
      </c>
      <c r="D3104" t="s">
        <v>1321</v>
      </c>
      <c r="E3104">
        <v>-43299850</v>
      </c>
      <c r="F3104">
        <v>-20579601</v>
      </c>
      <c r="G3104">
        <v>-12259201</v>
      </c>
      <c r="P3104">
        <v>46</v>
      </c>
      <c r="Q3104" t="s">
        <v>6547</v>
      </c>
    </row>
    <row r="3105" spans="1:17" x14ac:dyDescent="0.3">
      <c r="A3105" t="s">
        <v>33</v>
      </c>
      <c r="B3105" t="str">
        <f>"002209"</f>
        <v>002209</v>
      </c>
      <c r="C3105" t="s">
        <v>6548</v>
      </c>
      <c r="D3105" t="s">
        <v>2269</v>
      </c>
      <c r="E3105">
        <v>-43367173</v>
      </c>
      <c r="F3105">
        <v>64555720</v>
      </c>
      <c r="G3105">
        <v>-7142240</v>
      </c>
      <c r="H3105">
        <v>-41283326</v>
      </c>
      <c r="I3105">
        <v>-2642167</v>
      </c>
      <c r="J3105">
        <v>22376193</v>
      </c>
      <c r="K3105">
        <v>-109551665</v>
      </c>
      <c r="L3105">
        <v>40795758</v>
      </c>
      <c r="M3105">
        <v>-29308060</v>
      </c>
      <c r="N3105">
        <v>-1481789</v>
      </c>
      <c r="O3105">
        <v>33142676</v>
      </c>
      <c r="P3105">
        <v>75</v>
      </c>
      <c r="Q3105" t="s">
        <v>6549</v>
      </c>
    </row>
    <row r="3106" spans="1:17" x14ac:dyDescent="0.3">
      <c r="A3106" t="s">
        <v>33</v>
      </c>
      <c r="B3106" t="str">
        <f>"300330"</f>
        <v>300330</v>
      </c>
      <c r="C3106" t="s">
        <v>6550</v>
      </c>
      <c r="D3106" t="s">
        <v>1571</v>
      </c>
      <c r="E3106">
        <v>-43371025</v>
      </c>
      <c r="F3106">
        <v>-12748569</v>
      </c>
      <c r="G3106">
        <v>-65100575</v>
      </c>
      <c r="H3106">
        <v>-37083577</v>
      </c>
      <c r="I3106">
        <v>-39665619</v>
      </c>
      <c r="J3106">
        <v>-13376652</v>
      </c>
      <c r="K3106">
        <v>-2136183</v>
      </c>
      <c r="L3106">
        <v>-2313092</v>
      </c>
      <c r="M3106">
        <v>6495605</v>
      </c>
      <c r="N3106">
        <v>-25867200</v>
      </c>
      <c r="O3106">
        <v>-38956348</v>
      </c>
      <c r="P3106">
        <v>82</v>
      </c>
      <c r="Q3106" t="s">
        <v>6551</v>
      </c>
    </row>
    <row r="3107" spans="1:17" x14ac:dyDescent="0.3">
      <c r="A3107" t="s">
        <v>33</v>
      </c>
      <c r="B3107" t="str">
        <f>"300423"</f>
        <v>300423</v>
      </c>
      <c r="C3107" t="s">
        <v>6552</v>
      </c>
      <c r="D3107" t="s">
        <v>298</v>
      </c>
      <c r="E3107">
        <v>-43414547</v>
      </c>
      <c r="F3107">
        <v>-100155028</v>
      </c>
      <c r="G3107">
        <v>-303042583</v>
      </c>
      <c r="H3107">
        <v>-637792357</v>
      </c>
      <c r="I3107">
        <v>-17687905</v>
      </c>
      <c r="J3107">
        <v>-13680266</v>
      </c>
      <c r="K3107">
        <v>-16139797</v>
      </c>
      <c r="L3107">
        <v>-50826587</v>
      </c>
      <c r="M3107">
        <v>-48477237</v>
      </c>
      <c r="P3107">
        <v>156</v>
      </c>
      <c r="Q3107" t="s">
        <v>6553</v>
      </c>
    </row>
    <row r="3108" spans="1:17" x14ac:dyDescent="0.3">
      <c r="A3108" t="s">
        <v>33</v>
      </c>
      <c r="B3108" t="str">
        <f>"300523"</f>
        <v>300523</v>
      </c>
      <c r="C3108" t="s">
        <v>6554</v>
      </c>
      <c r="D3108" t="s">
        <v>508</v>
      </c>
      <c r="E3108">
        <v>-43425113</v>
      </c>
      <c r="F3108">
        <v>-252281269</v>
      </c>
      <c r="G3108">
        <v>-190061915</v>
      </c>
      <c r="H3108">
        <v>-173057909</v>
      </c>
      <c r="I3108">
        <v>-33293839</v>
      </c>
      <c r="J3108">
        <v>-108057233</v>
      </c>
      <c r="K3108">
        <v>-32908100</v>
      </c>
      <c r="P3108">
        <v>135</v>
      </c>
      <c r="Q3108" t="s">
        <v>6555</v>
      </c>
    </row>
    <row r="3109" spans="1:17" x14ac:dyDescent="0.3">
      <c r="A3109" t="s">
        <v>33</v>
      </c>
      <c r="B3109" t="str">
        <f>"002455"</f>
        <v>002455</v>
      </c>
      <c r="C3109" t="s">
        <v>6556</v>
      </c>
      <c r="D3109" t="s">
        <v>418</v>
      </c>
      <c r="E3109">
        <v>-43456168</v>
      </c>
      <c r="F3109">
        <v>-35601799</v>
      </c>
      <c r="G3109">
        <v>77029719</v>
      </c>
      <c r="H3109">
        <v>8176952</v>
      </c>
      <c r="I3109">
        <v>54222367</v>
      </c>
      <c r="J3109">
        <v>48531570</v>
      </c>
      <c r="K3109">
        <v>99509459</v>
      </c>
      <c r="L3109">
        <v>84115779</v>
      </c>
      <c r="M3109">
        <v>4809904</v>
      </c>
      <c r="N3109">
        <v>24515922</v>
      </c>
      <c r="O3109">
        <v>-49631097</v>
      </c>
      <c r="P3109">
        <v>209</v>
      </c>
      <c r="Q3109" t="s">
        <v>6557</v>
      </c>
    </row>
    <row r="3110" spans="1:17" x14ac:dyDescent="0.3">
      <c r="A3110" t="s">
        <v>17</v>
      </c>
      <c r="B3110" t="str">
        <f>"688601"</f>
        <v>688601</v>
      </c>
      <c r="C3110" t="s">
        <v>6558</v>
      </c>
      <c r="D3110" t="s">
        <v>1192</v>
      </c>
      <c r="E3110">
        <v>-43460198</v>
      </c>
      <c r="F3110">
        <v>-8810892</v>
      </c>
      <c r="G3110">
        <v>-6222870</v>
      </c>
      <c r="P3110">
        <v>57</v>
      </c>
      <c r="Q3110" t="s">
        <v>6559</v>
      </c>
    </row>
    <row r="3111" spans="1:17" x14ac:dyDescent="0.3">
      <c r="A3111" t="s">
        <v>17</v>
      </c>
      <c r="B3111" t="str">
        <f>"689009"</f>
        <v>689009</v>
      </c>
      <c r="C3111" t="s">
        <v>6560</v>
      </c>
      <c r="D3111" t="s">
        <v>545</v>
      </c>
      <c r="E3111">
        <v>-43480550</v>
      </c>
      <c r="F3111">
        <v>-65826255</v>
      </c>
      <c r="G3111">
        <v>-175023635</v>
      </c>
      <c r="P3111">
        <v>114</v>
      </c>
      <c r="Q3111" t="s">
        <v>6561</v>
      </c>
    </row>
    <row r="3112" spans="1:17" x14ac:dyDescent="0.3">
      <c r="A3112" t="s">
        <v>33</v>
      </c>
      <c r="B3112" t="str">
        <f>"000502"</f>
        <v>000502</v>
      </c>
      <c r="C3112" t="s">
        <v>6562</v>
      </c>
      <c r="D3112" t="s">
        <v>2398</v>
      </c>
      <c r="E3112">
        <v>-43552830</v>
      </c>
      <c r="F3112">
        <v>-6450727</v>
      </c>
      <c r="G3112">
        <v>-3763104</v>
      </c>
      <c r="H3112">
        <v>-3694087</v>
      </c>
      <c r="I3112">
        <v>-23226763</v>
      </c>
      <c r="J3112">
        <v>-42806275</v>
      </c>
      <c r="K3112">
        <v>-19649438</v>
      </c>
      <c r="L3112">
        <v>-2971721</v>
      </c>
      <c r="M3112">
        <v>-3371361</v>
      </c>
      <c r="N3112">
        <v>-3080348</v>
      </c>
      <c r="O3112">
        <v>-26493544</v>
      </c>
      <c r="P3112">
        <v>85</v>
      </c>
      <c r="Q3112" t="s">
        <v>6563</v>
      </c>
    </row>
    <row r="3113" spans="1:17" x14ac:dyDescent="0.3">
      <c r="A3113" t="s">
        <v>33</v>
      </c>
      <c r="B3113" t="str">
        <f>"301167"</f>
        <v>301167</v>
      </c>
      <c r="C3113" t="s">
        <v>6564</v>
      </c>
      <c r="D3113" t="s">
        <v>4300</v>
      </c>
      <c r="E3113">
        <v>-43666662</v>
      </c>
      <c r="P3113">
        <v>17</v>
      </c>
      <c r="Q3113" t="s">
        <v>6565</v>
      </c>
    </row>
    <row r="3114" spans="1:17" x14ac:dyDescent="0.3">
      <c r="A3114" t="s">
        <v>33</v>
      </c>
      <c r="B3114" t="str">
        <f>"300193"</f>
        <v>300193</v>
      </c>
      <c r="C3114" t="s">
        <v>6566</v>
      </c>
      <c r="D3114" t="s">
        <v>1033</v>
      </c>
      <c r="E3114">
        <v>-43668852</v>
      </c>
      <c r="F3114">
        <v>35397574</v>
      </c>
      <c r="G3114">
        <v>-13221475</v>
      </c>
      <c r="H3114">
        <v>24747300</v>
      </c>
      <c r="I3114">
        <v>6606034</v>
      </c>
      <c r="J3114">
        <v>11457402</v>
      </c>
      <c r="K3114">
        <v>12936211</v>
      </c>
      <c r="L3114">
        <v>-1727583</v>
      </c>
      <c r="M3114">
        <v>23362366</v>
      </c>
      <c r="N3114">
        <v>-6779732</v>
      </c>
      <c r="O3114">
        <v>-8334898</v>
      </c>
      <c r="P3114">
        <v>154</v>
      </c>
      <c r="Q3114" t="s">
        <v>6567</v>
      </c>
    </row>
    <row r="3115" spans="1:17" x14ac:dyDescent="0.3">
      <c r="A3115" t="s">
        <v>33</v>
      </c>
      <c r="B3115" t="str">
        <f>"002439"</f>
        <v>002439</v>
      </c>
      <c r="C3115" t="s">
        <v>6568</v>
      </c>
      <c r="D3115" t="s">
        <v>1713</v>
      </c>
      <c r="E3115">
        <v>-43674374</v>
      </c>
      <c r="F3115">
        <v>46286012</v>
      </c>
      <c r="G3115">
        <v>-51361004</v>
      </c>
      <c r="H3115">
        <v>-48429959</v>
      </c>
      <c r="I3115">
        <v>-132590082</v>
      </c>
      <c r="J3115">
        <v>-142963248</v>
      </c>
      <c r="K3115">
        <v>-215889406</v>
      </c>
      <c r="L3115">
        <v>-165406948</v>
      </c>
      <c r="M3115">
        <v>-93381893</v>
      </c>
      <c r="N3115">
        <v>-79812639</v>
      </c>
      <c r="O3115">
        <v>-68985319</v>
      </c>
      <c r="P3115">
        <v>1190</v>
      </c>
      <c r="Q3115" t="s">
        <v>6569</v>
      </c>
    </row>
    <row r="3116" spans="1:17" x14ac:dyDescent="0.3">
      <c r="A3116" t="s">
        <v>17</v>
      </c>
      <c r="B3116" t="str">
        <f>"688108"</f>
        <v>688108</v>
      </c>
      <c r="C3116" t="s">
        <v>6570</v>
      </c>
      <c r="D3116" t="s">
        <v>903</v>
      </c>
      <c r="E3116">
        <v>-43690459</v>
      </c>
      <c r="F3116">
        <v>-33467472</v>
      </c>
      <c r="G3116">
        <v>-2051148</v>
      </c>
      <c r="H3116">
        <v>-3780743</v>
      </c>
      <c r="I3116">
        <v>3374800</v>
      </c>
      <c r="P3116">
        <v>104</v>
      </c>
      <c r="Q3116" t="s">
        <v>6571</v>
      </c>
    </row>
    <row r="3117" spans="1:17" x14ac:dyDescent="0.3">
      <c r="A3117" t="s">
        <v>33</v>
      </c>
      <c r="B3117" t="str">
        <f>"300086"</f>
        <v>300086</v>
      </c>
      <c r="C3117" t="s">
        <v>6572</v>
      </c>
      <c r="D3117" t="s">
        <v>590</v>
      </c>
      <c r="E3117">
        <v>-43702923</v>
      </c>
      <c r="F3117">
        <v>16570263</v>
      </c>
      <c r="G3117">
        <v>-125758512</v>
      </c>
      <c r="H3117">
        <v>12748853</v>
      </c>
      <c r="I3117">
        <v>-12900561</v>
      </c>
      <c r="J3117">
        <v>10934071</v>
      </c>
      <c r="K3117">
        <v>23578289</v>
      </c>
      <c r="L3117">
        <v>1864579</v>
      </c>
      <c r="M3117">
        <v>22138211</v>
      </c>
      <c r="N3117">
        <v>-3990269</v>
      </c>
      <c r="O3117">
        <v>11161191</v>
      </c>
      <c r="P3117">
        <v>106</v>
      </c>
      <c r="Q3117" t="s">
        <v>6573</v>
      </c>
    </row>
    <row r="3118" spans="1:17" x14ac:dyDescent="0.3">
      <c r="A3118" t="s">
        <v>33</v>
      </c>
      <c r="B3118" t="str">
        <f>"300799"</f>
        <v>300799</v>
      </c>
      <c r="C3118" t="s">
        <v>6574</v>
      </c>
      <c r="D3118" t="s">
        <v>1713</v>
      </c>
      <c r="E3118">
        <v>-43827304</v>
      </c>
      <c r="F3118">
        <v>-28062694</v>
      </c>
      <c r="G3118">
        <v>-18381497</v>
      </c>
      <c r="H3118">
        <v>-29357630</v>
      </c>
      <c r="P3118">
        <v>140</v>
      </c>
      <c r="Q3118" t="s">
        <v>6575</v>
      </c>
    </row>
    <row r="3119" spans="1:17" x14ac:dyDescent="0.3">
      <c r="A3119" t="s">
        <v>33</v>
      </c>
      <c r="B3119" t="str">
        <f>"301037"</f>
        <v>301037</v>
      </c>
      <c r="C3119" t="s">
        <v>6576</v>
      </c>
      <c r="D3119" t="s">
        <v>1341</v>
      </c>
      <c r="E3119">
        <v>-43843371</v>
      </c>
      <c r="F3119">
        <v>-14365641</v>
      </c>
      <c r="G3119">
        <v>30376470</v>
      </c>
      <c r="P3119">
        <v>13</v>
      </c>
      <c r="Q3119" t="s">
        <v>6577</v>
      </c>
    </row>
    <row r="3120" spans="1:17" x14ac:dyDescent="0.3">
      <c r="A3120" t="s">
        <v>17</v>
      </c>
      <c r="B3120" t="str">
        <f>"688219"</f>
        <v>688219</v>
      </c>
      <c r="C3120" t="s">
        <v>6578</v>
      </c>
      <c r="D3120" t="s">
        <v>1556</v>
      </c>
      <c r="E3120">
        <v>-44147522</v>
      </c>
      <c r="F3120">
        <v>-80605950</v>
      </c>
      <c r="G3120">
        <v>-160321005</v>
      </c>
      <c r="P3120">
        <v>50</v>
      </c>
      <c r="Q3120" t="s">
        <v>6579</v>
      </c>
    </row>
    <row r="3121" spans="1:17" x14ac:dyDescent="0.3">
      <c r="A3121" t="s">
        <v>17</v>
      </c>
      <c r="B3121" t="str">
        <f>"688316"</f>
        <v>688316</v>
      </c>
      <c r="C3121" t="s">
        <v>6580</v>
      </c>
      <c r="D3121" t="s">
        <v>508</v>
      </c>
      <c r="E3121">
        <v>-44279950</v>
      </c>
      <c r="F3121">
        <v>-48794853</v>
      </c>
      <c r="G3121">
        <v>-40026453</v>
      </c>
      <c r="P3121">
        <v>31</v>
      </c>
      <c r="Q3121" t="s">
        <v>6581</v>
      </c>
    </row>
    <row r="3122" spans="1:17" x14ac:dyDescent="0.3">
      <c r="A3122" t="s">
        <v>33</v>
      </c>
      <c r="B3122" t="str">
        <f>"300113"</f>
        <v>300113</v>
      </c>
      <c r="C3122" t="s">
        <v>6582</v>
      </c>
      <c r="D3122" t="s">
        <v>751</v>
      </c>
      <c r="E3122">
        <v>-44312284</v>
      </c>
      <c r="F3122">
        <v>50615266</v>
      </c>
      <c r="G3122">
        <v>-101929903</v>
      </c>
      <c r="H3122">
        <v>24023565</v>
      </c>
      <c r="I3122">
        <v>99612930</v>
      </c>
      <c r="J3122">
        <v>57086290</v>
      </c>
      <c r="K3122">
        <v>124651896</v>
      </c>
      <c r="L3122">
        <v>42970822</v>
      </c>
      <c r="M3122">
        <v>28826916</v>
      </c>
      <c r="N3122">
        <v>13062468</v>
      </c>
      <c r="O3122">
        <v>7786357</v>
      </c>
      <c r="P3122">
        <v>481</v>
      </c>
      <c r="Q3122" t="s">
        <v>6583</v>
      </c>
    </row>
    <row r="3123" spans="1:17" x14ac:dyDescent="0.3">
      <c r="A3123" t="s">
        <v>33</v>
      </c>
      <c r="B3123" t="str">
        <f>"002330"</f>
        <v>002330</v>
      </c>
      <c r="C3123" t="s">
        <v>6584</v>
      </c>
      <c r="D3123" t="s">
        <v>740</v>
      </c>
      <c r="E3123">
        <v>-44331350</v>
      </c>
      <c r="F3123">
        <v>-15213218</v>
      </c>
      <c r="G3123">
        <v>39414083</v>
      </c>
      <c r="H3123">
        <v>-19874274</v>
      </c>
      <c r="I3123">
        <v>-13151703</v>
      </c>
      <c r="J3123">
        <v>-14920296</v>
      </c>
      <c r="K3123">
        <v>23111489</v>
      </c>
      <c r="L3123">
        <v>2864826</v>
      </c>
      <c r="M3123">
        <v>-26615007</v>
      </c>
      <c r="N3123">
        <v>-5422404</v>
      </c>
      <c r="O3123">
        <v>19813117</v>
      </c>
      <c r="P3123">
        <v>540</v>
      </c>
      <c r="Q3123" t="s">
        <v>6585</v>
      </c>
    </row>
    <row r="3124" spans="1:17" x14ac:dyDescent="0.3">
      <c r="A3124" t="s">
        <v>33</v>
      </c>
      <c r="B3124" t="str">
        <f>"300746"</f>
        <v>300746</v>
      </c>
      <c r="C3124" t="s">
        <v>6586</v>
      </c>
      <c r="D3124" t="s">
        <v>4300</v>
      </c>
      <c r="E3124">
        <v>-44345194</v>
      </c>
      <c r="F3124">
        <v>-13909403</v>
      </c>
      <c r="G3124">
        <v>-26297470</v>
      </c>
      <c r="H3124">
        <v>-4086205</v>
      </c>
      <c r="I3124">
        <v>-94804</v>
      </c>
      <c r="J3124">
        <v>-2971704</v>
      </c>
      <c r="P3124">
        <v>66</v>
      </c>
      <c r="Q3124" t="s">
        <v>6587</v>
      </c>
    </row>
    <row r="3125" spans="1:17" x14ac:dyDescent="0.3">
      <c r="A3125" t="s">
        <v>33</v>
      </c>
      <c r="B3125" t="str">
        <f>"300629"</f>
        <v>300629</v>
      </c>
      <c r="C3125" t="s">
        <v>6588</v>
      </c>
      <c r="D3125" t="s">
        <v>1219</v>
      </c>
      <c r="E3125">
        <v>-44353830</v>
      </c>
      <c r="F3125">
        <v>-30826508</v>
      </c>
      <c r="G3125">
        <v>-3054583</v>
      </c>
      <c r="H3125">
        <v>2523779</v>
      </c>
      <c r="I3125">
        <v>-15534090</v>
      </c>
      <c r="J3125">
        <v>2234723</v>
      </c>
      <c r="K3125">
        <v>-9552639</v>
      </c>
      <c r="P3125">
        <v>65</v>
      </c>
      <c r="Q3125" t="s">
        <v>6589</v>
      </c>
    </row>
    <row r="3126" spans="1:17" x14ac:dyDescent="0.3">
      <c r="A3126" t="s">
        <v>33</v>
      </c>
      <c r="B3126" t="str">
        <f>"301063"</f>
        <v>301063</v>
      </c>
      <c r="C3126" t="s">
        <v>6590</v>
      </c>
      <c r="D3126" t="s">
        <v>164</v>
      </c>
      <c r="E3126">
        <v>-44430252</v>
      </c>
      <c r="G3126">
        <v>1420978</v>
      </c>
      <c r="P3126">
        <v>17</v>
      </c>
      <c r="Q3126" t="s">
        <v>6591</v>
      </c>
    </row>
    <row r="3127" spans="1:17" x14ac:dyDescent="0.3">
      <c r="A3127" t="s">
        <v>33</v>
      </c>
      <c r="B3127" t="str">
        <f>"002587"</f>
        <v>002587</v>
      </c>
      <c r="C3127" t="s">
        <v>6592</v>
      </c>
      <c r="D3127" t="s">
        <v>1299</v>
      </c>
      <c r="E3127">
        <v>-44481062</v>
      </c>
      <c r="F3127">
        <v>-72835458</v>
      </c>
      <c r="G3127">
        <v>-64641466</v>
      </c>
      <c r="H3127">
        <v>-82263229</v>
      </c>
      <c r="I3127">
        <v>-96315373</v>
      </c>
      <c r="J3127">
        <v>-58963208</v>
      </c>
      <c r="K3127">
        <v>-33379393</v>
      </c>
      <c r="L3127">
        <v>-30183388</v>
      </c>
      <c r="M3127">
        <v>-19721985</v>
      </c>
      <c r="N3127">
        <v>13623561</v>
      </c>
      <c r="O3127">
        <v>-11138449</v>
      </c>
      <c r="P3127">
        <v>142</v>
      </c>
      <c r="Q3127" t="s">
        <v>6593</v>
      </c>
    </row>
    <row r="3128" spans="1:17" x14ac:dyDescent="0.3">
      <c r="A3128" t="s">
        <v>33</v>
      </c>
      <c r="B3128" t="str">
        <f>"002559"</f>
        <v>002559</v>
      </c>
      <c r="C3128" t="s">
        <v>6594</v>
      </c>
      <c r="D3128" t="s">
        <v>1910</v>
      </c>
      <c r="E3128">
        <v>-44491815</v>
      </c>
      <c r="F3128">
        <v>-11844626</v>
      </c>
      <c r="G3128">
        <v>103681308</v>
      </c>
      <c r="H3128">
        <v>73909241</v>
      </c>
      <c r="I3128">
        <v>-1370804</v>
      </c>
      <c r="J3128">
        <v>17473086</v>
      </c>
      <c r="K3128">
        <v>10858386</v>
      </c>
      <c r="L3128">
        <v>12066129</v>
      </c>
      <c r="M3128">
        <v>-2235024</v>
      </c>
      <c r="N3128">
        <v>18030176</v>
      </c>
      <c r="O3128">
        <v>-65968270</v>
      </c>
      <c r="P3128">
        <v>149</v>
      </c>
      <c r="Q3128" t="s">
        <v>6595</v>
      </c>
    </row>
    <row r="3129" spans="1:17" x14ac:dyDescent="0.3">
      <c r="A3129" t="s">
        <v>17</v>
      </c>
      <c r="B3129" t="str">
        <f>"603586"</f>
        <v>603586</v>
      </c>
      <c r="C3129" t="s">
        <v>6596</v>
      </c>
      <c r="D3129" t="s">
        <v>858</v>
      </c>
      <c r="E3129">
        <v>-44577562</v>
      </c>
      <c r="F3129">
        <v>36004193</v>
      </c>
      <c r="G3129">
        <v>117932317</v>
      </c>
      <c r="H3129">
        <v>94183230</v>
      </c>
      <c r="I3129">
        <v>10192442</v>
      </c>
      <c r="J3129">
        <v>20051481</v>
      </c>
      <c r="K3129">
        <v>52270694</v>
      </c>
      <c r="P3129">
        <v>109</v>
      </c>
      <c r="Q3129" t="s">
        <v>6597</v>
      </c>
    </row>
    <row r="3130" spans="1:17" x14ac:dyDescent="0.3">
      <c r="A3130" t="s">
        <v>33</v>
      </c>
      <c r="B3130" t="str">
        <f>"300552"</f>
        <v>300552</v>
      </c>
      <c r="C3130" t="s">
        <v>6598</v>
      </c>
      <c r="D3130" t="s">
        <v>1571</v>
      </c>
      <c r="E3130">
        <v>-44589998</v>
      </c>
      <c r="F3130">
        <v>77099681</v>
      </c>
      <c r="G3130">
        <v>-36918113</v>
      </c>
      <c r="H3130">
        <v>-149558527</v>
      </c>
      <c r="I3130">
        <v>-105481344</v>
      </c>
      <c r="J3130">
        <v>-90752769</v>
      </c>
      <c r="K3130">
        <v>-127191533</v>
      </c>
      <c r="P3130">
        <v>327</v>
      </c>
      <c r="Q3130" t="s">
        <v>6599</v>
      </c>
    </row>
    <row r="3131" spans="1:17" x14ac:dyDescent="0.3">
      <c r="A3131" t="s">
        <v>33</v>
      </c>
      <c r="B3131" t="str">
        <f>"300371"</f>
        <v>300371</v>
      </c>
      <c r="C3131" t="s">
        <v>6600</v>
      </c>
      <c r="D3131" t="s">
        <v>2417</v>
      </c>
      <c r="E3131">
        <v>-44610683</v>
      </c>
      <c r="F3131">
        <v>-28010628</v>
      </c>
      <c r="G3131">
        <v>-7421758</v>
      </c>
      <c r="H3131">
        <v>-6282726</v>
      </c>
      <c r="I3131">
        <v>-3503540</v>
      </c>
      <c r="J3131">
        <v>-18047248</v>
      </c>
      <c r="K3131">
        <v>-12224194</v>
      </c>
      <c r="L3131">
        <v>-7068662</v>
      </c>
      <c r="M3131">
        <v>-9280120</v>
      </c>
      <c r="N3131">
        <v>-12094600</v>
      </c>
      <c r="P3131">
        <v>288</v>
      </c>
      <c r="Q3131" t="s">
        <v>6601</v>
      </c>
    </row>
    <row r="3132" spans="1:17" x14ac:dyDescent="0.3">
      <c r="A3132" t="s">
        <v>33</v>
      </c>
      <c r="B3132" t="str">
        <f>"002227"</f>
        <v>002227</v>
      </c>
      <c r="C3132" t="s">
        <v>6602</v>
      </c>
      <c r="D3132" t="s">
        <v>2103</v>
      </c>
      <c r="E3132">
        <v>-44652144</v>
      </c>
      <c r="F3132">
        <v>-6681884</v>
      </c>
      <c r="G3132">
        <v>-13860093</v>
      </c>
      <c r="H3132">
        <v>15949671</v>
      </c>
      <c r="I3132">
        <v>-20695939</v>
      </c>
      <c r="J3132">
        <v>-17188271</v>
      </c>
      <c r="K3132">
        <v>-100314251</v>
      </c>
      <c r="L3132">
        <v>-19410798</v>
      </c>
      <c r="M3132">
        <v>-55764682</v>
      </c>
      <c r="N3132">
        <v>-15568295</v>
      </c>
      <c r="O3132">
        <v>-19290429</v>
      </c>
      <c r="P3132">
        <v>162</v>
      </c>
      <c r="Q3132" t="s">
        <v>6603</v>
      </c>
    </row>
    <row r="3133" spans="1:17" x14ac:dyDescent="0.3">
      <c r="A3133" t="s">
        <v>17</v>
      </c>
      <c r="B3133" t="str">
        <f>"603356"</f>
        <v>603356</v>
      </c>
      <c r="C3133" t="s">
        <v>6604</v>
      </c>
      <c r="D3133" t="s">
        <v>2528</v>
      </c>
      <c r="E3133">
        <v>-44691356</v>
      </c>
      <c r="F3133">
        <v>-1986928</v>
      </c>
      <c r="G3133">
        <v>-32192269</v>
      </c>
      <c r="H3133">
        <v>4000760</v>
      </c>
      <c r="I3133">
        <v>-14148682</v>
      </c>
      <c r="J3133">
        <v>17530304</v>
      </c>
      <c r="P3133">
        <v>65</v>
      </c>
      <c r="Q3133" t="s">
        <v>6605</v>
      </c>
    </row>
    <row r="3134" spans="1:17" x14ac:dyDescent="0.3">
      <c r="A3134" t="s">
        <v>33</v>
      </c>
      <c r="B3134" t="str">
        <f>"300651"</f>
        <v>300651</v>
      </c>
      <c r="C3134" t="s">
        <v>6606</v>
      </c>
      <c r="D3134" t="s">
        <v>1667</v>
      </c>
      <c r="E3134">
        <v>-44704092</v>
      </c>
      <c r="F3134">
        <v>7757339</v>
      </c>
      <c r="G3134">
        <v>-10500958</v>
      </c>
      <c r="H3134">
        <v>-2298656</v>
      </c>
      <c r="I3134">
        <v>-7246414</v>
      </c>
      <c r="J3134">
        <v>-27508357</v>
      </c>
      <c r="K3134">
        <v>-23898133</v>
      </c>
      <c r="P3134">
        <v>99</v>
      </c>
      <c r="Q3134" t="s">
        <v>6607</v>
      </c>
    </row>
    <row r="3135" spans="1:17" x14ac:dyDescent="0.3">
      <c r="A3135" t="s">
        <v>33</v>
      </c>
      <c r="B3135" t="str">
        <f>"300990"</f>
        <v>300990</v>
      </c>
      <c r="C3135" t="s">
        <v>6608</v>
      </c>
      <c r="D3135" t="s">
        <v>2883</v>
      </c>
      <c r="E3135">
        <v>-44744415</v>
      </c>
      <c r="F3135">
        <v>7050787</v>
      </c>
      <c r="G3135">
        <v>3363520</v>
      </c>
      <c r="P3135">
        <v>42</v>
      </c>
      <c r="Q3135" t="s">
        <v>6609</v>
      </c>
    </row>
    <row r="3136" spans="1:17" x14ac:dyDescent="0.3">
      <c r="A3136" t="s">
        <v>17</v>
      </c>
      <c r="B3136" t="str">
        <f>"603269"</f>
        <v>603269</v>
      </c>
      <c r="C3136" t="s">
        <v>6610</v>
      </c>
      <c r="D3136" t="s">
        <v>1033</v>
      </c>
      <c r="E3136">
        <v>-44786872</v>
      </c>
      <c r="F3136">
        <v>-55059950</v>
      </c>
      <c r="G3136">
        <v>-27412383</v>
      </c>
      <c r="H3136">
        <v>-51937040</v>
      </c>
      <c r="I3136">
        <v>-1719584</v>
      </c>
      <c r="J3136">
        <v>8108187</v>
      </c>
      <c r="K3136">
        <v>-36306160</v>
      </c>
      <c r="P3136">
        <v>63</v>
      </c>
      <c r="Q3136" t="s">
        <v>6611</v>
      </c>
    </row>
    <row r="3137" spans="1:17" x14ac:dyDescent="0.3">
      <c r="A3137" t="s">
        <v>33</v>
      </c>
      <c r="B3137" t="str">
        <f>"002800"</f>
        <v>002800</v>
      </c>
      <c r="C3137" t="s">
        <v>6612</v>
      </c>
      <c r="D3137" t="s">
        <v>556</v>
      </c>
      <c r="E3137">
        <v>-44823956</v>
      </c>
      <c r="F3137">
        <v>-52139089</v>
      </c>
      <c r="G3137">
        <v>-14964774</v>
      </c>
      <c r="H3137">
        <v>-57548393</v>
      </c>
      <c r="I3137">
        <v>6514768</v>
      </c>
      <c r="J3137">
        <v>-12919626</v>
      </c>
      <c r="K3137">
        <v>-44470846</v>
      </c>
      <c r="L3137">
        <v>-18346461</v>
      </c>
      <c r="P3137">
        <v>86</v>
      </c>
      <c r="Q3137" t="s">
        <v>6613</v>
      </c>
    </row>
    <row r="3138" spans="1:17" x14ac:dyDescent="0.3">
      <c r="A3138" t="s">
        <v>17</v>
      </c>
      <c r="B3138" t="str">
        <f>"603920"</f>
        <v>603920</v>
      </c>
      <c r="C3138" t="s">
        <v>6614</v>
      </c>
      <c r="D3138" t="s">
        <v>239</v>
      </c>
      <c r="E3138">
        <v>-44840766</v>
      </c>
      <c r="F3138">
        <v>110484782</v>
      </c>
      <c r="G3138">
        <v>94270952</v>
      </c>
      <c r="H3138">
        <v>82763730</v>
      </c>
      <c r="I3138">
        <v>85690694</v>
      </c>
      <c r="J3138">
        <v>65085991</v>
      </c>
      <c r="K3138">
        <v>54499940</v>
      </c>
      <c r="P3138">
        <v>267</v>
      </c>
      <c r="Q3138" t="s">
        <v>6615</v>
      </c>
    </row>
    <row r="3139" spans="1:17" x14ac:dyDescent="0.3">
      <c r="A3139" t="s">
        <v>17</v>
      </c>
      <c r="B3139" t="str">
        <f>"688010"</f>
        <v>688010</v>
      </c>
      <c r="C3139" t="s">
        <v>6616</v>
      </c>
      <c r="D3139" t="s">
        <v>2017</v>
      </c>
      <c r="E3139">
        <v>-44843530</v>
      </c>
      <c r="F3139">
        <v>-21634289</v>
      </c>
      <c r="G3139">
        <v>2830089</v>
      </c>
      <c r="H3139">
        <v>-19667111</v>
      </c>
      <c r="I3139">
        <v>11567273</v>
      </c>
      <c r="P3139">
        <v>125</v>
      </c>
      <c r="Q3139" t="s">
        <v>6617</v>
      </c>
    </row>
    <row r="3140" spans="1:17" x14ac:dyDescent="0.3">
      <c r="A3140" t="s">
        <v>17</v>
      </c>
      <c r="B3140" t="str">
        <f>"603578"</f>
        <v>603578</v>
      </c>
      <c r="C3140" t="s">
        <v>6618</v>
      </c>
      <c r="D3140" t="s">
        <v>1869</v>
      </c>
      <c r="E3140">
        <v>-44944693</v>
      </c>
      <c r="F3140">
        <v>34799812</v>
      </c>
      <c r="G3140">
        <v>-990582</v>
      </c>
      <c r="H3140">
        <v>61505206</v>
      </c>
      <c r="I3140">
        <v>-16262823</v>
      </c>
      <c r="J3140">
        <v>-19167960</v>
      </c>
      <c r="K3140">
        <v>14782433</v>
      </c>
      <c r="P3140">
        <v>131</v>
      </c>
      <c r="Q3140" t="s">
        <v>6619</v>
      </c>
    </row>
    <row r="3141" spans="1:17" x14ac:dyDescent="0.3">
      <c r="A3141" t="s">
        <v>33</v>
      </c>
      <c r="B3141" t="str">
        <f>"300066"</f>
        <v>300066</v>
      </c>
      <c r="C3141" t="s">
        <v>6620</v>
      </c>
      <c r="D3141" t="s">
        <v>2417</v>
      </c>
      <c r="E3141">
        <v>-45058377</v>
      </c>
      <c r="F3141">
        <v>-10674361</v>
      </c>
      <c r="G3141">
        <v>-18575364</v>
      </c>
      <c r="H3141">
        <v>-6564961</v>
      </c>
      <c r="I3141">
        <v>-15914933</v>
      </c>
      <c r="J3141">
        <v>-33865247</v>
      </c>
      <c r="K3141">
        <v>6428269</v>
      </c>
      <c r="L3141">
        <v>9736940</v>
      </c>
      <c r="M3141">
        <v>9377394</v>
      </c>
      <c r="N3141">
        <v>9403495</v>
      </c>
      <c r="O3141">
        <v>-21739666</v>
      </c>
      <c r="P3141">
        <v>190</v>
      </c>
      <c r="Q3141" t="s">
        <v>6621</v>
      </c>
    </row>
    <row r="3142" spans="1:17" x14ac:dyDescent="0.3">
      <c r="A3142" t="s">
        <v>17</v>
      </c>
      <c r="B3142" t="str">
        <f>"688002"</f>
        <v>688002</v>
      </c>
      <c r="C3142" t="s">
        <v>6622</v>
      </c>
      <c r="D3142" t="s">
        <v>617</v>
      </c>
      <c r="E3142">
        <v>-45098151</v>
      </c>
      <c r="F3142">
        <v>60999162</v>
      </c>
      <c r="G3142">
        <v>20601286</v>
      </c>
      <c r="H3142">
        <v>-31433625</v>
      </c>
      <c r="I3142">
        <v>13414929</v>
      </c>
      <c r="P3142">
        <v>407</v>
      </c>
      <c r="Q3142" t="s">
        <v>6623</v>
      </c>
    </row>
    <row r="3143" spans="1:17" x14ac:dyDescent="0.3">
      <c r="A3143" t="s">
        <v>33</v>
      </c>
      <c r="B3143" t="str">
        <f>"300146"</f>
        <v>300146</v>
      </c>
      <c r="C3143" t="s">
        <v>6624</v>
      </c>
      <c r="D3143" t="s">
        <v>1772</v>
      </c>
      <c r="E3143">
        <v>-45114075</v>
      </c>
      <c r="F3143">
        <v>52971907</v>
      </c>
      <c r="G3143">
        <v>46296600</v>
      </c>
      <c r="H3143">
        <v>7245233</v>
      </c>
      <c r="I3143">
        <v>121997320</v>
      </c>
      <c r="J3143">
        <v>125629256</v>
      </c>
      <c r="K3143">
        <v>116561834</v>
      </c>
      <c r="L3143">
        <v>138912764</v>
      </c>
      <c r="M3143">
        <v>127549296</v>
      </c>
      <c r="N3143">
        <v>46651648</v>
      </c>
      <c r="O3143">
        <v>13524676</v>
      </c>
      <c r="P3143">
        <v>2832</v>
      </c>
      <c r="Q3143" t="s">
        <v>6625</v>
      </c>
    </row>
    <row r="3144" spans="1:17" x14ac:dyDescent="0.3">
      <c r="A3144" t="s">
        <v>33</v>
      </c>
      <c r="B3144" t="str">
        <f>"300085"</f>
        <v>300085</v>
      </c>
      <c r="C3144" t="s">
        <v>6626</v>
      </c>
      <c r="D3144" t="s">
        <v>807</v>
      </c>
      <c r="E3144">
        <v>-45119726</v>
      </c>
      <c r="F3144">
        <v>-42717945</v>
      </c>
      <c r="G3144">
        <v>-32368601</v>
      </c>
      <c r="H3144">
        <v>-91367210</v>
      </c>
      <c r="I3144">
        <v>-75371793</v>
      </c>
      <c r="J3144">
        <v>-49869245</v>
      </c>
      <c r="K3144">
        <v>-83963885</v>
      </c>
      <c r="L3144">
        <v>-32875861</v>
      </c>
      <c r="M3144">
        <v>-14604589</v>
      </c>
      <c r="N3144">
        <v>-21104574</v>
      </c>
      <c r="O3144">
        <v>-28064397</v>
      </c>
      <c r="P3144">
        <v>255</v>
      </c>
      <c r="Q3144" t="s">
        <v>6627</v>
      </c>
    </row>
    <row r="3145" spans="1:17" x14ac:dyDescent="0.3">
      <c r="A3145" t="s">
        <v>17</v>
      </c>
      <c r="B3145" t="str">
        <f>"600476"</f>
        <v>600476</v>
      </c>
      <c r="C3145" t="s">
        <v>6628</v>
      </c>
      <c r="D3145" t="s">
        <v>508</v>
      </c>
      <c r="E3145">
        <v>-45144725</v>
      </c>
      <c r="F3145">
        <v>-69397145</v>
      </c>
      <c r="G3145">
        <v>-488448</v>
      </c>
      <c r="H3145">
        <v>-44282489</v>
      </c>
      <c r="I3145">
        <v>10664123</v>
      </c>
      <c r="J3145">
        <v>-30603104</v>
      </c>
      <c r="K3145">
        <v>-25583334</v>
      </c>
      <c r="L3145">
        <v>-44473044</v>
      </c>
      <c r="M3145">
        <v>-16332551</v>
      </c>
      <c r="N3145">
        <v>-12187390</v>
      </c>
      <c r="O3145">
        <v>-35419241</v>
      </c>
      <c r="P3145">
        <v>85</v>
      </c>
      <c r="Q3145" t="s">
        <v>6629</v>
      </c>
    </row>
    <row r="3146" spans="1:17" x14ac:dyDescent="0.3">
      <c r="A3146" t="s">
        <v>33</v>
      </c>
      <c r="B3146" t="str">
        <f>"300903"</f>
        <v>300903</v>
      </c>
      <c r="C3146" t="s">
        <v>6630</v>
      </c>
      <c r="D3146" t="s">
        <v>239</v>
      </c>
      <c r="E3146">
        <v>-45253729</v>
      </c>
      <c r="F3146">
        <v>36136669</v>
      </c>
      <c r="G3146">
        <v>3006490</v>
      </c>
      <c r="P3146">
        <v>61</v>
      </c>
      <c r="Q3146" t="s">
        <v>6631</v>
      </c>
    </row>
    <row r="3147" spans="1:17" x14ac:dyDescent="0.3">
      <c r="A3147" t="s">
        <v>33</v>
      </c>
      <c r="B3147" t="str">
        <f>"000573"</f>
        <v>000573</v>
      </c>
      <c r="C3147" t="s">
        <v>6632</v>
      </c>
      <c r="D3147" t="s">
        <v>167</v>
      </c>
      <c r="E3147">
        <v>-45358631</v>
      </c>
      <c r="F3147">
        <v>50958445</v>
      </c>
      <c r="G3147">
        <v>-56901119</v>
      </c>
      <c r="H3147">
        <v>-31962840</v>
      </c>
      <c r="I3147">
        <v>51722812</v>
      </c>
      <c r="J3147">
        <v>-34691624</v>
      </c>
      <c r="K3147">
        <v>130251970</v>
      </c>
      <c r="L3147">
        <v>-50914037</v>
      </c>
      <c r="M3147">
        <v>2464956</v>
      </c>
      <c r="N3147">
        <v>-58692266</v>
      </c>
      <c r="O3147">
        <v>9221914</v>
      </c>
      <c r="P3147">
        <v>130</v>
      </c>
      <c r="Q3147" t="s">
        <v>6633</v>
      </c>
    </row>
    <row r="3148" spans="1:17" x14ac:dyDescent="0.3">
      <c r="A3148" t="s">
        <v>33</v>
      </c>
      <c r="B3148" t="str">
        <f>"300897"</f>
        <v>300897</v>
      </c>
      <c r="C3148" t="s">
        <v>6634</v>
      </c>
      <c r="D3148" t="s">
        <v>2417</v>
      </c>
      <c r="E3148">
        <v>-45442033</v>
      </c>
      <c r="F3148">
        <v>-53611727</v>
      </c>
      <c r="G3148">
        <v>-50135329</v>
      </c>
      <c r="P3148">
        <v>50</v>
      </c>
      <c r="Q3148" t="s">
        <v>6635</v>
      </c>
    </row>
    <row r="3149" spans="1:17" x14ac:dyDescent="0.3">
      <c r="A3149" t="s">
        <v>17</v>
      </c>
      <c r="B3149" t="str">
        <f>"603629"</f>
        <v>603629</v>
      </c>
      <c r="C3149" t="s">
        <v>6636</v>
      </c>
      <c r="D3149" t="s">
        <v>226</v>
      </c>
      <c r="E3149">
        <v>-45523585</v>
      </c>
      <c r="F3149">
        <v>-46023337</v>
      </c>
      <c r="G3149">
        <v>-21198708</v>
      </c>
      <c r="H3149">
        <v>-68440874</v>
      </c>
      <c r="I3149">
        <v>-69027619</v>
      </c>
      <c r="P3149">
        <v>51</v>
      </c>
      <c r="Q3149" t="s">
        <v>6637</v>
      </c>
    </row>
    <row r="3150" spans="1:17" x14ac:dyDescent="0.3">
      <c r="A3150" t="s">
        <v>17</v>
      </c>
      <c r="B3150" t="str">
        <f>"600712"</f>
        <v>600712</v>
      </c>
      <c r="C3150" t="s">
        <v>6638</v>
      </c>
      <c r="D3150" t="s">
        <v>989</v>
      </c>
      <c r="E3150">
        <v>-45538519</v>
      </c>
      <c r="F3150">
        <v>-28993224</v>
      </c>
      <c r="G3150">
        <v>-65644249</v>
      </c>
      <c r="H3150">
        <v>-23071126</v>
      </c>
      <c r="I3150">
        <v>-17543940</v>
      </c>
      <c r="J3150">
        <v>-256648280</v>
      </c>
      <c r="K3150">
        <v>-85021792</v>
      </c>
      <c r="L3150">
        <v>-3506613</v>
      </c>
      <c r="M3150">
        <v>-298838000</v>
      </c>
      <c r="N3150">
        <v>-79687059</v>
      </c>
      <c r="O3150">
        <v>-86610935</v>
      </c>
      <c r="P3150">
        <v>87</v>
      </c>
      <c r="Q3150" t="s">
        <v>6639</v>
      </c>
    </row>
    <row r="3151" spans="1:17" x14ac:dyDescent="0.3">
      <c r="A3151" t="s">
        <v>17</v>
      </c>
      <c r="B3151" t="str">
        <f>"600543"</f>
        <v>600543</v>
      </c>
      <c r="C3151" t="s">
        <v>6640</v>
      </c>
      <c r="D3151" t="s">
        <v>1172</v>
      </c>
      <c r="E3151">
        <v>-45562109</v>
      </c>
      <c r="F3151">
        <v>1354452</v>
      </c>
      <c r="G3151">
        <v>-22845134</v>
      </c>
      <c r="H3151">
        <v>1133800</v>
      </c>
      <c r="I3151">
        <v>264939</v>
      </c>
      <c r="J3151">
        <v>30678471</v>
      </c>
      <c r="K3151">
        <v>11466636</v>
      </c>
      <c r="L3151">
        <v>656938</v>
      </c>
      <c r="M3151">
        <v>55145121</v>
      </c>
      <c r="N3151">
        <v>36271055</v>
      </c>
      <c r="O3151">
        <v>51214020</v>
      </c>
      <c r="P3151">
        <v>150</v>
      </c>
      <c r="Q3151" t="s">
        <v>6641</v>
      </c>
    </row>
    <row r="3152" spans="1:17" x14ac:dyDescent="0.3">
      <c r="A3152" t="s">
        <v>17</v>
      </c>
      <c r="B3152" t="str">
        <f>"601515"</f>
        <v>601515</v>
      </c>
      <c r="C3152" t="s">
        <v>6642</v>
      </c>
      <c r="D3152" t="s">
        <v>1015</v>
      </c>
      <c r="E3152">
        <v>-45579919</v>
      </c>
      <c r="F3152">
        <v>103958068</v>
      </c>
      <c r="G3152">
        <v>132797334</v>
      </c>
      <c r="H3152">
        <v>71909540</v>
      </c>
      <c r="I3152">
        <v>-100795837</v>
      </c>
      <c r="J3152">
        <v>306704118</v>
      </c>
      <c r="K3152">
        <v>-35148916</v>
      </c>
      <c r="L3152">
        <v>-35817252</v>
      </c>
      <c r="M3152">
        <v>51115482</v>
      </c>
      <c r="N3152">
        <v>62677997</v>
      </c>
      <c r="O3152">
        <v>169297507</v>
      </c>
      <c r="P3152">
        <v>28151</v>
      </c>
      <c r="Q3152" t="s">
        <v>6643</v>
      </c>
    </row>
    <row r="3153" spans="1:17" x14ac:dyDescent="0.3">
      <c r="A3153" t="s">
        <v>17</v>
      </c>
      <c r="B3153" t="str">
        <f>"600122"</f>
        <v>600122</v>
      </c>
      <c r="C3153" t="s">
        <v>6644</v>
      </c>
      <c r="D3153" t="s">
        <v>351</v>
      </c>
      <c r="E3153">
        <v>-45597576</v>
      </c>
      <c r="F3153">
        <v>-26132679</v>
      </c>
      <c r="G3153">
        <v>-28886026</v>
      </c>
      <c r="H3153">
        <v>-831173543</v>
      </c>
      <c r="I3153">
        <v>90250827</v>
      </c>
      <c r="J3153">
        <v>112817552</v>
      </c>
      <c r="K3153">
        <v>17921528</v>
      </c>
      <c r="L3153">
        <v>13980434</v>
      </c>
      <c r="M3153">
        <v>71931773</v>
      </c>
      <c r="N3153">
        <v>336674769</v>
      </c>
      <c r="O3153">
        <v>87245077</v>
      </c>
      <c r="P3153">
        <v>96</v>
      </c>
      <c r="Q3153" t="s">
        <v>6645</v>
      </c>
    </row>
    <row r="3154" spans="1:17" x14ac:dyDescent="0.3">
      <c r="A3154" t="s">
        <v>33</v>
      </c>
      <c r="B3154" t="str">
        <f>"300315"</f>
        <v>300315</v>
      </c>
      <c r="C3154" t="s">
        <v>6646</v>
      </c>
      <c r="D3154" t="s">
        <v>751</v>
      </c>
      <c r="E3154">
        <v>-45620561</v>
      </c>
      <c r="F3154">
        <v>-80536494</v>
      </c>
      <c r="G3154">
        <v>21090831</v>
      </c>
      <c r="H3154">
        <v>5025499</v>
      </c>
      <c r="I3154">
        <v>54942040</v>
      </c>
      <c r="J3154">
        <v>168413613</v>
      </c>
      <c r="K3154">
        <v>207024863</v>
      </c>
      <c r="L3154">
        <v>40332926</v>
      </c>
      <c r="M3154">
        <v>29325563</v>
      </c>
      <c r="N3154">
        <v>11602856</v>
      </c>
      <c r="O3154">
        <v>3524010</v>
      </c>
      <c r="P3154">
        <v>456</v>
      </c>
      <c r="Q3154" t="s">
        <v>6647</v>
      </c>
    </row>
    <row r="3155" spans="1:17" x14ac:dyDescent="0.3">
      <c r="A3155" t="s">
        <v>33</v>
      </c>
      <c r="B3155" t="str">
        <f>"002678"</f>
        <v>002678</v>
      </c>
      <c r="C3155" t="s">
        <v>6648</v>
      </c>
      <c r="D3155" t="s">
        <v>3234</v>
      </c>
      <c r="E3155">
        <v>-45632747</v>
      </c>
      <c r="F3155">
        <v>-49717010</v>
      </c>
      <c r="G3155">
        <v>-184118876</v>
      </c>
      <c r="H3155">
        <v>-116163840</v>
      </c>
      <c r="I3155">
        <v>-82496319</v>
      </c>
      <c r="J3155">
        <v>-48493875</v>
      </c>
      <c r="K3155">
        <v>-103949125</v>
      </c>
      <c r="L3155">
        <v>-91451369</v>
      </c>
      <c r="M3155">
        <v>-86703236</v>
      </c>
      <c r="N3155">
        <v>-72067699</v>
      </c>
      <c r="O3155">
        <v>461692</v>
      </c>
      <c r="P3155">
        <v>113</v>
      </c>
      <c r="Q3155" t="s">
        <v>6649</v>
      </c>
    </row>
    <row r="3156" spans="1:17" x14ac:dyDescent="0.3">
      <c r="A3156" t="s">
        <v>17</v>
      </c>
      <c r="B3156" t="str">
        <f>"600455"</f>
        <v>600455</v>
      </c>
      <c r="C3156" t="s">
        <v>6650</v>
      </c>
      <c r="D3156" t="s">
        <v>807</v>
      </c>
      <c r="E3156">
        <v>-45660439</v>
      </c>
      <c r="F3156">
        <v>-37996271</v>
      </c>
      <c r="G3156">
        <v>-28335869</v>
      </c>
      <c r="H3156">
        <v>-18067826</v>
      </c>
      <c r="I3156">
        <v>-26619636</v>
      </c>
      <c r="J3156">
        <v>-23551572</v>
      </c>
      <c r="K3156">
        <v>-27570368</v>
      </c>
      <c r="L3156">
        <v>-30864339</v>
      </c>
      <c r="M3156">
        <v>-29178413</v>
      </c>
      <c r="N3156">
        <v>-49458046</v>
      </c>
      <c r="O3156">
        <v>-30407757</v>
      </c>
      <c r="P3156">
        <v>103</v>
      </c>
      <c r="Q3156" t="s">
        <v>6651</v>
      </c>
    </row>
    <row r="3157" spans="1:17" x14ac:dyDescent="0.3">
      <c r="A3157" t="s">
        <v>33</v>
      </c>
      <c r="B3157" t="str">
        <f>"300593"</f>
        <v>300593</v>
      </c>
      <c r="C3157" t="s">
        <v>6652</v>
      </c>
      <c r="D3157" t="s">
        <v>2956</v>
      </c>
      <c r="E3157">
        <v>-45661590</v>
      </c>
      <c r="F3157">
        <v>-58237930</v>
      </c>
      <c r="G3157">
        <v>4014172</v>
      </c>
      <c r="H3157">
        <v>2563179</v>
      </c>
      <c r="I3157">
        <v>16470657</v>
      </c>
      <c r="J3157">
        <v>-8706404</v>
      </c>
      <c r="K3157">
        <v>1431761</v>
      </c>
      <c r="P3157">
        <v>254</v>
      </c>
      <c r="Q3157" t="s">
        <v>6653</v>
      </c>
    </row>
    <row r="3158" spans="1:17" x14ac:dyDescent="0.3">
      <c r="A3158" t="s">
        <v>33</v>
      </c>
      <c r="B3158" t="str">
        <f>"003018"</f>
        <v>003018</v>
      </c>
      <c r="C3158" t="s">
        <v>6654</v>
      </c>
      <c r="D3158" t="s">
        <v>1609</v>
      </c>
      <c r="E3158">
        <v>-45728586</v>
      </c>
      <c r="F3158">
        <v>-5753974</v>
      </c>
      <c r="G3158">
        <v>1828670</v>
      </c>
      <c r="P3158">
        <v>38</v>
      </c>
      <c r="Q3158" t="s">
        <v>6655</v>
      </c>
    </row>
    <row r="3159" spans="1:17" x14ac:dyDescent="0.3">
      <c r="A3159" t="s">
        <v>33</v>
      </c>
      <c r="B3159" t="str">
        <f>"300004"</f>
        <v>300004</v>
      </c>
      <c r="C3159" t="s">
        <v>6656</v>
      </c>
      <c r="D3159" t="s">
        <v>1895</v>
      </c>
      <c r="E3159">
        <v>-45793569</v>
      </c>
      <c r="F3159">
        <v>-34222851</v>
      </c>
      <c r="G3159">
        <v>-119822631</v>
      </c>
      <c r="H3159">
        <v>27884199</v>
      </c>
      <c r="I3159">
        <v>-5527776</v>
      </c>
      <c r="J3159">
        <v>-84165773</v>
      </c>
      <c r="K3159">
        <v>49493712</v>
      </c>
      <c r="L3159">
        <v>-42878673</v>
      </c>
      <c r="M3159">
        <v>-51799296</v>
      </c>
      <c r="N3159">
        <v>25164215</v>
      </c>
      <c r="O3159">
        <v>16672826</v>
      </c>
      <c r="P3159">
        <v>84</v>
      </c>
      <c r="Q3159" t="s">
        <v>6657</v>
      </c>
    </row>
    <row r="3160" spans="1:17" x14ac:dyDescent="0.3">
      <c r="A3160" t="s">
        <v>33</v>
      </c>
      <c r="B3160" t="str">
        <f>"300233"</f>
        <v>300233</v>
      </c>
      <c r="C3160" t="s">
        <v>6658</v>
      </c>
      <c r="D3160" t="s">
        <v>590</v>
      </c>
      <c r="E3160">
        <v>-45797444</v>
      </c>
      <c r="F3160">
        <v>7144592</v>
      </c>
      <c r="G3160">
        <v>82376321</v>
      </c>
      <c r="H3160">
        <v>85502209</v>
      </c>
      <c r="I3160">
        <v>29206104</v>
      </c>
      <c r="J3160">
        <v>19709803</v>
      </c>
      <c r="K3160">
        <v>72803941</v>
      </c>
      <c r="L3160">
        <v>52510506</v>
      </c>
      <c r="M3160">
        <v>46103953</v>
      </c>
      <c r="N3160">
        <v>3966024</v>
      </c>
      <c r="O3160">
        <v>9486918</v>
      </c>
      <c r="P3160">
        <v>202</v>
      </c>
      <c r="Q3160" t="s">
        <v>6659</v>
      </c>
    </row>
    <row r="3161" spans="1:17" x14ac:dyDescent="0.3">
      <c r="A3161" t="s">
        <v>17</v>
      </c>
      <c r="B3161" t="str">
        <f>"600365"</f>
        <v>600365</v>
      </c>
      <c r="C3161" t="s">
        <v>6660</v>
      </c>
      <c r="D3161" t="s">
        <v>1172</v>
      </c>
      <c r="E3161">
        <v>-45843185</v>
      </c>
      <c r="F3161">
        <v>-6296652</v>
      </c>
      <c r="G3161">
        <v>90905543</v>
      </c>
      <c r="H3161">
        <v>-321852493</v>
      </c>
      <c r="I3161">
        <v>-36127029</v>
      </c>
      <c r="J3161">
        <v>-46959988</v>
      </c>
      <c r="K3161">
        <v>-60039082</v>
      </c>
      <c r="L3161">
        <v>-13996083</v>
      </c>
      <c r="M3161">
        <v>-47690889</v>
      </c>
      <c r="N3161">
        <v>-13919097</v>
      </c>
      <c r="O3161">
        <v>-8111629</v>
      </c>
      <c r="P3161">
        <v>90</v>
      </c>
      <c r="Q3161" t="s">
        <v>6661</v>
      </c>
    </row>
    <row r="3162" spans="1:17" x14ac:dyDescent="0.3">
      <c r="A3162" t="s">
        <v>17</v>
      </c>
      <c r="B3162" t="str">
        <f>"688418"</f>
        <v>688418</v>
      </c>
      <c r="C3162" t="s">
        <v>6662</v>
      </c>
      <c r="D3162" t="s">
        <v>2475</v>
      </c>
      <c r="E3162">
        <v>-46011465</v>
      </c>
      <c r="F3162">
        <v>-83810602</v>
      </c>
      <c r="G3162">
        <v>-48902181</v>
      </c>
      <c r="H3162">
        <v>-25206063</v>
      </c>
      <c r="P3162">
        <v>40</v>
      </c>
      <c r="Q3162" t="s">
        <v>6663</v>
      </c>
    </row>
    <row r="3163" spans="1:17" x14ac:dyDescent="0.3">
      <c r="A3163" t="s">
        <v>33</v>
      </c>
      <c r="B3163" t="str">
        <f>"002019"</f>
        <v>002019</v>
      </c>
      <c r="C3163" t="s">
        <v>6664</v>
      </c>
      <c r="D3163" t="s">
        <v>590</v>
      </c>
      <c r="E3163">
        <v>-46018343</v>
      </c>
      <c r="F3163">
        <v>148929732</v>
      </c>
      <c r="G3163">
        <v>206403850</v>
      </c>
      <c r="H3163">
        <v>-46570212</v>
      </c>
      <c r="I3163">
        <v>392371148</v>
      </c>
      <c r="J3163">
        <v>100319968</v>
      </c>
      <c r="K3163">
        <v>1906430</v>
      </c>
      <c r="L3163">
        <v>62881179</v>
      </c>
      <c r="M3163">
        <v>16802011</v>
      </c>
      <c r="N3163">
        <v>9416994</v>
      </c>
      <c r="O3163">
        <v>-15914514</v>
      </c>
      <c r="P3163">
        <v>974</v>
      </c>
      <c r="Q3163" t="s">
        <v>6665</v>
      </c>
    </row>
    <row r="3164" spans="1:17" x14ac:dyDescent="0.3">
      <c r="A3164" t="s">
        <v>33</v>
      </c>
      <c r="B3164" t="str">
        <f>"300397"</f>
        <v>300397</v>
      </c>
      <c r="C3164" t="s">
        <v>6666</v>
      </c>
      <c r="D3164" t="s">
        <v>2262</v>
      </c>
      <c r="E3164">
        <v>-46080604</v>
      </c>
      <c r="F3164">
        <v>33410040</v>
      </c>
      <c r="G3164">
        <v>26063214</v>
      </c>
      <c r="H3164">
        <v>-11174770</v>
      </c>
      <c r="I3164">
        <v>-42330472</v>
      </c>
      <c r="J3164">
        <v>-23066677</v>
      </c>
      <c r="K3164">
        <v>-23650912</v>
      </c>
      <c r="L3164">
        <v>-24839733</v>
      </c>
      <c r="M3164">
        <v>18892417</v>
      </c>
      <c r="P3164">
        <v>232</v>
      </c>
      <c r="Q3164" t="s">
        <v>6667</v>
      </c>
    </row>
    <row r="3165" spans="1:17" x14ac:dyDescent="0.3">
      <c r="A3165" t="s">
        <v>33</v>
      </c>
      <c r="B3165" t="str">
        <f>"002921"</f>
        <v>002921</v>
      </c>
      <c r="C3165" t="s">
        <v>6668</v>
      </c>
      <c r="D3165" t="s">
        <v>1419</v>
      </c>
      <c r="E3165">
        <v>-46104992</v>
      </c>
      <c r="F3165">
        <v>35175812</v>
      </c>
      <c r="G3165">
        <v>12524247</v>
      </c>
      <c r="H3165">
        <v>4788199</v>
      </c>
      <c r="I3165">
        <v>-14126587</v>
      </c>
      <c r="J3165">
        <v>-6031299</v>
      </c>
      <c r="P3165">
        <v>95</v>
      </c>
      <c r="Q3165" t="s">
        <v>6669</v>
      </c>
    </row>
    <row r="3166" spans="1:17" x14ac:dyDescent="0.3">
      <c r="A3166" t="s">
        <v>33</v>
      </c>
      <c r="B3166" t="str">
        <f>"301043"</f>
        <v>301043</v>
      </c>
      <c r="C3166" t="s">
        <v>6670</v>
      </c>
      <c r="D3166" t="s">
        <v>1033</v>
      </c>
      <c r="E3166">
        <v>-46107526</v>
      </c>
      <c r="F3166">
        <v>-45301861</v>
      </c>
      <c r="G3166">
        <v>-39431096</v>
      </c>
      <c r="P3166">
        <v>18</v>
      </c>
      <c r="Q3166" t="s">
        <v>6671</v>
      </c>
    </row>
    <row r="3167" spans="1:17" x14ac:dyDescent="0.3">
      <c r="A3167" t="s">
        <v>33</v>
      </c>
      <c r="B3167" t="str">
        <f>"002414"</f>
        <v>002414</v>
      </c>
      <c r="C3167" t="s">
        <v>6672</v>
      </c>
      <c r="D3167" t="s">
        <v>617</v>
      </c>
      <c r="E3167">
        <v>-46118032</v>
      </c>
      <c r="F3167">
        <v>273183411</v>
      </c>
      <c r="G3167">
        <v>237707588</v>
      </c>
      <c r="H3167">
        <v>212229832</v>
      </c>
      <c r="I3167">
        <v>-93476703</v>
      </c>
      <c r="J3167">
        <v>-118927039</v>
      </c>
      <c r="K3167">
        <v>-120382326</v>
      </c>
      <c r="L3167">
        <v>-74335178</v>
      </c>
      <c r="M3167">
        <v>-136762232</v>
      </c>
      <c r="N3167">
        <v>-66351001</v>
      </c>
      <c r="O3167">
        <v>-54458277</v>
      </c>
      <c r="P3167">
        <v>789</v>
      </c>
      <c r="Q3167" t="s">
        <v>6673</v>
      </c>
    </row>
    <row r="3168" spans="1:17" x14ac:dyDescent="0.3">
      <c r="A3168" t="s">
        <v>17</v>
      </c>
      <c r="B3168" t="str">
        <f>"600303"</f>
        <v>600303</v>
      </c>
      <c r="C3168" t="s">
        <v>6674</v>
      </c>
      <c r="D3168" t="s">
        <v>1122</v>
      </c>
      <c r="E3168">
        <v>-46167572</v>
      </c>
      <c r="F3168">
        <v>-162017960</v>
      </c>
      <c r="G3168">
        <v>56626252</v>
      </c>
      <c r="H3168">
        <v>-155992966</v>
      </c>
      <c r="I3168">
        <v>76697242</v>
      </c>
      <c r="J3168">
        <v>71759334</v>
      </c>
      <c r="K3168">
        <v>-232619845</v>
      </c>
      <c r="L3168">
        <v>-155730683</v>
      </c>
      <c r="M3168">
        <v>-168725607</v>
      </c>
      <c r="N3168">
        <v>-246655773</v>
      </c>
      <c r="O3168">
        <v>-6443596</v>
      </c>
      <c r="P3168">
        <v>131</v>
      </c>
      <c r="Q3168" t="s">
        <v>6675</v>
      </c>
    </row>
    <row r="3169" spans="1:17" x14ac:dyDescent="0.3">
      <c r="A3169" t="s">
        <v>17</v>
      </c>
      <c r="B3169" t="str">
        <f>"603778"</f>
        <v>603778</v>
      </c>
      <c r="C3169" t="s">
        <v>6676</v>
      </c>
      <c r="D3169" t="s">
        <v>2330</v>
      </c>
      <c r="E3169">
        <v>-46287825</v>
      </c>
      <c r="F3169">
        <v>-71350799</v>
      </c>
      <c r="G3169">
        <v>-88595950</v>
      </c>
      <c r="H3169">
        <v>17994485</v>
      </c>
      <c r="I3169">
        <v>-96371979</v>
      </c>
      <c r="J3169">
        <v>-117606884</v>
      </c>
      <c r="K3169">
        <v>21487904</v>
      </c>
      <c r="L3169">
        <v>22158000</v>
      </c>
      <c r="M3169">
        <v>-120342900</v>
      </c>
      <c r="P3169">
        <v>72</v>
      </c>
      <c r="Q3169" t="s">
        <v>6677</v>
      </c>
    </row>
    <row r="3170" spans="1:17" x14ac:dyDescent="0.3">
      <c r="A3170" t="s">
        <v>33</v>
      </c>
      <c r="B3170" t="str">
        <f>"301178"</f>
        <v>301178</v>
      </c>
      <c r="C3170" t="s">
        <v>6678</v>
      </c>
      <c r="D3170" t="s">
        <v>508</v>
      </c>
      <c r="E3170">
        <v>-46429985</v>
      </c>
      <c r="P3170">
        <v>15</v>
      </c>
      <c r="Q3170" t="s">
        <v>6679</v>
      </c>
    </row>
    <row r="3171" spans="1:17" x14ac:dyDescent="0.3">
      <c r="A3171" t="s">
        <v>33</v>
      </c>
      <c r="B3171" t="str">
        <f>"300351"</f>
        <v>300351</v>
      </c>
      <c r="C3171" t="s">
        <v>6680</v>
      </c>
      <c r="D3171" t="s">
        <v>1703</v>
      </c>
      <c r="E3171">
        <v>-46507628</v>
      </c>
      <c r="F3171">
        <v>-68907050</v>
      </c>
      <c r="G3171">
        <v>5473117</v>
      </c>
      <c r="H3171">
        <v>-52742198</v>
      </c>
      <c r="I3171">
        <v>1384357</v>
      </c>
      <c r="J3171">
        <v>-35513509</v>
      </c>
      <c r="K3171">
        <v>13433026</v>
      </c>
      <c r="L3171">
        <v>-15673325</v>
      </c>
      <c r="M3171">
        <v>16301748</v>
      </c>
      <c r="N3171">
        <v>13060065</v>
      </c>
      <c r="O3171">
        <v>1226562</v>
      </c>
      <c r="P3171">
        <v>234</v>
      </c>
      <c r="Q3171" t="s">
        <v>6681</v>
      </c>
    </row>
    <row r="3172" spans="1:17" x14ac:dyDescent="0.3">
      <c r="A3172" t="s">
        <v>17</v>
      </c>
      <c r="B3172" t="str">
        <f>"688175"</f>
        <v>688175</v>
      </c>
      <c r="C3172" t="s">
        <v>6682</v>
      </c>
      <c r="E3172">
        <v>-46677495</v>
      </c>
      <c r="P3172">
        <v>3</v>
      </c>
      <c r="Q3172" t="s">
        <v>6683</v>
      </c>
    </row>
    <row r="3173" spans="1:17" x14ac:dyDescent="0.3">
      <c r="A3173" t="s">
        <v>33</v>
      </c>
      <c r="B3173" t="str">
        <f>"000890"</f>
        <v>000890</v>
      </c>
      <c r="C3173" t="s">
        <v>6684</v>
      </c>
      <c r="D3173" t="s">
        <v>164</v>
      </c>
      <c r="E3173">
        <v>-47146757</v>
      </c>
      <c r="F3173">
        <v>-124967350</v>
      </c>
      <c r="G3173">
        <v>714168744</v>
      </c>
      <c r="H3173">
        <v>-60785767</v>
      </c>
      <c r="I3173">
        <v>-5901514</v>
      </c>
      <c r="J3173">
        <v>-727940729</v>
      </c>
      <c r="K3173">
        <v>192886878</v>
      </c>
      <c r="L3173">
        <v>55006123</v>
      </c>
      <c r="M3173">
        <v>188683743</v>
      </c>
      <c r="N3173">
        <v>34816743</v>
      </c>
      <c r="O3173">
        <v>91628720</v>
      </c>
      <c r="P3173">
        <v>133</v>
      </c>
      <c r="Q3173" t="s">
        <v>6685</v>
      </c>
    </row>
    <row r="3174" spans="1:17" x14ac:dyDescent="0.3">
      <c r="A3174" t="s">
        <v>33</v>
      </c>
      <c r="B3174" t="str">
        <f>"000570"</f>
        <v>000570</v>
      </c>
      <c r="C3174" t="s">
        <v>6686</v>
      </c>
      <c r="D3174" t="s">
        <v>858</v>
      </c>
      <c r="E3174">
        <v>-47199474</v>
      </c>
      <c r="F3174">
        <v>-184484392</v>
      </c>
      <c r="G3174">
        <v>19241296</v>
      </c>
      <c r="H3174">
        <v>-63832631</v>
      </c>
      <c r="I3174">
        <v>-73259278</v>
      </c>
      <c r="J3174">
        <v>-52599068</v>
      </c>
      <c r="K3174">
        <v>-5947696</v>
      </c>
      <c r="L3174">
        <v>1795088</v>
      </c>
      <c r="M3174">
        <v>-44717639</v>
      </c>
      <c r="N3174">
        <v>71419144</v>
      </c>
      <c r="O3174">
        <v>77207351</v>
      </c>
      <c r="P3174">
        <v>81</v>
      </c>
      <c r="Q3174" t="s">
        <v>6687</v>
      </c>
    </row>
    <row r="3175" spans="1:17" x14ac:dyDescent="0.3">
      <c r="A3175" t="s">
        <v>17</v>
      </c>
      <c r="B3175" t="str">
        <f>"688682"</f>
        <v>688682</v>
      </c>
      <c r="C3175" t="s">
        <v>6688</v>
      </c>
      <c r="D3175" t="s">
        <v>617</v>
      </c>
      <c r="E3175">
        <v>-47309438</v>
      </c>
      <c r="F3175">
        <v>-32611038</v>
      </c>
      <c r="G3175">
        <v>-21518716</v>
      </c>
      <c r="P3175">
        <v>33</v>
      </c>
      <c r="Q3175" t="s">
        <v>6689</v>
      </c>
    </row>
    <row r="3176" spans="1:17" x14ac:dyDescent="0.3">
      <c r="A3176" t="s">
        <v>33</v>
      </c>
      <c r="B3176" t="str">
        <f>"300789"</f>
        <v>300789</v>
      </c>
      <c r="C3176" t="s">
        <v>6690</v>
      </c>
      <c r="D3176" t="s">
        <v>1571</v>
      </c>
      <c r="E3176">
        <v>-47400639</v>
      </c>
      <c r="F3176">
        <v>-24056401</v>
      </c>
      <c r="G3176">
        <v>13159720</v>
      </c>
      <c r="H3176">
        <v>-5067185</v>
      </c>
      <c r="P3176">
        <v>79</v>
      </c>
      <c r="Q3176" t="s">
        <v>6691</v>
      </c>
    </row>
    <row r="3177" spans="1:17" x14ac:dyDescent="0.3">
      <c r="A3177" t="s">
        <v>33</v>
      </c>
      <c r="B3177" t="str">
        <f>"300517"</f>
        <v>300517</v>
      </c>
      <c r="C3177" t="s">
        <v>6692</v>
      </c>
      <c r="D3177" t="s">
        <v>2307</v>
      </c>
      <c r="E3177">
        <v>-47426446</v>
      </c>
      <c r="F3177">
        <v>-45788906</v>
      </c>
      <c r="G3177">
        <v>32612295</v>
      </c>
      <c r="H3177">
        <v>67367035</v>
      </c>
      <c r="I3177">
        <v>5803129</v>
      </c>
      <c r="J3177">
        <v>-12425990</v>
      </c>
      <c r="K3177">
        <v>-32929801</v>
      </c>
      <c r="L3177">
        <v>20614862</v>
      </c>
      <c r="P3177">
        <v>76</v>
      </c>
      <c r="Q3177" t="s">
        <v>6693</v>
      </c>
    </row>
    <row r="3178" spans="1:17" x14ac:dyDescent="0.3">
      <c r="A3178" t="s">
        <v>17</v>
      </c>
      <c r="B3178" t="str">
        <f>"600261"</f>
        <v>600261</v>
      </c>
      <c r="C3178" t="s">
        <v>6694</v>
      </c>
      <c r="D3178" t="s">
        <v>1955</v>
      </c>
      <c r="E3178">
        <v>-47431272</v>
      </c>
      <c r="F3178">
        <v>-265285737</v>
      </c>
      <c r="G3178">
        <v>92868574</v>
      </c>
      <c r="H3178">
        <v>6563323</v>
      </c>
      <c r="I3178">
        <v>-39261211</v>
      </c>
      <c r="J3178">
        <v>-54828824</v>
      </c>
      <c r="K3178">
        <v>305232546</v>
      </c>
      <c r="L3178">
        <v>4429636</v>
      </c>
      <c r="M3178">
        <v>232251256</v>
      </c>
      <c r="N3178">
        <v>3580320</v>
      </c>
      <c r="O3178">
        <v>-8208204</v>
      </c>
      <c r="P3178">
        <v>440</v>
      </c>
      <c r="Q3178" t="s">
        <v>6695</v>
      </c>
    </row>
    <row r="3179" spans="1:17" x14ac:dyDescent="0.3">
      <c r="A3179" t="s">
        <v>17</v>
      </c>
      <c r="B3179" t="str">
        <f>"605081"</f>
        <v>605081</v>
      </c>
      <c r="C3179" t="s">
        <v>6696</v>
      </c>
      <c r="D3179" t="s">
        <v>932</v>
      </c>
      <c r="E3179">
        <v>-47563425</v>
      </c>
      <c r="F3179">
        <v>-87770043</v>
      </c>
      <c r="G3179">
        <v>-59978091</v>
      </c>
      <c r="P3179">
        <v>30</v>
      </c>
      <c r="Q3179" t="s">
        <v>6697</v>
      </c>
    </row>
    <row r="3180" spans="1:17" x14ac:dyDescent="0.3">
      <c r="A3180" t="s">
        <v>33</v>
      </c>
      <c r="B3180" t="str">
        <f>"000668"</f>
        <v>000668</v>
      </c>
      <c r="C3180" t="s">
        <v>6698</v>
      </c>
      <c r="D3180" t="s">
        <v>167</v>
      </c>
      <c r="E3180">
        <v>-47564818</v>
      </c>
      <c r="F3180">
        <v>6830913</v>
      </c>
      <c r="G3180">
        <v>-63093457</v>
      </c>
      <c r="H3180">
        <v>-98675065</v>
      </c>
      <c r="I3180">
        <v>-29305195</v>
      </c>
      <c r="J3180">
        <v>-16614882</v>
      </c>
      <c r="K3180">
        <v>167732149</v>
      </c>
      <c r="L3180">
        <v>-88458382</v>
      </c>
      <c r="M3180">
        <v>179983887</v>
      </c>
      <c r="N3180">
        <v>29586300</v>
      </c>
      <c r="O3180">
        <v>-142669477</v>
      </c>
      <c r="P3180">
        <v>96</v>
      </c>
      <c r="Q3180" t="s">
        <v>6699</v>
      </c>
    </row>
    <row r="3181" spans="1:17" x14ac:dyDescent="0.3">
      <c r="A3181" t="s">
        <v>33</v>
      </c>
      <c r="B3181" t="str">
        <f>"301148"</f>
        <v>301148</v>
      </c>
      <c r="C3181" t="s">
        <v>6700</v>
      </c>
      <c r="E3181">
        <v>-47626082</v>
      </c>
      <c r="G3181">
        <v>-17177285</v>
      </c>
      <c r="P3181">
        <v>1</v>
      </c>
      <c r="Q3181" t="s">
        <v>6701</v>
      </c>
    </row>
    <row r="3182" spans="1:17" x14ac:dyDescent="0.3">
      <c r="A3182" t="s">
        <v>17</v>
      </c>
      <c r="B3182" t="str">
        <f>"600217"</f>
        <v>600217</v>
      </c>
      <c r="C3182" t="s">
        <v>6702</v>
      </c>
      <c r="D3182" t="s">
        <v>897</v>
      </c>
      <c r="E3182">
        <v>-47852939</v>
      </c>
      <c r="F3182">
        <v>124922512</v>
      </c>
      <c r="G3182">
        <v>71416733</v>
      </c>
      <c r="H3182">
        <v>-98173474</v>
      </c>
      <c r="I3182">
        <v>500829979</v>
      </c>
      <c r="J3182">
        <v>-251133453</v>
      </c>
      <c r="K3182">
        <v>-171188000</v>
      </c>
      <c r="L3182">
        <v>4160321</v>
      </c>
      <c r="M3182">
        <v>39621146</v>
      </c>
      <c r="N3182">
        <v>3064471</v>
      </c>
      <c r="O3182">
        <v>-51713084</v>
      </c>
      <c r="P3182">
        <v>439</v>
      </c>
      <c r="Q3182" t="s">
        <v>6703</v>
      </c>
    </row>
    <row r="3183" spans="1:17" x14ac:dyDescent="0.3">
      <c r="A3183" t="s">
        <v>17</v>
      </c>
      <c r="B3183" t="str">
        <f>"603321"</f>
        <v>603321</v>
      </c>
      <c r="C3183" t="s">
        <v>6704</v>
      </c>
      <c r="D3183" t="s">
        <v>2528</v>
      </c>
      <c r="E3183">
        <v>-47872506</v>
      </c>
      <c r="F3183">
        <v>-30017667</v>
      </c>
      <c r="G3183">
        <v>-86997358</v>
      </c>
      <c r="H3183">
        <v>-41163840</v>
      </c>
      <c r="I3183">
        <v>2443490</v>
      </c>
      <c r="J3183">
        <v>-16069805</v>
      </c>
      <c r="P3183">
        <v>59</v>
      </c>
      <c r="Q3183" t="s">
        <v>6705</v>
      </c>
    </row>
    <row r="3184" spans="1:17" x14ac:dyDescent="0.3">
      <c r="A3184" t="s">
        <v>33</v>
      </c>
      <c r="B3184" t="str">
        <f>"300843"</f>
        <v>300843</v>
      </c>
      <c r="C3184" t="s">
        <v>6706</v>
      </c>
      <c r="D3184" t="s">
        <v>226</v>
      </c>
      <c r="E3184">
        <v>-47947332</v>
      </c>
      <c r="F3184">
        <v>-16551270</v>
      </c>
      <c r="G3184">
        <v>-10367527</v>
      </c>
      <c r="H3184">
        <v>-52888847</v>
      </c>
      <c r="P3184">
        <v>80</v>
      </c>
      <c r="Q3184" t="s">
        <v>6707</v>
      </c>
    </row>
    <row r="3185" spans="1:17" x14ac:dyDescent="0.3">
      <c r="A3185" t="s">
        <v>33</v>
      </c>
      <c r="B3185" t="str">
        <f>"301016"</f>
        <v>301016</v>
      </c>
      <c r="C3185" t="s">
        <v>6708</v>
      </c>
      <c r="D3185" t="s">
        <v>1703</v>
      </c>
      <c r="E3185">
        <v>-48015749</v>
      </c>
      <c r="F3185">
        <v>-46332752</v>
      </c>
      <c r="G3185">
        <v>-11052804</v>
      </c>
      <c r="P3185">
        <v>35</v>
      </c>
      <c r="Q3185" t="s">
        <v>6709</v>
      </c>
    </row>
    <row r="3186" spans="1:17" x14ac:dyDescent="0.3">
      <c r="A3186" t="s">
        <v>17</v>
      </c>
      <c r="B3186" t="str">
        <f>"600807"</f>
        <v>600807</v>
      </c>
      <c r="C3186" t="s">
        <v>6710</v>
      </c>
      <c r="D3186" t="s">
        <v>167</v>
      </c>
      <c r="E3186">
        <v>-48062892</v>
      </c>
      <c r="F3186">
        <v>-113292145</v>
      </c>
      <c r="G3186">
        <v>242262585</v>
      </c>
      <c r="H3186">
        <v>588551628</v>
      </c>
      <c r="I3186">
        <v>37308869</v>
      </c>
      <c r="J3186">
        <v>-291402653</v>
      </c>
      <c r="K3186">
        <v>-178070711</v>
      </c>
      <c r="L3186">
        <v>-12184542</v>
      </c>
      <c r="M3186">
        <v>-40211630</v>
      </c>
      <c r="N3186">
        <v>-20860628</v>
      </c>
      <c r="O3186">
        <v>-57550918</v>
      </c>
      <c r="P3186">
        <v>111</v>
      </c>
      <c r="Q3186" t="s">
        <v>6711</v>
      </c>
    </row>
    <row r="3187" spans="1:17" x14ac:dyDescent="0.3">
      <c r="A3187" t="s">
        <v>17</v>
      </c>
      <c r="B3187" t="str">
        <f>"600220"</f>
        <v>600220</v>
      </c>
      <c r="C3187" t="s">
        <v>6712</v>
      </c>
      <c r="D3187" t="s">
        <v>1292</v>
      </c>
      <c r="E3187">
        <v>-48095135</v>
      </c>
      <c r="F3187">
        <v>90388117</v>
      </c>
      <c r="G3187">
        <v>41504284</v>
      </c>
      <c r="H3187">
        <v>-88125825</v>
      </c>
      <c r="I3187">
        <v>-193573228</v>
      </c>
      <c r="J3187">
        <v>-109379363</v>
      </c>
      <c r="K3187">
        <v>-33081231</v>
      </c>
      <c r="L3187">
        <v>170649296</v>
      </c>
      <c r="M3187">
        <v>66560236</v>
      </c>
      <c r="N3187">
        <v>24122745</v>
      </c>
      <c r="O3187">
        <v>232657003</v>
      </c>
      <c r="P3187">
        <v>118</v>
      </c>
      <c r="Q3187" t="s">
        <v>6713</v>
      </c>
    </row>
    <row r="3188" spans="1:17" x14ac:dyDescent="0.3">
      <c r="A3188" t="s">
        <v>17</v>
      </c>
      <c r="B3188" t="str">
        <f>"600676"</f>
        <v>600676</v>
      </c>
      <c r="C3188" t="s">
        <v>6714</v>
      </c>
      <c r="D3188" t="s">
        <v>523</v>
      </c>
      <c r="E3188">
        <v>-48278655</v>
      </c>
      <c r="F3188">
        <v>62093187</v>
      </c>
      <c r="G3188">
        <v>72671401</v>
      </c>
      <c r="H3188">
        <v>167170893</v>
      </c>
      <c r="I3188">
        <v>208999528</v>
      </c>
      <c r="J3188">
        <v>57321220</v>
      </c>
      <c r="K3188">
        <v>151586924</v>
      </c>
      <c r="L3188">
        <v>127777705</v>
      </c>
      <c r="M3188">
        <v>76172292</v>
      </c>
      <c r="N3188">
        <v>77801590</v>
      </c>
      <c r="O3188">
        <v>88562729</v>
      </c>
      <c r="P3188">
        <v>88</v>
      </c>
      <c r="Q3188" t="s">
        <v>6715</v>
      </c>
    </row>
    <row r="3189" spans="1:17" x14ac:dyDescent="0.3">
      <c r="A3189" t="s">
        <v>17</v>
      </c>
      <c r="B3189" t="str">
        <f>"688070"</f>
        <v>688070</v>
      </c>
      <c r="C3189" t="s">
        <v>6716</v>
      </c>
      <c r="D3189" t="s">
        <v>2262</v>
      </c>
      <c r="E3189">
        <v>-48297973</v>
      </c>
      <c r="F3189">
        <v>-66428068</v>
      </c>
      <c r="G3189">
        <v>-42078700</v>
      </c>
      <c r="H3189">
        <v>-11018500</v>
      </c>
      <c r="P3189">
        <v>43</v>
      </c>
      <c r="Q3189" t="s">
        <v>6717</v>
      </c>
    </row>
    <row r="3190" spans="1:17" x14ac:dyDescent="0.3">
      <c r="A3190" t="s">
        <v>33</v>
      </c>
      <c r="B3190" t="str">
        <f>"000551"</f>
        <v>000551</v>
      </c>
      <c r="C3190" t="s">
        <v>6718</v>
      </c>
      <c r="D3190" t="s">
        <v>1763</v>
      </c>
      <c r="E3190">
        <v>-48317270</v>
      </c>
      <c r="F3190">
        <v>8759547</v>
      </c>
      <c r="G3190">
        <v>-20700565</v>
      </c>
      <c r="H3190">
        <v>16778336</v>
      </c>
      <c r="I3190">
        <v>38028664</v>
      </c>
      <c r="J3190">
        <v>-52565423</v>
      </c>
      <c r="K3190">
        <v>22868195</v>
      </c>
      <c r="L3190">
        <v>-61666275</v>
      </c>
      <c r="M3190">
        <v>-39687169</v>
      </c>
      <c r="N3190">
        <v>5546615</v>
      </c>
      <c r="O3190">
        <v>-48101948</v>
      </c>
      <c r="P3190">
        <v>122</v>
      </c>
      <c r="Q3190" t="s">
        <v>6719</v>
      </c>
    </row>
    <row r="3191" spans="1:17" x14ac:dyDescent="0.3">
      <c r="A3191" t="s">
        <v>17</v>
      </c>
      <c r="B3191" t="str">
        <f>"688211"</f>
        <v>688211</v>
      </c>
      <c r="C3191" t="s">
        <v>6720</v>
      </c>
      <c r="D3191" t="s">
        <v>1895</v>
      </c>
      <c r="E3191">
        <v>-48461633</v>
      </c>
      <c r="F3191">
        <v>-117630050</v>
      </c>
      <c r="P3191">
        <v>27</v>
      </c>
      <c r="Q3191" t="s">
        <v>6721</v>
      </c>
    </row>
    <row r="3192" spans="1:17" x14ac:dyDescent="0.3">
      <c r="A3192" t="s">
        <v>33</v>
      </c>
      <c r="B3192" t="str">
        <f>"300430"</f>
        <v>300430</v>
      </c>
      <c r="C3192" t="s">
        <v>6722</v>
      </c>
      <c r="D3192" t="s">
        <v>1033</v>
      </c>
      <c r="E3192">
        <v>-48540611</v>
      </c>
      <c r="F3192">
        <v>-70571036</v>
      </c>
      <c r="G3192">
        <v>-68523709</v>
      </c>
      <c r="H3192">
        <v>-22152310</v>
      </c>
      <c r="I3192">
        <v>-25574530</v>
      </c>
      <c r="J3192">
        <v>-31802373</v>
      </c>
      <c r="K3192">
        <v>-36507843</v>
      </c>
      <c r="L3192">
        <v>-45448396</v>
      </c>
      <c r="M3192">
        <v>-47136864</v>
      </c>
      <c r="P3192">
        <v>95</v>
      </c>
      <c r="Q3192" t="s">
        <v>6723</v>
      </c>
    </row>
    <row r="3193" spans="1:17" x14ac:dyDescent="0.3">
      <c r="A3193" t="s">
        <v>33</v>
      </c>
      <c r="B3193" t="str">
        <f>"300693"</f>
        <v>300693</v>
      </c>
      <c r="C3193" t="s">
        <v>6724</v>
      </c>
      <c r="D3193" t="s">
        <v>2956</v>
      </c>
      <c r="E3193">
        <v>-48546301</v>
      </c>
      <c r="F3193">
        <v>-21730274</v>
      </c>
      <c r="G3193">
        <v>-27968872</v>
      </c>
      <c r="H3193">
        <v>-10579784</v>
      </c>
      <c r="I3193">
        <v>-17152488</v>
      </c>
      <c r="J3193">
        <v>-4432364</v>
      </c>
      <c r="K3193">
        <v>-46182405</v>
      </c>
      <c r="P3193">
        <v>214</v>
      </c>
      <c r="Q3193" t="s">
        <v>6725</v>
      </c>
    </row>
    <row r="3194" spans="1:17" x14ac:dyDescent="0.3">
      <c r="A3194" t="s">
        <v>33</v>
      </c>
      <c r="B3194" t="str">
        <f>"000695"</f>
        <v>000695</v>
      </c>
      <c r="C3194" t="s">
        <v>6726</v>
      </c>
      <c r="D3194" t="s">
        <v>3492</v>
      </c>
      <c r="E3194">
        <v>-48579434</v>
      </c>
      <c r="F3194">
        <v>-21401986</v>
      </c>
      <c r="G3194">
        <v>-37539887</v>
      </c>
      <c r="H3194">
        <v>11488452</v>
      </c>
      <c r="I3194">
        <v>-6600535</v>
      </c>
      <c r="J3194">
        <v>-40630995</v>
      </c>
      <c r="K3194">
        <v>27136498</v>
      </c>
      <c r="L3194">
        <v>11302423</v>
      </c>
      <c r="M3194">
        <v>25221794</v>
      </c>
      <c r="N3194">
        <v>31493868</v>
      </c>
      <c r="O3194">
        <v>-25399201</v>
      </c>
      <c r="P3194">
        <v>82</v>
      </c>
      <c r="Q3194" t="s">
        <v>6727</v>
      </c>
    </row>
    <row r="3195" spans="1:17" x14ac:dyDescent="0.3">
      <c r="A3195" t="s">
        <v>33</v>
      </c>
      <c r="B3195" t="str">
        <f>"300152"</f>
        <v>300152</v>
      </c>
      <c r="C3195" t="s">
        <v>6728</v>
      </c>
      <c r="D3195" t="s">
        <v>2171</v>
      </c>
      <c r="E3195">
        <v>-48610325</v>
      </c>
      <c r="F3195">
        <v>4005802</v>
      </c>
      <c r="G3195">
        <v>18813695</v>
      </c>
      <c r="H3195">
        <v>-8293235</v>
      </c>
      <c r="I3195">
        <v>-27158968</v>
      </c>
      <c r="J3195">
        <v>-109675303</v>
      </c>
      <c r="K3195">
        <v>5327556</v>
      </c>
      <c r="L3195">
        <v>-77230558</v>
      </c>
      <c r="M3195">
        <v>-42069810</v>
      </c>
      <c r="N3195">
        <v>-80276494</v>
      </c>
      <c r="O3195">
        <v>-8789530</v>
      </c>
      <c r="P3195">
        <v>92</v>
      </c>
      <c r="Q3195" t="s">
        <v>6729</v>
      </c>
    </row>
    <row r="3196" spans="1:17" x14ac:dyDescent="0.3">
      <c r="A3196" t="s">
        <v>17</v>
      </c>
      <c r="B3196" t="str">
        <f>"600833"</f>
        <v>600833</v>
      </c>
      <c r="C3196" t="s">
        <v>6730</v>
      </c>
      <c r="D3196" t="s">
        <v>710</v>
      </c>
      <c r="E3196">
        <v>-48661495</v>
      </c>
      <c r="F3196">
        <v>16462872</v>
      </c>
      <c r="G3196">
        <v>-41922771</v>
      </c>
      <c r="H3196">
        <v>46615747</v>
      </c>
      <c r="I3196">
        <v>55578267</v>
      </c>
      <c r="J3196">
        <v>22346772</v>
      </c>
      <c r="K3196">
        <v>20649119</v>
      </c>
      <c r="L3196">
        <v>50605287</v>
      </c>
      <c r="M3196">
        <v>31252383</v>
      </c>
      <c r="N3196">
        <v>20117423</v>
      </c>
      <c r="O3196">
        <v>29553948</v>
      </c>
      <c r="P3196">
        <v>108</v>
      </c>
      <c r="Q3196" t="s">
        <v>6731</v>
      </c>
    </row>
    <row r="3197" spans="1:17" x14ac:dyDescent="0.3">
      <c r="A3197" t="s">
        <v>33</v>
      </c>
      <c r="B3197" t="str">
        <f>"300321"</f>
        <v>300321</v>
      </c>
      <c r="C3197" t="s">
        <v>6732</v>
      </c>
      <c r="D3197" t="s">
        <v>195</v>
      </c>
      <c r="E3197">
        <v>-48692958</v>
      </c>
      <c r="F3197">
        <v>-10331972</v>
      </c>
      <c r="G3197">
        <v>-15171343</v>
      </c>
      <c r="H3197">
        <v>-15777931</v>
      </c>
      <c r="I3197">
        <v>-13628448</v>
      </c>
      <c r="J3197">
        <v>-5417262</v>
      </c>
      <c r="K3197">
        <v>-26021789</v>
      </c>
      <c r="L3197">
        <v>2179273</v>
      </c>
      <c r="M3197">
        <v>13381367</v>
      </c>
      <c r="N3197">
        <v>18097967</v>
      </c>
      <c r="O3197">
        <v>-45373902</v>
      </c>
      <c r="P3197">
        <v>45</v>
      </c>
      <c r="Q3197" t="s">
        <v>6733</v>
      </c>
    </row>
    <row r="3198" spans="1:17" x14ac:dyDescent="0.3">
      <c r="A3198" t="s">
        <v>17</v>
      </c>
      <c r="B3198" t="str">
        <f>"605123"</f>
        <v>605123</v>
      </c>
      <c r="C3198" t="s">
        <v>6734</v>
      </c>
      <c r="D3198" t="s">
        <v>2262</v>
      </c>
      <c r="E3198">
        <v>-48750865</v>
      </c>
      <c r="F3198">
        <v>-29804245</v>
      </c>
      <c r="G3198">
        <v>-11020669</v>
      </c>
      <c r="P3198">
        <v>143</v>
      </c>
      <c r="Q3198" t="s">
        <v>6735</v>
      </c>
    </row>
    <row r="3199" spans="1:17" x14ac:dyDescent="0.3">
      <c r="A3199" t="s">
        <v>33</v>
      </c>
      <c r="B3199" t="str">
        <f>"300848"</f>
        <v>300848</v>
      </c>
      <c r="C3199" t="s">
        <v>6736</v>
      </c>
      <c r="D3199" t="s">
        <v>195</v>
      </c>
      <c r="E3199">
        <v>-48891629</v>
      </c>
      <c r="F3199">
        <v>32648629</v>
      </c>
      <c r="G3199">
        <v>-54216754</v>
      </c>
      <c r="H3199">
        <v>-50610023</v>
      </c>
      <c r="P3199">
        <v>125</v>
      </c>
      <c r="Q3199" t="s">
        <v>6737</v>
      </c>
    </row>
    <row r="3200" spans="1:17" x14ac:dyDescent="0.3">
      <c r="A3200" t="s">
        <v>33</v>
      </c>
      <c r="B3200" t="str">
        <f>"300497"</f>
        <v>300497</v>
      </c>
      <c r="C3200" t="s">
        <v>6738</v>
      </c>
      <c r="D3200" t="s">
        <v>941</v>
      </c>
      <c r="E3200">
        <v>-48959708</v>
      </c>
      <c r="F3200">
        <v>36055299</v>
      </c>
      <c r="G3200">
        <v>83325288</v>
      </c>
      <c r="H3200">
        <v>10226624</v>
      </c>
      <c r="I3200">
        <v>15429046</v>
      </c>
      <c r="J3200">
        <v>40613476</v>
      </c>
      <c r="K3200">
        <v>37015102</v>
      </c>
      <c r="L3200">
        <v>8910173</v>
      </c>
      <c r="M3200">
        <v>-4039072</v>
      </c>
      <c r="P3200">
        <v>4722</v>
      </c>
      <c r="Q3200" t="s">
        <v>6739</v>
      </c>
    </row>
    <row r="3201" spans="1:17" x14ac:dyDescent="0.3">
      <c r="A3201" t="s">
        <v>17</v>
      </c>
      <c r="B3201" t="str">
        <f>"600636"</f>
        <v>600636</v>
      </c>
      <c r="C3201" t="s">
        <v>6740</v>
      </c>
      <c r="D3201" t="s">
        <v>5834</v>
      </c>
      <c r="E3201">
        <v>-49067459</v>
      </c>
      <c r="F3201">
        <v>-67249360</v>
      </c>
      <c r="G3201">
        <v>-51264429</v>
      </c>
      <c r="H3201">
        <v>-31866641</v>
      </c>
      <c r="I3201">
        <v>-277860758</v>
      </c>
      <c r="J3201">
        <v>82577559</v>
      </c>
      <c r="K3201">
        <v>205213406</v>
      </c>
      <c r="L3201">
        <v>35133155</v>
      </c>
      <c r="M3201">
        <v>65938267</v>
      </c>
      <c r="N3201">
        <v>315417964</v>
      </c>
      <c r="O3201">
        <v>58473914</v>
      </c>
      <c r="P3201">
        <v>136</v>
      </c>
      <c r="Q3201" t="s">
        <v>6741</v>
      </c>
    </row>
    <row r="3202" spans="1:17" x14ac:dyDescent="0.3">
      <c r="A3202" t="s">
        <v>33</v>
      </c>
      <c r="B3202" t="str">
        <f>"002473"</f>
        <v>002473</v>
      </c>
      <c r="C3202" t="s">
        <v>6742</v>
      </c>
      <c r="D3202" t="s">
        <v>849</v>
      </c>
      <c r="E3202">
        <v>-49155100</v>
      </c>
      <c r="F3202">
        <v>-9244955</v>
      </c>
      <c r="G3202">
        <v>-44219259</v>
      </c>
      <c r="H3202">
        <v>-10344074</v>
      </c>
      <c r="I3202">
        <v>-8355994</v>
      </c>
      <c r="J3202">
        <v>-18985249</v>
      </c>
      <c r="K3202">
        <v>952591</v>
      </c>
      <c r="L3202">
        <v>-3939293</v>
      </c>
      <c r="M3202">
        <v>-7765349</v>
      </c>
      <c r="N3202">
        <v>-2633890</v>
      </c>
      <c r="O3202">
        <v>6247432</v>
      </c>
      <c r="P3202">
        <v>61</v>
      </c>
      <c r="Q3202" t="s">
        <v>6743</v>
      </c>
    </row>
    <row r="3203" spans="1:17" x14ac:dyDescent="0.3">
      <c r="A3203" t="s">
        <v>33</v>
      </c>
      <c r="B3203" t="str">
        <f>"002722"</f>
        <v>002722</v>
      </c>
      <c r="C3203" t="s">
        <v>6744</v>
      </c>
      <c r="D3203" t="s">
        <v>1292</v>
      </c>
      <c r="E3203">
        <v>-49343099</v>
      </c>
      <c r="F3203">
        <v>-27391697</v>
      </c>
      <c r="G3203">
        <v>53248963</v>
      </c>
      <c r="H3203">
        <v>-87141689</v>
      </c>
      <c r="I3203">
        <v>-71260830</v>
      </c>
      <c r="J3203">
        <v>-34111936</v>
      </c>
      <c r="K3203">
        <v>-2325275</v>
      </c>
      <c r="L3203">
        <v>-2963860</v>
      </c>
      <c r="M3203">
        <v>-10982971</v>
      </c>
      <c r="N3203">
        <v>-18246460</v>
      </c>
      <c r="P3203">
        <v>102</v>
      </c>
      <c r="Q3203" t="s">
        <v>6745</v>
      </c>
    </row>
    <row r="3204" spans="1:17" x14ac:dyDescent="0.3">
      <c r="A3204" t="s">
        <v>33</v>
      </c>
      <c r="B3204" t="str">
        <f>"000978"</f>
        <v>000978</v>
      </c>
      <c r="C3204" t="s">
        <v>6746</v>
      </c>
      <c r="D3204" t="s">
        <v>5307</v>
      </c>
      <c r="E3204">
        <v>-49440591</v>
      </c>
      <c r="F3204">
        <v>-43324741</v>
      </c>
      <c r="G3204">
        <v>-42734501</v>
      </c>
      <c r="H3204">
        <v>-47960445</v>
      </c>
      <c r="I3204">
        <v>-15229738</v>
      </c>
      <c r="J3204">
        <v>-24504824</v>
      </c>
      <c r="K3204">
        <v>-23610360</v>
      </c>
      <c r="L3204">
        <v>-28552173</v>
      </c>
      <c r="M3204">
        <v>-111534311</v>
      </c>
      <c r="N3204">
        <v>-32013326</v>
      </c>
      <c r="O3204">
        <v>-30967288</v>
      </c>
      <c r="P3204">
        <v>140</v>
      </c>
      <c r="Q3204" t="s">
        <v>6747</v>
      </c>
    </row>
    <row r="3205" spans="1:17" x14ac:dyDescent="0.3">
      <c r="A3205" t="s">
        <v>17</v>
      </c>
      <c r="B3205" t="str">
        <f>"600083"</f>
        <v>600083</v>
      </c>
      <c r="C3205" t="s">
        <v>6748</v>
      </c>
      <c r="D3205" t="s">
        <v>523</v>
      </c>
      <c r="E3205">
        <v>-49662453</v>
      </c>
      <c r="F3205">
        <v>17335851</v>
      </c>
      <c r="G3205">
        <v>1471858</v>
      </c>
      <c r="H3205">
        <v>17189517</v>
      </c>
      <c r="I3205">
        <v>-261498</v>
      </c>
      <c r="J3205">
        <v>-12712434</v>
      </c>
      <c r="K3205">
        <v>916407</v>
      </c>
      <c r="L3205">
        <v>-82870522</v>
      </c>
      <c r="M3205">
        <v>-12684974</v>
      </c>
      <c r="N3205">
        <v>-2602626</v>
      </c>
      <c r="O3205">
        <v>-1115319</v>
      </c>
      <c r="P3205">
        <v>83</v>
      </c>
      <c r="Q3205" t="s">
        <v>6749</v>
      </c>
    </row>
    <row r="3206" spans="1:17" x14ac:dyDescent="0.3">
      <c r="A3206" t="s">
        <v>33</v>
      </c>
      <c r="B3206" t="str">
        <f>"002741"</f>
        <v>002741</v>
      </c>
      <c r="C3206" t="s">
        <v>6750</v>
      </c>
      <c r="D3206" t="s">
        <v>1330</v>
      </c>
      <c r="E3206">
        <v>-49744425</v>
      </c>
      <c r="F3206">
        <v>-90491121</v>
      </c>
      <c r="G3206">
        <v>19045163</v>
      </c>
      <c r="H3206">
        <v>7643410</v>
      </c>
      <c r="I3206">
        <v>-93514055</v>
      </c>
      <c r="J3206">
        <v>10279061</v>
      </c>
      <c r="K3206">
        <v>12241637</v>
      </c>
      <c r="L3206">
        <v>-40697653</v>
      </c>
      <c r="M3206">
        <v>-23196745</v>
      </c>
      <c r="P3206">
        <v>187</v>
      </c>
      <c r="Q3206" t="s">
        <v>6751</v>
      </c>
    </row>
    <row r="3207" spans="1:17" x14ac:dyDescent="0.3">
      <c r="A3207" t="s">
        <v>17</v>
      </c>
      <c r="B3207" t="str">
        <f>"688798"</f>
        <v>688798</v>
      </c>
      <c r="C3207" t="s">
        <v>6752</v>
      </c>
      <c r="D3207" t="s">
        <v>1192</v>
      </c>
      <c r="E3207">
        <v>-49827371</v>
      </c>
      <c r="F3207">
        <v>42567889</v>
      </c>
      <c r="G3207">
        <v>-55210867</v>
      </c>
      <c r="P3207">
        <v>67</v>
      </c>
      <c r="Q3207" t="s">
        <v>6753</v>
      </c>
    </row>
    <row r="3208" spans="1:17" x14ac:dyDescent="0.3">
      <c r="A3208" t="s">
        <v>17</v>
      </c>
      <c r="B3208" t="str">
        <f>"600319"</f>
        <v>600319</v>
      </c>
      <c r="C3208" t="s">
        <v>6754</v>
      </c>
      <c r="D3208" t="s">
        <v>496</v>
      </c>
      <c r="E3208">
        <v>-49957334</v>
      </c>
      <c r="F3208">
        <v>-24367881</v>
      </c>
      <c r="G3208">
        <v>-30749966</v>
      </c>
      <c r="H3208">
        <v>89062337</v>
      </c>
      <c r="I3208">
        <v>-50685794</v>
      </c>
      <c r="J3208">
        <v>-66400125</v>
      </c>
      <c r="K3208">
        <v>-52849671</v>
      </c>
      <c r="L3208">
        <v>-23433629</v>
      </c>
      <c r="M3208">
        <v>-24548724</v>
      </c>
      <c r="N3208">
        <v>104661676</v>
      </c>
      <c r="O3208">
        <v>5057773</v>
      </c>
      <c r="P3208">
        <v>57</v>
      </c>
      <c r="Q3208" t="s">
        <v>6755</v>
      </c>
    </row>
    <row r="3209" spans="1:17" x14ac:dyDescent="0.3">
      <c r="A3209" t="s">
        <v>17</v>
      </c>
      <c r="B3209" t="str">
        <f>"600321"</f>
        <v>600321</v>
      </c>
      <c r="C3209" t="s">
        <v>6756</v>
      </c>
      <c r="D3209" t="s">
        <v>2632</v>
      </c>
      <c r="E3209">
        <v>-49965933</v>
      </c>
      <c r="F3209">
        <v>131501746</v>
      </c>
      <c r="G3209">
        <v>-785727808</v>
      </c>
      <c r="H3209">
        <v>-141759522</v>
      </c>
      <c r="I3209">
        <v>-51998970</v>
      </c>
      <c r="J3209">
        <v>17110046</v>
      </c>
      <c r="K3209">
        <v>-25512246</v>
      </c>
      <c r="L3209">
        <v>-58729960</v>
      </c>
      <c r="M3209">
        <v>6060789</v>
      </c>
      <c r="N3209">
        <v>-27893409</v>
      </c>
      <c r="O3209">
        <v>-27889746</v>
      </c>
      <c r="P3209">
        <v>74</v>
      </c>
      <c r="Q3209" t="s">
        <v>6757</v>
      </c>
    </row>
    <row r="3210" spans="1:17" x14ac:dyDescent="0.3">
      <c r="A3210" t="s">
        <v>33</v>
      </c>
      <c r="B3210" t="str">
        <f>"300778"</f>
        <v>300778</v>
      </c>
      <c r="C3210" t="s">
        <v>6758</v>
      </c>
      <c r="D3210" t="s">
        <v>4300</v>
      </c>
      <c r="E3210">
        <v>-50004340</v>
      </c>
      <c r="F3210">
        <v>-92338531</v>
      </c>
      <c r="G3210">
        <v>-79721475</v>
      </c>
      <c r="H3210">
        <v>-73396697</v>
      </c>
      <c r="I3210">
        <v>-42389291</v>
      </c>
      <c r="P3210">
        <v>104</v>
      </c>
      <c r="Q3210" t="s">
        <v>6759</v>
      </c>
    </row>
    <row r="3211" spans="1:17" x14ac:dyDescent="0.3">
      <c r="A3211" t="s">
        <v>33</v>
      </c>
      <c r="B3211" t="str">
        <f>"300603"</f>
        <v>300603</v>
      </c>
      <c r="C3211" t="s">
        <v>6760</v>
      </c>
      <c r="D3211" t="s">
        <v>1566</v>
      </c>
      <c r="E3211">
        <v>-50022632</v>
      </c>
      <c r="F3211">
        <v>-101622378</v>
      </c>
      <c r="G3211">
        <v>-101635089</v>
      </c>
      <c r="H3211">
        <v>-63423852</v>
      </c>
      <c r="I3211">
        <v>-130797569</v>
      </c>
      <c r="J3211">
        <v>-119988337</v>
      </c>
      <c r="K3211">
        <v>-40472489</v>
      </c>
      <c r="P3211">
        <v>196</v>
      </c>
      <c r="Q3211" t="s">
        <v>6761</v>
      </c>
    </row>
    <row r="3212" spans="1:17" x14ac:dyDescent="0.3">
      <c r="A3212" t="s">
        <v>17</v>
      </c>
      <c r="B3212" t="str">
        <f>"688776"</f>
        <v>688776</v>
      </c>
      <c r="C3212" t="s">
        <v>6762</v>
      </c>
      <c r="D3212" t="s">
        <v>617</v>
      </c>
      <c r="E3212">
        <v>-50054783</v>
      </c>
      <c r="P3212">
        <v>23</v>
      </c>
      <c r="Q3212" t="s">
        <v>6763</v>
      </c>
    </row>
    <row r="3213" spans="1:17" x14ac:dyDescent="0.3">
      <c r="A3213" t="s">
        <v>17</v>
      </c>
      <c r="B3213" t="str">
        <f>"688277"</f>
        <v>688277</v>
      </c>
      <c r="C3213" t="s">
        <v>6764</v>
      </c>
      <c r="D3213" t="s">
        <v>111</v>
      </c>
      <c r="E3213">
        <v>-50080569</v>
      </c>
      <c r="F3213">
        <v>-10322098</v>
      </c>
      <c r="G3213">
        <v>-59753722</v>
      </c>
      <c r="H3213">
        <v>-32903770</v>
      </c>
      <c r="P3213">
        <v>120</v>
      </c>
      <c r="Q3213" t="s">
        <v>6765</v>
      </c>
    </row>
    <row r="3214" spans="1:17" x14ac:dyDescent="0.3">
      <c r="A3214" t="s">
        <v>17</v>
      </c>
      <c r="B3214" t="str">
        <f>"600419"</f>
        <v>600419</v>
      </c>
      <c r="C3214" t="s">
        <v>6766</v>
      </c>
      <c r="D3214" t="s">
        <v>918</v>
      </c>
      <c r="E3214">
        <v>-50187422</v>
      </c>
      <c r="F3214">
        <v>-10175514</v>
      </c>
      <c r="G3214">
        <v>-55262422</v>
      </c>
      <c r="H3214">
        <v>-5997104</v>
      </c>
      <c r="I3214">
        <v>47035822</v>
      </c>
      <c r="J3214">
        <v>29535681</v>
      </c>
      <c r="K3214">
        <v>25027719</v>
      </c>
      <c r="L3214">
        <v>5935639</v>
      </c>
      <c r="M3214">
        <v>17440220</v>
      </c>
      <c r="N3214">
        <v>-3313020</v>
      </c>
      <c r="O3214">
        <v>1168904</v>
      </c>
      <c r="P3214">
        <v>626</v>
      </c>
      <c r="Q3214" t="s">
        <v>6767</v>
      </c>
    </row>
    <row r="3215" spans="1:17" x14ac:dyDescent="0.3">
      <c r="A3215" t="s">
        <v>17</v>
      </c>
      <c r="B3215" t="str">
        <f>"688679"</f>
        <v>688679</v>
      </c>
      <c r="C3215" t="s">
        <v>6768</v>
      </c>
      <c r="D3215" t="s">
        <v>897</v>
      </c>
      <c r="E3215">
        <v>-50192010</v>
      </c>
      <c r="F3215">
        <v>-79919571</v>
      </c>
      <c r="G3215">
        <v>-53729500</v>
      </c>
      <c r="H3215">
        <v>-24627100</v>
      </c>
      <c r="P3215">
        <v>31</v>
      </c>
      <c r="Q3215" t="s">
        <v>6769</v>
      </c>
    </row>
    <row r="3216" spans="1:17" x14ac:dyDescent="0.3">
      <c r="A3216" t="s">
        <v>33</v>
      </c>
      <c r="B3216" t="str">
        <f>"000430"</f>
        <v>000430</v>
      </c>
      <c r="C3216" t="s">
        <v>6770</v>
      </c>
      <c r="D3216" t="s">
        <v>5307</v>
      </c>
      <c r="E3216">
        <v>-50282589</v>
      </c>
      <c r="F3216">
        <v>-33324698</v>
      </c>
      <c r="G3216">
        <v>-102283390</v>
      </c>
      <c r="H3216">
        <v>-24744361</v>
      </c>
      <c r="I3216">
        <v>-38820493</v>
      </c>
      <c r="J3216">
        <v>562546</v>
      </c>
      <c r="K3216">
        <v>-15511665</v>
      </c>
      <c r="L3216">
        <v>-2834256</v>
      </c>
      <c r="M3216">
        <v>-8120189</v>
      </c>
      <c r="N3216">
        <v>-19784821</v>
      </c>
      <c r="O3216">
        <v>-15347192</v>
      </c>
      <c r="P3216">
        <v>109</v>
      </c>
      <c r="Q3216" t="s">
        <v>6771</v>
      </c>
    </row>
    <row r="3217" spans="1:17" x14ac:dyDescent="0.3">
      <c r="A3217" t="s">
        <v>33</v>
      </c>
      <c r="B3217" t="str">
        <f>"002186"</f>
        <v>002186</v>
      </c>
      <c r="C3217" t="s">
        <v>6772</v>
      </c>
      <c r="D3217" t="s">
        <v>2535</v>
      </c>
      <c r="E3217">
        <v>-50319656</v>
      </c>
      <c r="F3217">
        <v>-47679203</v>
      </c>
      <c r="G3217">
        <v>-54427609</v>
      </c>
      <c r="H3217">
        <v>-19400100</v>
      </c>
      <c r="I3217">
        <v>-23289064</v>
      </c>
      <c r="J3217">
        <v>48844223</v>
      </c>
      <c r="K3217">
        <v>-14894927</v>
      </c>
      <c r="L3217">
        <v>16975022</v>
      </c>
      <c r="M3217">
        <v>19873155</v>
      </c>
      <c r="N3217">
        <v>36477943</v>
      </c>
      <c r="O3217">
        <v>55252252</v>
      </c>
      <c r="P3217">
        <v>179</v>
      </c>
      <c r="Q3217" t="s">
        <v>6773</v>
      </c>
    </row>
    <row r="3218" spans="1:17" x14ac:dyDescent="0.3">
      <c r="A3218" t="s">
        <v>33</v>
      </c>
      <c r="B3218" t="str">
        <f>"300205"</f>
        <v>300205</v>
      </c>
      <c r="C3218" t="s">
        <v>6774</v>
      </c>
      <c r="D3218" t="s">
        <v>1347</v>
      </c>
      <c r="E3218">
        <v>-50418319</v>
      </c>
      <c r="F3218">
        <v>-276608482</v>
      </c>
      <c r="G3218">
        <v>-251534775</v>
      </c>
      <c r="H3218">
        <v>-115395498</v>
      </c>
      <c r="I3218">
        <v>-123355405</v>
      </c>
      <c r="J3218">
        <v>-256051710</v>
      </c>
      <c r="K3218">
        <v>-209499475</v>
      </c>
      <c r="L3218">
        <v>-134054762</v>
      </c>
      <c r="M3218">
        <v>-124995560</v>
      </c>
      <c r="N3218">
        <v>-132571886</v>
      </c>
      <c r="O3218">
        <v>-106046674</v>
      </c>
      <c r="P3218">
        <v>222</v>
      </c>
      <c r="Q3218" t="s">
        <v>6775</v>
      </c>
    </row>
    <row r="3219" spans="1:17" x14ac:dyDescent="0.3">
      <c r="A3219" t="s">
        <v>33</v>
      </c>
      <c r="B3219" t="str">
        <f>"000710"</f>
        <v>000710</v>
      </c>
      <c r="C3219" t="s">
        <v>6776</v>
      </c>
      <c r="D3219" t="s">
        <v>221</v>
      </c>
      <c r="E3219">
        <v>-50449164</v>
      </c>
      <c r="F3219">
        <v>-106619684</v>
      </c>
      <c r="G3219">
        <v>-152146155</v>
      </c>
      <c r="H3219">
        <v>-16708011</v>
      </c>
      <c r="I3219">
        <v>40157828</v>
      </c>
      <c r="J3219">
        <v>-48280729</v>
      </c>
      <c r="K3219">
        <v>-6352020</v>
      </c>
      <c r="L3219">
        <v>-38272637</v>
      </c>
      <c r="M3219">
        <v>-24638589</v>
      </c>
      <c r="N3219">
        <v>4001753</v>
      </c>
      <c r="O3219">
        <v>19032362</v>
      </c>
      <c r="P3219">
        <v>460</v>
      </c>
      <c r="Q3219" t="s">
        <v>6777</v>
      </c>
    </row>
    <row r="3220" spans="1:17" x14ac:dyDescent="0.3">
      <c r="A3220" t="s">
        <v>17</v>
      </c>
      <c r="B3220" t="str">
        <f>"600898"</f>
        <v>600898</v>
      </c>
      <c r="C3220" t="s">
        <v>6778</v>
      </c>
      <c r="D3220" t="s">
        <v>226</v>
      </c>
      <c r="E3220">
        <v>-50477541</v>
      </c>
      <c r="F3220">
        <v>-223200156</v>
      </c>
      <c r="G3220">
        <v>25561343</v>
      </c>
      <c r="H3220">
        <v>23471650</v>
      </c>
      <c r="I3220">
        <v>10544585</v>
      </c>
      <c r="J3220">
        <v>-46162448</v>
      </c>
      <c r="K3220">
        <v>3826010</v>
      </c>
      <c r="L3220">
        <v>-23406982</v>
      </c>
      <c r="M3220">
        <v>-19255148</v>
      </c>
      <c r="N3220">
        <v>3843219</v>
      </c>
      <c r="O3220">
        <v>10509181</v>
      </c>
      <c r="P3220">
        <v>57</v>
      </c>
      <c r="Q3220" t="s">
        <v>6779</v>
      </c>
    </row>
    <row r="3221" spans="1:17" x14ac:dyDescent="0.3">
      <c r="A3221" t="s">
        <v>17</v>
      </c>
      <c r="B3221" t="str">
        <f>"600792"</f>
        <v>600792</v>
      </c>
      <c r="C3221" t="s">
        <v>6780</v>
      </c>
      <c r="D3221" t="s">
        <v>427</v>
      </c>
      <c r="E3221">
        <v>-50556725</v>
      </c>
      <c r="F3221">
        <v>-27584818</v>
      </c>
      <c r="G3221">
        <v>134411657</v>
      </c>
      <c r="H3221">
        <v>-146338425</v>
      </c>
      <c r="I3221">
        <v>32921225</v>
      </c>
      <c r="J3221">
        <v>209406486</v>
      </c>
      <c r="K3221">
        <v>-4623362</v>
      </c>
      <c r="L3221">
        <v>28644925</v>
      </c>
      <c r="M3221">
        <v>-120936059</v>
      </c>
      <c r="N3221">
        <v>214762106</v>
      </c>
      <c r="O3221">
        <v>-62554869</v>
      </c>
      <c r="P3221">
        <v>97</v>
      </c>
      <c r="Q3221" t="s">
        <v>6781</v>
      </c>
    </row>
    <row r="3222" spans="1:17" x14ac:dyDescent="0.3">
      <c r="A3222" t="s">
        <v>33</v>
      </c>
      <c r="B3222" t="str">
        <f>"002210"</f>
        <v>002210</v>
      </c>
      <c r="C3222" t="s">
        <v>6782</v>
      </c>
      <c r="D3222" t="s">
        <v>5270</v>
      </c>
      <c r="E3222">
        <v>-50718203</v>
      </c>
      <c r="F3222">
        <v>-57032547</v>
      </c>
      <c r="G3222">
        <v>-178646</v>
      </c>
      <c r="H3222">
        <v>-44864352</v>
      </c>
      <c r="I3222">
        <v>14192835</v>
      </c>
      <c r="J3222">
        <v>20558913</v>
      </c>
      <c r="K3222">
        <v>-1873845672</v>
      </c>
      <c r="L3222">
        <v>2466388363</v>
      </c>
      <c r="M3222">
        <v>645258653</v>
      </c>
      <c r="N3222">
        <v>321779879</v>
      </c>
      <c r="O3222">
        <v>-279395395</v>
      </c>
      <c r="P3222">
        <v>83</v>
      </c>
      <c r="Q3222" t="s">
        <v>6783</v>
      </c>
    </row>
    <row r="3223" spans="1:17" x14ac:dyDescent="0.3">
      <c r="A3223" t="s">
        <v>17</v>
      </c>
      <c r="B3223" t="str">
        <f>"603776"</f>
        <v>603776</v>
      </c>
      <c r="C3223" t="s">
        <v>6784</v>
      </c>
      <c r="D3223" t="s">
        <v>1069</v>
      </c>
      <c r="E3223">
        <v>-50793466</v>
      </c>
      <c r="F3223">
        <v>11707574</v>
      </c>
      <c r="G3223">
        <v>15839761</v>
      </c>
      <c r="H3223">
        <v>34438432</v>
      </c>
      <c r="I3223">
        <v>61466137</v>
      </c>
      <c r="J3223">
        <v>12391000</v>
      </c>
      <c r="K3223">
        <v>-28236100</v>
      </c>
      <c r="P3223">
        <v>189</v>
      </c>
      <c r="Q3223" t="s">
        <v>6785</v>
      </c>
    </row>
    <row r="3224" spans="1:17" x14ac:dyDescent="0.3">
      <c r="A3224" t="s">
        <v>17</v>
      </c>
      <c r="B3224" t="str">
        <f>"688663"</f>
        <v>688663</v>
      </c>
      <c r="C3224" t="s">
        <v>6786</v>
      </c>
      <c r="D3224" t="s">
        <v>675</v>
      </c>
      <c r="E3224">
        <v>-50940424</v>
      </c>
      <c r="F3224">
        <v>683436</v>
      </c>
      <c r="G3224">
        <v>-366654</v>
      </c>
      <c r="P3224">
        <v>32</v>
      </c>
      <c r="Q3224" t="s">
        <v>6787</v>
      </c>
    </row>
    <row r="3225" spans="1:17" x14ac:dyDescent="0.3">
      <c r="A3225" t="s">
        <v>17</v>
      </c>
      <c r="B3225" t="str">
        <f>"688202"</f>
        <v>688202</v>
      </c>
      <c r="C3225" t="s">
        <v>6788</v>
      </c>
      <c r="D3225" t="s">
        <v>846</v>
      </c>
      <c r="E3225">
        <v>-50973115</v>
      </c>
      <c r="F3225">
        <v>22276276</v>
      </c>
      <c r="G3225">
        <v>5077602</v>
      </c>
      <c r="H3225">
        <v>4094614</v>
      </c>
      <c r="P3225">
        <v>382</v>
      </c>
      <c r="Q3225" t="s">
        <v>6789</v>
      </c>
    </row>
    <row r="3226" spans="1:17" x14ac:dyDescent="0.3">
      <c r="A3226" t="s">
        <v>17</v>
      </c>
      <c r="B3226" t="str">
        <f>"605296"</f>
        <v>605296</v>
      </c>
      <c r="C3226" t="s">
        <v>6790</v>
      </c>
      <c r="D3226" t="s">
        <v>1637</v>
      </c>
      <c r="E3226">
        <v>-50986565</v>
      </c>
      <c r="F3226">
        <v>-43715587</v>
      </c>
      <c r="G3226">
        <v>202033171</v>
      </c>
      <c r="P3226">
        <v>59</v>
      </c>
      <c r="Q3226" t="s">
        <v>6791</v>
      </c>
    </row>
    <row r="3227" spans="1:17" x14ac:dyDescent="0.3">
      <c r="A3227" t="s">
        <v>17</v>
      </c>
      <c r="B3227" t="str">
        <f>"688365"</f>
        <v>688365</v>
      </c>
      <c r="C3227" t="s">
        <v>6792</v>
      </c>
      <c r="D3227" t="s">
        <v>508</v>
      </c>
      <c r="E3227">
        <v>-51135327</v>
      </c>
      <c r="F3227">
        <v>-15718949</v>
      </c>
      <c r="G3227">
        <v>10030244</v>
      </c>
      <c r="H3227">
        <v>9962939</v>
      </c>
      <c r="P3227">
        <v>72</v>
      </c>
      <c r="Q3227" t="s">
        <v>6793</v>
      </c>
    </row>
    <row r="3228" spans="1:17" x14ac:dyDescent="0.3">
      <c r="A3228" t="s">
        <v>17</v>
      </c>
      <c r="B3228" t="str">
        <f>"688579"</f>
        <v>688579</v>
      </c>
      <c r="C3228" t="s">
        <v>6794</v>
      </c>
      <c r="D3228" t="s">
        <v>807</v>
      </c>
      <c r="E3228">
        <v>-51137101</v>
      </c>
      <c r="F3228">
        <v>-36895791</v>
      </c>
      <c r="G3228">
        <v>-60533603</v>
      </c>
      <c r="P3228">
        <v>34</v>
      </c>
      <c r="Q3228" t="s">
        <v>6795</v>
      </c>
    </row>
    <row r="3229" spans="1:17" x14ac:dyDescent="0.3">
      <c r="A3229" t="s">
        <v>33</v>
      </c>
      <c r="B3229" t="str">
        <f>"300942"</f>
        <v>300942</v>
      </c>
      <c r="C3229" t="s">
        <v>6796</v>
      </c>
      <c r="D3229" t="s">
        <v>221</v>
      </c>
      <c r="E3229">
        <v>-51177229</v>
      </c>
      <c r="F3229">
        <v>98176736</v>
      </c>
      <c r="G3229">
        <v>-20689164</v>
      </c>
      <c r="H3229">
        <v>-2262942</v>
      </c>
      <c r="P3229">
        <v>98</v>
      </c>
      <c r="Q3229" t="s">
        <v>6797</v>
      </c>
    </row>
    <row r="3230" spans="1:17" x14ac:dyDescent="0.3">
      <c r="A3230" t="s">
        <v>33</v>
      </c>
      <c r="B3230" t="str">
        <f>"301117"</f>
        <v>301117</v>
      </c>
      <c r="C3230" t="s">
        <v>6798</v>
      </c>
      <c r="D3230" t="s">
        <v>2597</v>
      </c>
      <c r="E3230">
        <v>-51217896</v>
      </c>
      <c r="P3230">
        <v>9</v>
      </c>
      <c r="Q3230" t="s">
        <v>6799</v>
      </c>
    </row>
    <row r="3231" spans="1:17" x14ac:dyDescent="0.3">
      <c r="A3231" t="s">
        <v>33</v>
      </c>
      <c r="B3231" t="str">
        <f>"300291"</f>
        <v>300291</v>
      </c>
      <c r="C3231" t="s">
        <v>6800</v>
      </c>
      <c r="D3231" t="s">
        <v>314</v>
      </c>
      <c r="E3231">
        <v>-51242821</v>
      </c>
      <c r="F3231">
        <v>-4576617</v>
      </c>
      <c r="G3231">
        <v>44432378</v>
      </c>
      <c r="H3231">
        <v>-34197953</v>
      </c>
      <c r="I3231">
        <v>44569240</v>
      </c>
      <c r="J3231">
        <v>72169075</v>
      </c>
      <c r="K3231">
        <v>-239793684</v>
      </c>
      <c r="L3231">
        <v>-116079216</v>
      </c>
      <c r="M3231">
        <v>-12121613</v>
      </c>
      <c r="N3231">
        <v>-11281865</v>
      </c>
      <c r="O3231">
        <v>-57176122</v>
      </c>
      <c r="P3231">
        <v>93</v>
      </c>
      <c r="Q3231" t="s">
        <v>6801</v>
      </c>
    </row>
    <row r="3232" spans="1:17" x14ac:dyDescent="0.3">
      <c r="A3232" t="s">
        <v>17</v>
      </c>
      <c r="B3232" t="str">
        <f>"688578"</f>
        <v>688578</v>
      </c>
      <c r="C3232" t="s">
        <v>6802</v>
      </c>
      <c r="D3232" t="s">
        <v>590</v>
      </c>
      <c r="E3232">
        <v>-51249765</v>
      </c>
      <c r="F3232">
        <v>-86708717</v>
      </c>
      <c r="G3232">
        <v>-55437400</v>
      </c>
      <c r="H3232">
        <v>-35692100</v>
      </c>
      <c r="P3232">
        <v>47</v>
      </c>
      <c r="Q3232" t="s">
        <v>6803</v>
      </c>
    </row>
    <row r="3233" spans="1:17" x14ac:dyDescent="0.3">
      <c r="A3233" t="s">
        <v>17</v>
      </c>
      <c r="B3233" t="str">
        <f>"603718"</f>
        <v>603718</v>
      </c>
      <c r="C3233" t="s">
        <v>6804</v>
      </c>
      <c r="D3233" t="s">
        <v>2035</v>
      </c>
      <c r="E3233">
        <v>-51314739</v>
      </c>
      <c r="F3233">
        <v>-383603</v>
      </c>
      <c r="G3233">
        <v>-12616301</v>
      </c>
      <c r="H3233">
        <v>3741412</v>
      </c>
      <c r="I3233">
        <v>1204317</v>
      </c>
      <c r="J3233">
        <v>750124</v>
      </c>
      <c r="K3233">
        <v>17653227</v>
      </c>
      <c r="L3233">
        <v>38189346</v>
      </c>
      <c r="M3233">
        <v>23908487</v>
      </c>
      <c r="P3233">
        <v>166</v>
      </c>
      <c r="Q3233" t="s">
        <v>6805</v>
      </c>
    </row>
    <row r="3234" spans="1:17" x14ac:dyDescent="0.3">
      <c r="A3234" t="s">
        <v>17</v>
      </c>
      <c r="B3234" t="str">
        <f>"603909"</f>
        <v>603909</v>
      </c>
      <c r="C3234" t="s">
        <v>6806</v>
      </c>
      <c r="D3234" t="s">
        <v>4300</v>
      </c>
      <c r="E3234">
        <v>-51327636</v>
      </c>
      <c r="F3234">
        <v>-23208173</v>
      </c>
      <c r="G3234">
        <v>-19683047</v>
      </c>
      <c r="H3234">
        <v>-26638893</v>
      </c>
      <c r="I3234">
        <v>-22708041</v>
      </c>
      <c r="J3234">
        <v>-16193924</v>
      </c>
      <c r="K3234">
        <v>-3016678</v>
      </c>
      <c r="P3234">
        <v>65</v>
      </c>
      <c r="Q3234" t="s">
        <v>6807</v>
      </c>
    </row>
    <row r="3235" spans="1:17" x14ac:dyDescent="0.3">
      <c r="A3235" t="s">
        <v>33</v>
      </c>
      <c r="B3235" t="str">
        <f>"000622"</f>
        <v>000622</v>
      </c>
      <c r="C3235" t="s">
        <v>6808</v>
      </c>
      <c r="D3235" t="s">
        <v>523</v>
      </c>
      <c r="E3235">
        <v>-51348307</v>
      </c>
      <c r="F3235">
        <v>-81152559</v>
      </c>
      <c r="G3235">
        <v>-56639303</v>
      </c>
      <c r="H3235">
        <v>-103687614</v>
      </c>
      <c r="I3235">
        <v>-14972943</v>
      </c>
      <c r="J3235">
        <v>-12895062</v>
      </c>
      <c r="K3235">
        <v>-7804697</v>
      </c>
      <c r="L3235">
        <v>-7681681</v>
      </c>
      <c r="M3235">
        <v>-28455622</v>
      </c>
      <c r="N3235">
        <v>-5790536</v>
      </c>
      <c r="O3235">
        <v>-4948689</v>
      </c>
      <c r="P3235">
        <v>101</v>
      </c>
      <c r="Q3235" t="s">
        <v>6809</v>
      </c>
    </row>
    <row r="3236" spans="1:17" x14ac:dyDescent="0.3">
      <c r="A3236" t="s">
        <v>33</v>
      </c>
      <c r="B3236" t="str">
        <f>"300854"</f>
        <v>300854</v>
      </c>
      <c r="C3236" t="s">
        <v>6810</v>
      </c>
      <c r="D3236" t="s">
        <v>897</v>
      </c>
      <c r="E3236">
        <v>-51438305</v>
      </c>
      <c r="P3236">
        <v>19</v>
      </c>
      <c r="Q3236" t="s">
        <v>6811</v>
      </c>
    </row>
    <row r="3237" spans="1:17" x14ac:dyDescent="0.3">
      <c r="A3237" t="s">
        <v>33</v>
      </c>
      <c r="B3237" t="str">
        <f>"300135"</f>
        <v>300135</v>
      </c>
      <c r="C3237" t="s">
        <v>6812</v>
      </c>
      <c r="D3237" t="s">
        <v>732</v>
      </c>
      <c r="E3237">
        <v>-51508940</v>
      </c>
      <c r="F3237">
        <v>7777067</v>
      </c>
      <c r="G3237">
        <v>-55922506</v>
      </c>
      <c r="H3237">
        <v>51309873</v>
      </c>
      <c r="I3237">
        <v>63480065</v>
      </c>
      <c r="J3237">
        <v>-140068756</v>
      </c>
      <c r="K3237">
        <v>93931534</v>
      </c>
      <c r="L3237">
        <v>-253511555</v>
      </c>
      <c r="M3237">
        <v>59782229</v>
      </c>
      <c r="N3237">
        <v>-316989215</v>
      </c>
      <c r="O3237">
        <v>-448623219</v>
      </c>
      <c r="P3237">
        <v>49</v>
      </c>
      <c r="Q3237" t="s">
        <v>6813</v>
      </c>
    </row>
    <row r="3238" spans="1:17" x14ac:dyDescent="0.3">
      <c r="A3238" t="s">
        <v>33</v>
      </c>
      <c r="B3238" t="str">
        <f>"001201"</f>
        <v>001201</v>
      </c>
      <c r="C3238" t="s">
        <v>6814</v>
      </c>
      <c r="D3238" t="s">
        <v>1637</v>
      </c>
      <c r="E3238">
        <v>-51575769</v>
      </c>
      <c r="P3238">
        <v>61</v>
      </c>
      <c r="Q3238" t="s">
        <v>6815</v>
      </c>
    </row>
    <row r="3239" spans="1:17" x14ac:dyDescent="0.3">
      <c r="A3239" t="s">
        <v>33</v>
      </c>
      <c r="B3239" t="str">
        <f>"301207"</f>
        <v>301207</v>
      </c>
      <c r="C3239" t="s">
        <v>6816</v>
      </c>
      <c r="E3239">
        <v>-51709044</v>
      </c>
      <c r="P3239">
        <v>19</v>
      </c>
      <c r="Q3239" t="s">
        <v>6817</v>
      </c>
    </row>
    <row r="3240" spans="1:17" x14ac:dyDescent="0.3">
      <c r="A3240" t="s">
        <v>17</v>
      </c>
      <c r="B3240" t="str">
        <f>"603058"</f>
        <v>603058</v>
      </c>
      <c r="C3240" t="s">
        <v>6818</v>
      </c>
      <c r="D3240" t="s">
        <v>1015</v>
      </c>
      <c r="E3240">
        <v>-51726428</v>
      </c>
      <c r="F3240">
        <v>2430063</v>
      </c>
      <c r="G3240">
        <v>50960489</v>
      </c>
      <c r="H3240">
        <v>-13616752</v>
      </c>
      <c r="I3240">
        <v>10723339</v>
      </c>
      <c r="J3240">
        <v>23604501</v>
      </c>
      <c r="K3240">
        <v>32454035</v>
      </c>
      <c r="P3240">
        <v>121</v>
      </c>
      <c r="Q3240" t="s">
        <v>6819</v>
      </c>
    </row>
    <row r="3241" spans="1:17" x14ac:dyDescent="0.3">
      <c r="A3241" t="s">
        <v>33</v>
      </c>
      <c r="B3241" t="str">
        <f>"300589"</f>
        <v>300589</v>
      </c>
      <c r="C3241" t="s">
        <v>6820</v>
      </c>
      <c r="D3241" t="s">
        <v>248</v>
      </c>
      <c r="E3241">
        <v>-51741867</v>
      </c>
      <c r="F3241">
        <v>-52869821</v>
      </c>
      <c r="G3241">
        <v>-44819020</v>
      </c>
      <c r="H3241">
        <v>-61418615</v>
      </c>
      <c r="I3241">
        <v>22107770</v>
      </c>
      <c r="J3241">
        <v>-90465350</v>
      </c>
      <c r="K3241">
        <v>-20984467</v>
      </c>
      <c r="P3241">
        <v>87</v>
      </c>
      <c r="Q3241" t="s">
        <v>6821</v>
      </c>
    </row>
    <row r="3242" spans="1:17" x14ac:dyDescent="0.3">
      <c r="A3242" t="s">
        <v>33</v>
      </c>
      <c r="B3242" t="str">
        <f>"300382"</f>
        <v>300382</v>
      </c>
      <c r="C3242" t="s">
        <v>6822</v>
      </c>
      <c r="D3242" t="s">
        <v>1895</v>
      </c>
      <c r="E3242">
        <v>-51952313</v>
      </c>
      <c r="F3242">
        <v>-27055370</v>
      </c>
      <c r="G3242">
        <v>-55619966</v>
      </c>
      <c r="H3242">
        <v>-11530664</v>
      </c>
      <c r="I3242">
        <v>-62010031</v>
      </c>
      <c r="J3242">
        <v>-108933460</v>
      </c>
      <c r="K3242">
        <v>-24317614</v>
      </c>
      <c r="L3242">
        <v>-49073201</v>
      </c>
      <c r="M3242">
        <v>50985504</v>
      </c>
      <c r="N3242">
        <v>40450671</v>
      </c>
      <c r="P3242">
        <v>182</v>
      </c>
      <c r="Q3242" t="s">
        <v>6823</v>
      </c>
    </row>
    <row r="3243" spans="1:17" x14ac:dyDescent="0.3">
      <c r="A3243" t="s">
        <v>33</v>
      </c>
      <c r="B3243" t="str">
        <f>"000910"</f>
        <v>000910</v>
      </c>
      <c r="C3243" t="s">
        <v>6824</v>
      </c>
      <c r="D3243" t="s">
        <v>2743</v>
      </c>
      <c r="E3243">
        <v>-52057982</v>
      </c>
      <c r="F3243">
        <v>-91202704</v>
      </c>
      <c r="G3243">
        <v>-265450874</v>
      </c>
      <c r="H3243">
        <v>-303910517</v>
      </c>
      <c r="I3243">
        <v>-241359649</v>
      </c>
      <c r="J3243">
        <v>-36141312</v>
      </c>
      <c r="K3243">
        <v>-77806974</v>
      </c>
      <c r="L3243">
        <v>-65000373</v>
      </c>
      <c r="M3243">
        <v>-279108630</v>
      </c>
      <c r="N3243">
        <v>-244988937</v>
      </c>
      <c r="O3243">
        <v>-98746120</v>
      </c>
      <c r="P3243">
        <v>813</v>
      </c>
      <c r="Q3243" t="s">
        <v>6825</v>
      </c>
    </row>
    <row r="3244" spans="1:17" x14ac:dyDescent="0.3">
      <c r="A3244" t="s">
        <v>33</v>
      </c>
      <c r="B3244" t="str">
        <f>"300546"</f>
        <v>300546</v>
      </c>
      <c r="C3244" t="s">
        <v>6826</v>
      </c>
      <c r="D3244" t="s">
        <v>1571</v>
      </c>
      <c r="E3244">
        <v>-52175944</v>
      </c>
      <c r="F3244">
        <v>-54331695</v>
      </c>
      <c r="G3244">
        <v>-46397651</v>
      </c>
      <c r="H3244">
        <v>-71544443</v>
      </c>
      <c r="I3244">
        <v>-83104001</v>
      </c>
      <c r="J3244">
        <v>-44789291</v>
      </c>
      <c r="K3244">
        <v>-44626594</v>
      </c>
      <c r="P3244">
        <v>196</v>
      </c>
      <c r="Q3244" t="s">
        <v>6827</v>
      </c>
    </row>
    <row r="3245" spans="1:17" x14ac:dyDescent="0.3">
      <c r="A3245" t="s">
        <v>33</v>
      </c>
      <c r="B3245" t="str">
        <f>"000819"</f>
        <v>000819</v>
      </c>
      <c r="C3245" t="s">
        <v>6828</v>
      </c>
      <c r="D3245" t="s">
        <v>732</v>
      </c>
      <c r="E3245">
        <v>-52355421</v>
      </c>
      <c r="F3245">
        <v>-36069361</v>
      </c>
      <c r="G3245">
        <v>928497</v>
      </c>
      <c r="H3245">
        <v>18423222</v>
      </c>
      <c r="I3245">
        <v>11908005</v>
      </c>
      <c r="J3245">
        <v>7550868</v>
      </c>
      <c r="K3245">
        <v>3704645</v>
      </c>
      <c r="L3245">
        <v>-7558791</v>
      </c>
      <c r="M3245">
        <v>-7505977</v>
      </c>
      <c r="N3245">
        <v>16906032</v>
      </c>
      <c r="O3245">
        <v>-3868698</v>
      </c>
      <c r="P3245">
        <v>81</v>
      </c>
      <c r="Q3245" t="s">
        <v>6829</v>
      </c>
    </row>
    <row r="3246" spans="1:17" x14ac:dyDescent="0.3">
      <c r="A3246" t="s">
        <v>33</v>
      </c>
      <c r="B3246" t="str">
        <f>"002103"</f>
        <v>002103</v>
      </c>
      <c r="C3246" t="s">
        <v>6830</v>
      </c>
      <c r="D3246" t="s">
        <v>1125</v>
      </c>
      <c r="E3246">
        <v>-52510260</v>
      </c>
      <c r="F3246">
        <v>-84790212</v>
      </c>
      <c r="G3246">
        <v>-5173245</v>
      </c>
      <c r="H3246">
        <v>-899085</v>
      </c>
      <c r="I3246">
        <v>-80696519</v>
      </c>
      <c r="J3246">
        <v>-59365554</v>
      </c>
      <c r="K3246">
        <v>53986090</v>
      </c>
      <c r="L3246">
        <v>-41553317</v>
      </c>
      <c r="M3246">
        <v>-23493669</v>
      </c>
      <c r="N3246">
        <v>-10311039</v>
      </c>
      <c r="O3246">
        <v>-5388932</v>
      </c>
      <c r="P3246">
        <v>108</v>
      </c>
      <c r="Q3246" t="s">
        <v>6831</v>
      </c>
    </row>
    <row r="3247" spans="1:17" x14ac:dyDescent="0.3">
      <c r="A3247" t="s">
        <v>33</v>
      </c>
      <c r="B3247" t="str">
        <f>"301218"</f>
        <v>301218</v>
      </c>
      <c r="C3247" t="s">
        <v>6832</v>
      </c>
      <c r="E3247">
        <v>-52700607</v>
      </c>
      <c r="P3247">
        <v>8</v>
      </c>
      <c r="Q3247" t="s">
        <v>6833</v>
      </c>
    </row>
    <row r="3248" spans="1:17" x14ac:dyDescent="0.3">
      <c r="A3248" t="s">
        <v>33</v>
      </c>
      <c r="B3248" t="str">
        <f>"300559"</f>
        <v>300559</v>
      </c>
      <c r="C3248" t="s">
        <v>6834</v>
      </c>
      <c r="D3248" t="s">
        <v>807</v>
      </c>
      <c r="E3248">
        <v>-52820626</v>
      </c>
      <c r="F3248">
        <v>-63268847</v>
      </c>
      <c r="G3248">
        <v>-58276767</v>
      </c>
      <c r="H3248">
        <v>-5989022</v>
      </c>
      <c r="I3248">
        <v>-29998928</v>
      </c>
      <c r="J3248">
        <v>-4803633</v>
      </c>
      <c r="K3248">
        <v>-3837841</v>
      </c>
      <c r="P3248">
        <v>369</v>
      </c>
      <c r="Q3248" t="s">
        <v>6835</v>
      </c>
    </row>
    <row r="3249" spans="1:17" x14ac:dyDescent="0.3">
      <c r="A3249" t="s">
        <v>33</v>
      </c>
      <c r="B3249" t="str">
        <f>"002560"</f>
        <v>002560</v>
      </c>
      <c r="C3249" t="s">
        <v>6836</v>
      </c>
      <c r="D3249" t="s">
        <v>1282</v>
      </c>
      <c r="E3249">
        <v>-52871382</v>
      </c>
      <c r="F3249">
        <v>-54555016</v>
      </c>
      <c r="G3249">
        <v>-176126006</v>
      </c>
      <c r="H3249">
        <v>-110382977</v>
      </c>
      <c r="I3249">
        <v>9524129</v>
      </c>
      <c r="J3249">
        <v>-213924931</v>
      </c>
      <c r="K3249">
        <v>-78102138</v>
      </c>
      <c r="L3249">
        <v>-67668192</v>
      </c>
      <c r="M3249">
        <v>5918401</v>
      </c>
      <c r="N3249">
        <v>-13098501</v>
      </c>
      <c r="O3249">
        <v>-128680656</v>
      </c>
      <c r="P3249">
        <v>138</v>
      </c>
      <c r="Q3249" t="s">
        <v>6837</v>
      </c>
    </row>
    <row r="3250" spans="1:17" x14ac:dyDescent="0.3">
      <c r="A3250" t="s">
        <v>33</v>
      </c>
      <c r="B3250" t="str">
        <f>"002194"</f>
        <v>002194</v>
      </c>
      <c r="C3250" t="s">
        <v>6838</v>
      </c>
      <c r="D3250" t="s">
        <v>461</v>
      </c>
      <c r="E3250">
        <v>-52975869</v>
      </c>
      <c r="F3250">
        <v>125140489</v>
      </c>
      <c r="G3250">
        <v>156513973</v>
      </c>
      <c r="H3250">
        <v>72785591</v>
      </c>
      <c r="I3250">
        <v>-40401676</v>
      </c>
      <c r="J3250">
        <v>-291782853</v>
      </c>
      <c r="K3250">
        <v>-51153870</v>
      </c>
      <c r="L3250">
        <v>-133428877</v>
      </c>
      <c r="M3250">
        <v>-142961063</v>
      </c>
      <c r="N3250">
        <v>20449308</v>
      </c>
      <c r="O3250">
        <v>-171399084</v>
      </c>
      <c r="P3250">
        <v>906</v>
      </c>
      <c r="Q3250" t="s">
        <v>6839</v>
      </c>
    </row>
    <row r="3251" spans="1:17" x14ac:dyDescent="0.3">
      <c r="A3251" t="s">
        <v>17</v>
      </c>
      <c r="B3251" t="str">
        <f>"600870"</f>
        <v>600870</v>
      </c>
      <c r="C3251" t="s">
        <v>6840</v>
      </c>
      <c r="D3251" t="s">
        <v>1592</v>
      </c>
      <c r="E3251">
        <v>-53001593</v>
      </c>
      <c r="F3251">
        <v>8624325</v>
      </c>
      <c r="G3251">
        <v>3589840</v>
      </c>
      <c r="H3251">
        <v>-4694457</v>
      </c>
      <c r="I3251">
        <v>10571858</v>
      </c>
      <c r="J3251">
        <v>-6619728</v>
      </c>
      <c r="K3251">
        <v>-2978818</v>
      </c>
      <c r="L3251">
        <v>28182697</v>
      </c>
      <c r="M3251">
        <v>86539909</v>
      </c>
      <c r="N3251">
        <v>22250279</v>
      </c>
      <c r="O3251">
        <v>82895218</v>
      </c>
      <c r="P3251">
        <v>55</v>
      </c>
      <c r="Q3251" t="s">
        <v>6841</v>
      </c>
    </row>
    <row r="3252" spans="1:17" x14ac:dyDescent="0.3">
      <c r="A3252" t="s">
        <v>33</v>
      </c>
      <c r="B3252" t="str">
        <f>"300691"</f>
        <v>300691</v>
      </c>
      <c r="C3252" t="s">
        <v>6842</v>
      </c>
      <c r="D3252" t="s">
        <v>2597</v>
      </c>
      <c r="E3252">
        <v>-53145334</v>
      </c>
      <c r="F3252">
        <v>7072898</v>
      </c>
      <c r="G3252">
        <v>64988804</v>
      </c>
      <c r="H3252">
        <v>-44897865</v>
      </c>
      <c r="I3252">
        <v>27274082</v>
      </c>
      <c r="J3252">
        <v>-36593102</v>
      </c>
      <c r="P3252">
        <v>186</v>
      </c>
      <c r="Q3252" t="s">
        <v>6843</v>
      </c>
    </row>
    <row r="3253" spans="1:17" x14ac:dyDescent="0.3">
      <c r="A3253" t="s">
        <v>17</v>
      </c>
      <c r="B3253" t="str">
        <f>"603888"</f>
        <v>603888</v>
      </c>
      <c r="C3253" t="s">
        <v>6844</v>
      </c>
      <c r="D3253" t="s">
        <v>2040</v>
      </c>
      <c r="E3253">
        <v>-53147378</v>
      </c>
      <c r="F3253">
        <v>-155201898</v>
      </c>
      <c r="G3253">
        <v>-72908780</v>
      </c>
      <c r="H3253">
        <v>-94477125</v>
      </c>
      <c r="I3253">
        <v>-78408319</v>
      </c>
      <c r="J3253">
        <v>-46531068</v>
      </c>
      <c r="K3253">
        <v>-53728419</v>
      </c>
      <c r="P3253">
        <v>227</v>
      </c>
      <c r="Q3253" t="s">
        <v>6845</v>
      </c>
    </row>
    <row r="3254" spans="1:17" x14ac:dyDescent="0.3">
      <c r="A3254" t="s">
        <v>33</v>
      </c>
      <c r="B3254" t="str">
        <f>"300905"</f>
        <v>300905</v>
      </c>
      <c r="C3254" t="s">
        <v>6846</v>
      </c>
      <c r="D3254" t="s">
        <v>735</v>
      </c>
      <c r="E3254">
        <v>-53317504</v>
      </c>
      <c r="F3254">
        <v>-53090869</v>
      </c>
      <c r="G3254">
        <v>3803746</v>
      </c>
      <c r="P3254">
        <v>54</v>
      </c>
      <c r="Q3254" t="s">
        <v>6847</v>
      </c>
    </row>
    <row r="3255" spans="1:17" x14ac:dyDescent="0.3">
      <c r="A3255" t="s">
        <v>17</v>
      </c>
      <c r="B3255" t="str">
        <f>"605299"</f>
        <v>605299</v>
      </c>
      <c r="C3255" t="s">
        <v>6848</v>
      </c>
      <c r="D3255" t="s">
        <v>3234</v>
      </c>
      <c r="E3255">
        <v>-53445435</v>
      </c>
      <c r="F3255">
        <v>-46392281</v>
      </c>
      <c r="G3255">
        <v>-14759597</v>
      </c>
      <c r="I3255">
        <v>-40897606</v>
      </c>
      <c r="P3255">
        <v>58</v>
      </c>
      <c r="Q3255" t="s">
        <v>6849</v>
      </c>
    </row>
    <row r="3256" spans="1:17" x14ac:dyDescent="0.3">
      <c r="A3256" t="s">
        <v>33</v>
      </c>
      <c r="B3256" t="str">
        <f>"301036"</f>
        <v>301036</v>
      </c>
      <c r="C3256" t="s">
        <v>6850</v>
      </c>
      <c r="D3256" t="s">
        <v>1341</v>
      </c>
      <c r="E3256">
        <v>-53497921</v>
      </c>
      <c r="F3256">
        <v>-11445854</v>
      </c>
      <c r="G3256">
        <v>-8970362</v>
      </c>
      <c r="P3256">
        <v>20</v>
      </c>
      <c r="Q3256" t="s">
        <v>6851</v>
      </c>
    </row>
    <row r="3257" spans="1:17" x14ac:dyDescent="0.3">
      <c r="A3257" t="s">
        <v>17</v>
      </c>
      <c r="B3257" t="str">
        <f>"601126"</f>
        <v>601126</v>
      </c>
      <c r="C3257" t="s">
        <v>6852</v>
      </c>
      <c r="D3257" t="s">
        <v>1182</v>
      </c>
      <c r="E3257">
        <v>-53594617</v>
      </c>
      <c r="F3257">
        <v>177192180</v>
      </c>
      <c r="G3257">
        <v>105975726</v>
      </c>
      <c r="H3257">
        <v>252600781</v>
      </c>
      <c r="I3257">
        <v>-47011005</v>
      </c>
      <c r="J3257">
        <v>-178343729</v>
      </c>
      <c r="K3257">
        <v>-130107511</v>
      </c>
      <c r="L3257">
        <v>-87000189</v>
      </c>
      <c r="M3257">
        <v>-207302673</v>
      </c>
      <c r="N3257">
        <v>-220723647</v>
      </c>
      <c r="O3257">
        <v>-205744798</v>
      </c>
      <c r="P3257">
        <v>279</v>
      </c>
      <c r="Q3257" t="s">
        <v>6853</v>
      </c>
    </row>
    <row r="3258" spans="1:17" x14ac:dyDescent="0.3">
      <c r="A3258" t="s">
        <v>17</v>
      </c>
      <c r="B3258" t="str">
        <f>"603976"</f>
        <v>603976</v>
      </c>
      <c r="C3258" t="s">
        <v>6854</v>
      </c>
      <c r="D3258" t="s">
        <v>903</v>
      </c>
      <c r="E3258">
        <v>-53634996</v>
      </c>
      <c r="F3258">
        <v>16714871</v>
      </c>
      <c r="G3258">
        <v>44973477</v>
      </c>
      <c r="H3258">
        <v>31985406</v>
      </c>
      <c r="I3258">
        <v>-6748182</v>
      </c>
      <c r="J3258">
        <v>16160700</v>
      </c>
      <c r="K3258">
        <v>3527700</v>
      </c>
      <c r="P3258">
        <v>216</v>
      </c>
      <c r="Q3258" t="s">
        <v>6855</v>
      </c>
    </row>
    <row r="3259" spans="1:17" x14ac:dyDescent="0.3">
      <c r="A3259" t="s">
        <v>33</v>
      </c>
      <c r="B3259" t="str">
        <f>"003009"</f>
        <v>003009</v>
      </c>
      <c r="C3259" t="s">
        <v>6856</v>
      </c>
      <c r="D3259" t="s">
        <v>2671</v>
      </c>
      <c r="E3259">
        <v>-53852797</v>
      </c>
      <c r="F3259">
        <v>-38400978</v>
      </c>
      <c r="G3259">
        <v>-82346643</v>
      </c>
      <c r="P3259">
        <v>105</v>
      </c>
      <c r="Q3259" t="s">
        <v>6857</v>
      </c>
    </row>
    <row r="3260" spans="1:17" x14ac:dyDescent="0.3">
      <c r="A3260" t="s">
        <v>17</v>
      </c>
      <c r="B3260" t="str">
        <f>"603823"</f>
        <v>603823</v>
      </c>
      <c r="C3260" t="s">
        <v>6858</v>
      </c>
      <c r="D3260" t="s">
        <v>1341</v>
      </c>
      <c r="E3260">
        <v>-53925673</v>
      </c>
      <c r="F3260">
        <v>18229509</v>
      </c>
      <c r="G3260">
        <v>24685709</v>
      </c>
      <c r="H3260">
        <v>32256987</v>
      </c>
      <c r="I3260">
        <v>10504725</v>
      </c>
      <c r="J3260">
        <v>-15986701</v>
      </c>
      <c r="K3260">
        <v>22056931</v>
      </c>
      <c r="P3260">
        <v>142</v>
      </c>
      <c r="Q3260" t="s">
        <v>6859</v>
      </c>
    </row>
    <row r="3261" spans="1:17" x14ac:dyDescent="0.3">
      <c r="A3261" t="s">
        <v>17</v>
      </c>
      <c r="B3261" t="str">
        <f>"603001"</f>
        <v>603001</v>
      </c>
      <c r="C3261" t="s">
        <v>6860</v>
      </c>
      <c r="D3261" t="s">
        <v>1680</v>
      </c>
      <c r="E3261">
        <v>-54218375</v>
      </c>
      <c r="F3261">
        <v>-204810934</v>
      </c>
      <c r="G3261">
        <v>-208992456</v>
      </c>
      <c r="H3261">
        <v>5184195</v>
      </c>
      <c r="I3261">
        <v>-8421017</v>
      </c>
      <c r="J3261">
        <v>-9094538</v>
      </c>
      <c r="K3261">
        <v>-43327053</v>
      </c>
      <c r="L3261">
        <v>295902933</v>
      </c>
      <c r="M3261">
        <v>43456269</v>
      </c>
      <c r="N3261">
        <v>-212007251</v>
      </c>
      <c r="O3261">
        <v>-149947367</v>
      </c>
      <c r="P3261">
        <v>148</v>
      </c>
      <c r="Q3261" t="s">
        <v>6861</v>
      </c>
    </row>
    <row r="3262" spans="1:17" x14ac:dyDescent="0.3">
      <c r="A3262" t="s">
        <v>17</v>
      </c>
      <c r="B3262" t="str">
        <f>"605567"</f>
        <v>605567</v>
      </c>
      <c r="C3262" t="s">
        <v>6862</v>
      </c>
      <c r="D3262" t="s">
        <v>886</v>
      </c>
      <c r="E3262">
        <v>-54347849</v>
      </c>
      <c r="P3262">
        <v>32</v>
      </c>
      <c r="Q3262" t="s">
        <v>6863</v>
      </c>
    </row>
    <row r="3263" spans="1:17" x14ac:dyDescent="0.3">
      <c r="A3263" t="s">
        <v>33</v>
      </c>
      <c r="B3263" t="str">
        <f>"300165"</f>
        <v>300165</v>
      </c>
      <c r="C3263" t="s">
        <v>6864</v>
      </c>
      <c r="D3263" t="s">
        <v>2417</v>
      </c>
      <c r="E3263">
        <v>-54461417</v>
      </c>
      <c r="F3263">
        <v>-23443997</v>
      </c>
      <c r="G3263">
        <v>-65767788</v>
      </c>
      <c r="H3263">
        <v>-20784050</v>
      </c>
      <c r="I3263">
        <v>-17480352</v>
      </c>
      <c r="J3263">
        <v>-28902404</v>
      </c>
      <c r="K3263">
        <v>-29199253</v>
      </c>
      <c r="L3263">
        <v>-9782195</v>
      </c>
      <c r="M3263">
        <v>-13794251</v>
      </c>
      <c r="N3263">
        <v>-23719057</v>
      </c>
      <c r="O3263">
        <v>-4319296</v>
      </c>
      <c r="P3263">
        <v>103</v>
      </c>
      <c r="Q3263" t="s">
        <v>6865</v>
      </c>
    </row>
    <row r="3264" spans="1:17" x14ac:dyDescent="0.3">
      <c r="A3264" t="s">
        <v>17</v>
      </c>
      <c r="B3264" t="str">
        <f>"603966"</f>
        <v>603966</v>
      </c>
      <c r="C3264" t="s">
        <v>6866</v>
      </c>
      <c r="D3264" t="s">
        <v>1132</v>
      </c>
      <c r="E3264">
        <v>-54488406</v>
      </c>
      <c r="F3264">
        <v>40530389</v>
      </c>
      <c r="G3264">
        <v>28831606</v>
      </c>
      <c r="H3264">
        <v>92500119</v>
      </c>
      <c r="I3264">
        <v>-25568964</v>
      </c>
      <c r="J3264">
        <v>-23824095</v>
      </c>
      <c r="K3264">
        <v>-541331</v>
      </c>
      <c r="P3264">
        <v>122</v>
      </c>
      <c r="Q3264" t="s">
        <v>6867</v>
      </c>
    </row>
    <row r="3265" spans="1:17" x14ac:dyDescent="0.3">
      <c r="A3265" t="s">
        <v>33</v>
      </c>
      <c r="B3265" t="str">
        <f>"300119"</f>
        <v>300119</v>
      </c>
      <c r="C3265" t="s">
        <v>6868</v>
      </c>
      <c r="D3265" t="s">
        <v>2035</v>
      </c>
      <c r="E3265">
        <v>-54538255</v>
      </c>
      <c r="F3265">
        <v>41237174</v>
      </c>
      <c r="G3265">
        <v>-8737309</v>
      </c>
      <c r="H3265">
        <v>-20884585</v>
      </c>
      <c r="I3265">
        <v>-13222309</v>
      </c>
      <c r="J3265">
        <v>-16829016</v>
      </c>
      <c r="K3265">
        <v>6086579</v>
      </c>
      <c r="L3265">
        <v>6856149</v>
      </c>
      <c r="M3265">
        <v>-460887</v>
      </c>
      <c r="N3265">
        <v>-28124771</v>
      </c>
      <c r="O3265">
        <v>-19619255</v>
      </c>
      <c r="P3265">
        <v>388</v>
      </c>
      <c r="Q3265" t="s">
        <v>6869</v>
      </c>
    </row>
    <row r="3266" spans="1:17" x14ac:dyDescent="0.3">
      <c r="A3266" t="s">
        <v>33</v>
      </c>
      <c r="B3266" t="str">
        <f>"300252"</f>
        <v>300252</v>
      </c>
      <c r="C3266" t="s">
        <v>6870</v>
      </c>
      <c r="D3266" t="s">
        <v>617</v>
      </c>
      <c r="E3266">
        <v>-54562931</v>
      </c>
      <c r="F3266">
        <v>96575154</v>
      </c>
      <c r="G3266">
        <v>163456010</v>
      </c>
      <c r="H3266">
        <v>57097304</v>
      </c>
      <c r="I3266">
        <v>-29555050</v>
      </c>
      <c r="J3266">
        <v>-338720743</v>
      </c>
      <c r="K3266">
        <v>-20545224</v>
      </c>
      <c r="L3266">
        <v>36439140</v>
      </c>
      <c r="M3266">
        <v>110081967</v>
      </c>
      <c r="N3266">
        <v>-60825361</v>
      </c>
      <c r="O3266">
        <v>-35369038</v>
      </c>
      <c r="P3266">
        <v>217</v>
      </c>
      <c r="Q3266" t="s">
        <v>6871</v>
      </c>
    </row>
    <row r="3267" spans="1:17" x14ac:dyDescent="0.3">
      <c r="A3267" t="s">
        <v>33</v>
      </c>
      <c r="B3267" t="str">
        <f>"300426"</f>
        <v>300426</v>
      </c>
      <c r="C3267" t="s">
        <v>6872</v>
      </c>
      <c r="D3267" t="s">
        <v>314</v>
      </c>
      <c r="E3267">
        <v>-54579668</v>
      </c>
      <c r="F3267">
        <v>6576134</v>
      </c>
      <c r="G3267">
        <v>-110029916</v>
      </c>
      <c r="H3267">
        <v>-170346859</v>
      </c>
      <c r="I3267">
        <v>-55778219</v>
      </c>
      <c r="J3267">
        <v>-192090515</v>
      </c>
      <c r="K3267">
        <v>-188528472</v>
      </c>
      <c r="L3267">
        <v>-38000753</v>
      </c>
      <c r="M3267">
        <v>-98831758</v>
      </c>
      <c r="P3267">
        <v>130</v>
      </c>
      <c r="Q3267" t="s">
        <v>6873</v>
      </c>
    </row>
    <row r="3268" spans="1:17" x14ac:dyDescent="0.3">
      <c r="A3268" t="s">
        <v>17</v>
      </c>
      <c r="B3268" t="str">
        <f>"601811"</f>
        <v>601811</v>
      </c>
      <c r="C3268" t="s">
        <v>6874</v>
      </c>
      <c r="D3268" t="s">
        <v>1054</v>
      </c>
      <c r="E3268">
        <v>-54677974</v>
      </c>
      <c r="F3268">
        <v>-33296604</v>
      </c>
      <c r="G3268">
        <v>21376495</v>
      </c>
      <c r="H3268">
        <v>-95542849</v>
      </c>
      <c r="I3268">
        <v>-153188800</v>
      </c>
      <c r="J3268">
        <v>-147724597</v>
      </c>
      <c r="K3268">
        <v>-198131388</v>
      </c>
      <c r="P3268">
        <v>276</v>
      </c>
      <c r="Q3268" t="s">
        <v>6875</v>
      </c>
    </row>
    <row r="3269" spans="1:17" x14ac:dyDescent="0.3">
      <c r="A3269" t="s">
        <v>33</v>
      </c>
      <c r="B3269" t="str">
        <f>"000638"</f>
        <v>000638</v>
      </c>
      <c r="C3269" t="s">
        <v>6876</v>
      </c>
      <c r="D3269" t="s">
        <v>508</v>
      </c>
      <c r="E3269">
        <v>-54751275</v>
      </c>
      <c r="F3269">
        <v>-37882079</v>
      </c>
      <c r="G3269">
        <v>-10407172</v>
      </c>
      <c r="H3269">
        <v>-10511995</v>
      </c>
      <c r="I3269">
        <v>-43969581</v>
      </c>
      <c r="J3269">
        <v>360415179</v>
      </c>
      <c r="K3269">
        <v>225255796</v>
      </c>
      <c r="L3269">
        <v>-167110347</v>
      </c>
      <c r="M3269">
        <v>-38952224</v>
      </c>
      <c r="N3269">
        <v>209261639</v>
      </c>
      <c r="O3269">
        <v>-33799209</v>
      </c>
      <c r="P3269">
        <v>87</v>
      </c>
      <c r="Q3269" t="s">
        <v>6877</v>
      </c>
    </row>
    <row r="3270" spans="1:17" x14ac:dyDescent="0.3">
      <c r="A3270" t="s">
        <v>17</v>
      </c>
      <c r="B3270" t="str">
        <f>"600252"</f>
        <v>600252</v>
      </c>
      <c r="C3270" t="s">
        <v>6878</v>
      </c>
      <c r="D3270" t="s">
        <v>533</v>
      </c>
      <c r="E3270">
        <v>-55021781</v>
      </c>
      <c r="F3270">
        <v>10305586</v>
      </c>
      <c r="G3270">
        <v>-106106475</v>
      </c>
      <c r="H3270">
        <v>57070608</v>
      </c>
      <c r="I3270">
        <v>171086450</v>
      </c>
      <c r="J3270">
        <v>99640663</v>
      </c>
      <c r="K3270">
        <v>280510311</v>
      </c>
      <c r="L3270">
        <v>-30632608</v>
      </c>
      <c r="M3270">
        <v>160194263</v>
      </c>
      <c r="N3270">
        <v>133614834</v>
      </c>
      <c r="O3270">
        <v>31043803</v>
      </c>
      <c r="P3270">
        <v>362</v>
      </c>
      <c r="Q3270" t="s">
        <v>6879</v>
      </c>
    </row>
    <row r="3271" spans="1:17" x14ac:dyDescent="0.3">
      <c r="A3271" t="s">
        <v>33</v>
      </c>
      <c r="B3271" t="str">
        <f>"002543"</f>
        <v>002543</v>
      </c>
      <c r="C3271" t="s">
        <v>6880</v>
      </c>
      <c r="D3271" t="s">
        <v>6881</v>
      </c>
      <c r="E3271">
        <v>-55078725</v>
      </c>
      <c r="F3271">
        <v>143208298</v>
      </c>
      <c r="G3271">
        <v>506777449</v>
      </c>
      <c r="H3271">
        <v>439154077</v>
      </c>
      <c r="I3271">
        <v>175808859</v>
      </c>
      <c r="J3271">
        <v>279340677</v>
      </c>
      <c r="K3271">
        <v>352864145</v>
      </c>
      <c r="L3271">
        <v>200264517</v>
      </c>
      <c r="M3271">
        <v>152804553</v>
      </c>
      <c r="N3271">
        <v>198869595</v>
      </c>
      <c r="O3271">
        <v>45741807</v>
      </c>
      <c r="P3271">
        <v>434</v>
      </c>
      <c r="Q3271" t="s">
        <v>6882</v>
      </c>
    </row>
    <row r="3272" spans="1:17" x14ac:dyDescent="0.3">
      <c r="A3272" t="s">
        <v>33</v>
      </c>
      <c r="B3272" t="str">
        <f>"300468"</f>
        <v>300468</v>
      </c>
      <c r="C3272" t="s">
        <v>6883</v>
      </c>
      <c r="D3272" t="s">
        <v>807</v>
      </c>
      <c r="E3272">
        <v>-55143858</v>
      </c>
      <c r="F3272">
        <v>-67427669</v>
      </c>
      <c r="G3272">
        <v>-69577831</v>
      </c>
      <c r="H3272">
        <v>3364759</v>
      </c>
      <c r="I3272">
        <v>-42478213</v>
      </c>
      <c r="J3272">
        <v>-33007953</v>
      </c>
      <c r="K3272">
        <v>-31041072</v>
      </c>
      <c r="L3272">
        <v>-61282491</v>
      </c>
      <c r="M3272">
        <v>-44792173</v>
      </c>
      <c r="P3272">
        <v>213</v>
      </c>
      <c r="Q3272" t="s">
        <v>6884</v>
      </c>
    </row>
    <row r="3273" spans="1:17" x14ac:dyDescent="0.3">
      <c r="A3273" t="s">
        <v>33</v>
      </c>
      <c r="B3273" t="str">
        <f>"002963"</f>
        <v>002963</v>
      </c>
      <c r="C3273" t="s">
        <v>6885</v>
      </c>
      <c r="D3273" t="s">
        <v>1779</v>
      </c>
      <c r="E3273">
        <v>-55207686</v>
      </c>
      <c r="F3273">
        <v>-2020275</v>
      </c>
      <c r="G3273">
        <v>-61445684</v>
      </c>
      <c r="H3273">
        <v>-55786492</v>
      </c>
      <c r="P3273">
        <v>75</v>
      </c>
      <c r="Q3273" t="s">
        <v>6886</v>
      </c>
    </row>
    <row r="3274" spans="1:17" x14ac:dyDescent="0.3">
      <c r="A3274" t="s">
        <v>17</v>
      </c>
      <c r="B3274" t="str">
        <f>"603226"</f>
        <v>603226</v>
      </c>
      <c r="C3274" t="s">
        <v>6887</v>
      </c>
      <c r="D3274" t="s">
        <v>2743</v>
      </c>
      <c r="E3274">
        <v>-55223411</v>
      </c>
      <c r="F3274">
        <v>-55388633</v>
      </c>
      <c r="G3274">
        <v>-101433660</v>
      </c>
      <c r="H3274">
        <v>-83858105</v>
      </c>
      <c r="I3274">
        <v>-10270459</v>
      </c>
      <c r="J3274">
        <v>-27731827</v>
      </c>
      <c r="K3274">
        <v>-40828943</v>
      </c>
      <c r="P3274">
        <v>113</v>
      </c>
      <c r="Q3274" t="s">
        <v>6888</v>
      </c>
    </row>
    <row r="3275" spans="1:17" x14ac:dyDescent="0.3">
      <c r="A3275" t="s">
        <v>17</v>
      </c>
      <c r="B3275" t="str">
        <f>"688288"</f>
        <v>688288</v>
      </c>
      <c r="C3275" t="s">
        <v>6889</v>
      </c>
      <c r="D3275" t="s">
        <v>1571</v>
      </c>
      <c r="E3275">
        <v>-55233355</v>
      </c>
      <c r="F3275">
        <v>-29604767</v>
      </c>
      <c r="G3275">
        <v>-25326027</v>
      </c>
      <c r="H3275">
        <v>6428576</v>
      </c>
      <c r="P3275">
        <v>110</v>
      </c>
      <c r="Q3275" t="s">
        <v>6890</v>
      </c>
    </row>
    <row r="3276" spans="1:17" x14ac:dyDescent="0.3">
      <c r="A3276" t="s">
        <v>33</v>
      </c>
      <c r="B3276" t="str">
        <f>"300599"</f>
        <v>300599</v>
      </c>
      <c r="C3276" t="s">
        <v>6891</v>
      </c>
      <c r="D3276" t="s">
        <v>1169</v>
      </c>
      <c r="E3276">
        <v>-55314401</v>
      </c>
      <c r="F3276">
        <v>-7942050</v>
      </c>
      <c r="G3276">
        <v>-35824924</v>
      </c>
      <c r="H3276">
        <v>-66576028</v>
      </c>
      <c r="I3276">
        <v>-82620090</v>
      </c>
      <c r="J3276">
        <v>-75358839</v>
      </c>
      <c r="K3276">
        <v>-63821128</v>
      </c>
      <c r="P3276">
        <v>102</v>
      </c>
      <c r="Q3276" t="s">
        <v>6892</v>
      </c>
    </row>
    <row r="3277" spans="1:17" x14ac:dyDescent="0.3">
      <c r="A3277" t="s">
        <v>33</v>
      </c>
      <c r="B3277" t="str">
        <f>"300864"</f>
        <v>300864</v>
      </c>
      <c r="C3277" t="s">
        <v>6893</v>
      </c>
      <c r="D3277" t="s">
        <v>2171</v>
      </c>
      <c r="E3277">
        <v>-55353584</v>
      </c>
      <c r="F3277">
        <v>-41246282</v>
      </c>
      <c r="G3277">
        <v>-37993713</v>
      </c>
      <c r="P3277">
        <v>121</v>
      </c>
      <c r="Q3277" t="s">
        <v>6894</v>
      </c>
    </row>
    <row r="3278" spans="1:17" x14ac:dyDescent="0.3">
      <c r="A3278" t="s">
        <v>17</v>
      </c>
      <c r="B3278" t="str">
        <f>"688600"</f>
        <v>688600</v>
      </c>
      <c r="C3278" t="s">
        <v>6895</v>
      </c>
      <c r="D3278" t="s">
        <v>1763</v>
      </c>
      <c r="E3278">
        <v>-55383735</v>
      </c>
      <c r="F3278">
        <v>-21212998</v>
      </c>
      <c r="G3278">
        <v>-16478503</v>
      </c>
      <c r="H3278">
        <v>-8799495</v>
      </c>
      <c r="P3278">
        <v>62</v>
      </c>
      <c r="Q3278" t="s">
        <v>6896</v>
      </c>
    </row>
    <row r="3279" spans="1:17" x14ac:dyDescent="0.3">
      <c r="A3279" t="s">
        <v>33</v>
      </c>
      <c r="B3279" t="str">
        <f>"300241"</f>
        <v>300241</v>
      </c>
      <c r="C3279" t="s">
        <v>6897</v>
      </c>
      <c r="D3279" t="s">
        <v>1299</v>
      </c>
      <c r="E3279">
        <v>-55447342</v>
      </c>
      <c r="F3279">
        <v>16073541</v>
      </c>
      <c r="G3279">
        <v>-44553939</v>
      </c>
      <c r="H3279">
        <v>108526891</v>
      </c>
      <c r="I3279">
        <v>-23138561</v>
      </c>
      <c r="J3279">
        <v>105317442</v>
      </c>
      <c r="K3279">
        <v>-40092152</v>
      </c>
      <c r="L3279">
        <v>-35917566</v>
      </c>
      <c r="M3279">
        <v>22059445</v>
      </c>
      <c r="N3279">
        <v>1330326</v>
      </c>
      <c r="O3279">
        <v>15686445</v>
      </c>
      <c r="P3279">
        <v>170</v>
      </c>
      <c r="Q3279" t="s">
        <v>6898</v>
      </c>
    </row>
    <row r="3280" spans="1:17" x14ac:dyDescent="0.3">
      <c r="A3280" t="s">
        <v>17</v>
      </c>
      <c r="B3280" t="str">
        <f>"603043"</f>
        <v>603043</v>
      </c>
      <c r="C3280" t="s">
        <v>6899</v>
      </c>
      <c r="D3280" t="s">
        <v>1356</v>
      </c>
      <c r="E3280">
        <v>-55560051</v>
      </c>
      <c r="F3280">
        <v>-130011110</v>
      </c>
      <c r="G3280">
        <v>-85147040</v>
      </c>
      <c r="H3280">
        <v>-41265975</v>
      </c>
      <c r="I3280">
        <v>-29976122</v>
      </c>
      <c r="J3280">
        <v>-36623300</v>
      </c>
      <c r="K3280">
        <v>-54438300</v>
      </c>
      <c r="P3280">
        <v>1509</v>
      </c>
      <c r="Q3280" t="s">
        <v>6900</v>
      </c>
    </row>
    <row r="3281" spans="1:17" x14ac:dyDescent="0.3">
      <c r="A3281" t="s">
        <v>17</v>
      </c>
      <c r="B3281" t="str">
        <f>"605066"</f>
        <v>605066</v>
      </c>
      <c r="C3281" t="s">
        <v>6901</v>
      </c>
      <c r="D3281" t="s">
        <v>675</v>
      </c>
      <c r="E3281">
        <v>-55627451</v>
      </c>
      <c r="F3281">
        <v>-80687403</v>
      </c>
      <c r="G3281">
        <v>-90795992</v>
      </c>
      <c r="H3281">
        <v>-67392716</v>
      </c>
      <c r="P3281">
        <v>54</v>
      </c>
      <c r="Q3281" t="s">
        <v>6902</v>
      </c>
    </row>
    <row r="3282" spans="1:17" x14ac:dyDescent="0.3">
      <c r="A3282" t="s">
        <v>33</v>
      </c>
      <c r="B3282" t="str">
        <f>"002093"</f>
        <v>002093</v>
      </c>
      <c r="C3282" t="s">
        <v>6903</v>
      </c>
      <c r="D3282" t="s">
        <v>4393</v>
      </c>
      <c r="E3282">
        <v>-55683139</v>
      </c>
      <c r="F3282">
        <v>-67161788</v>
      </c>
      <c r="G3282">
        <v>-179407046</v>
      </c>
      <c r="H3282">
        <v>-3591306</v>
      </c>
      <c r="I3282">
        <v>-52692710</v>
      </c>
      <c r="J3282">
        <v>-55311570</v>
      </c>
      <c r="K3282">
        <v>-82354284</v>
      </c>
      <c r="L3282">
        <v>-18774688</v>
      </c>
      <c r="M3282">
        <v>-40600637</v>
      </c>
      <c r="N3282">
        <v>-113536783</v>
      </c>
      <c r="O3282">
        <v>20483422</v>
      </c>
      <c r="P3282">
        <v>288</v>
      </c>
      <c r="Q3282" t="s">
        <v>6904</v>
      </c>
    </row>
    <row r="3283" spans="1:17" x14ac:dyDescent="0.3">
      <c r="A3283" t="s">
        <v>17</v>
      </c>
      <c r="B3283" t="str">
        <f>"600279"</f>
        <v>600279</v>
      </c>
      <c r="C3283" t="s">
        <v>6905</v>
      </c>
      <c r="D3283" t="s">
        <v>289</v>
      </c>
      <c r="E3283">
        <v>-55948802</v>
      </c>
      <c r="F3283">
        <v>62124786</v>
      </c>
      <c r="G3283">
        <v>35643350</v>
      </c>
      <c r="H3283">
        <v>128869700</v>
      </c>
      <c r="I3283">
        <v>-34701376</v>
      </c>
      <c r="J3283">
        <v>-126001979</v>
      </c>
      <c r="K3283">
        <v>139064769</v>
      </c>
      <c r="L3283">
        <v>50815668</v>
      </c>
      <c r="M3283">
        <v>-165399833</v>
      </c>
      <c r="N3283">
        <v>37939766</v>
      </c>
      <c r="O3283">
        <v>-5598269</v>
      </c>
      <c r="P3283">
        <v>125</v>
      </c>
      <c r="Q3283" t="s">
        <v>6906</v>
      </c>
    </row>
    <row r="3284" spans="1:17" x14ac:dyDescent="0.3">
      <c r="A3284" t="s">
        <v>33</v>
      </c>
      <c r="B3284" t="str">
        <f>"300374"</f>
        <v>300374</v>
      </c>
      <c r="C3284" t="s">
        <v>6907</v>
      </c>
      <c r="D3284" t="s">
        <v>5005</v>
      </c>
      <c r="E3284">
        <v>-56158123</v>
      </c>
      <c r="F3284">
        <v>-7268057</v>
      </c>
      <c r="G3284">
        <v>80552128</v>
      </c>
      <c r="H3284">
        <v>-65504480</v>
      </c>
      <c r="I3284">
        <v>-172127659</v>
      </c>
      <c r="J3284">
        <v>-94436237</v>
      </c>
      <c r="K3284">
        <v>-55725390</v>
      </c>
      <c r="L3284">
        <v>-106659126</v>
      </c>
      <c r="M3284">
        <v>-16645851</v>
      </c>
      <c r="P3284">
        <v>61</v>
      </c>
      <c r="Q3284" t="s">
        <v>6908</v>
      </c>
    </row>
    <row r="3285" spans="1:17" x14ac:dyDescent="0.3">
      <c r="A3285" t="s">
        <v>33</v>
      </c>
      <c r="B3285" t="str">
        <f>"002095"</f>
        <v>002095</v>
      </c>
      <c r="C3285" t="s">
        <v>6909</v>
      </c>
      <c r="D3285" t="s">
        <v>2040</v>
      </c>
      <c r="E3285">
        <v>-56240874</v>
      </c>
      <c r="F3285">
        <v>-32786594</v>
      </c>
      <c r="G3285">
        <v>-45642133</v>
      </c>
      <c r="H3285">
        <v>-61615039</v>
      </c>
      <c r="I3285">
        <v>99167461</v>
      </c>
      <c r="J3285">
        <v>-131307173</v>
      </c>
      <c r="K3285">
        <v>2573238</v>
      </c>
      <c r="L3285">
        <v>5222038</v>
      </c>
      <c r="M3285">
        <v>2484432</v>
      </c>
      <c r="N3285">
        <v>10669039</v>
      </c>
      <c r="O3285">
        <v>14540688</v>
      </c>
      <c r="P3285">
        <v>97</v>
      </c>
      <c r="Q3285" t="s">
        <v>6910</v>
      </c>
    </row>
    <row r="3286" spans="1:17" x14ac:dyDescent="0.3">
      <c r="A3286" t="s">
        <v>17</v>
      </c>
      <c r="B3286" t="str">
        <f>"600149"</f>
        <v>600149</v>
      </c>
      <c r="C3286" t="s">
        <v>6911</v>
      </c>
      <c r="D3286" t="s">
        <v>1094</v>
      </c>
      <c r="E3286">
        <v>-56731714</v>
      </c>
      <c r="F3286">
        <v>-39309301</v>
      </c>
      <c r="G3286">
        <v>-19139167</v>
      </c>
      <c r="H3286">
        <v>-35896796</v>
      </c>
      <c r="I3286">
        <v>-2433701</v>
      </c>
      <c r="J3286">
        <v>-1760816</v>
      </c>
      <c r="K3286">
        <v>-2665450</v>
      </c>
      <c r="L3286">
        <v>-3225196</v>
      </c>
      <c r="M3286">
        <v>558459</v>
      </c>
      <c r="N3286">
        <v>-643390</v>
      </c>
      <c r="O3286">
        <v>-3724424</v>
      </c>
      <c r="P3286">
        <v>44</v>
      </c>
      <c r="Q3286" t="s">
        <v>6912</v>
      </c>
    </row>
    <row r="3287" spans="1:17" x14ac:dyDescent="0.3">
      <c r="A3287" t="s">
        <v>17</v>
      </c>
      <c r="B3287" t="str">
        <f>"600020"</f>
        <v>600020</v>
      </c>
      <c r="C3287" t="s">
        <v>6913</v>
      </c>
      <c r="D3287" t="s">
        <v>458</v>
      </c>
      <c r="E3287">
        <v>-56791858</v>
      </c>
      <c r="F3287">
        <v>765096391</v>
      </c>
      <c r="G3287">
        <v>195044042</v>
      </c>
      <c r="H3287">
        <v>896861546</v>
      </c>
      <c r="I3287">
        <v>809006182</v>
      </c>
      <c r="J3287">
        <v>762698444</v>
      </c>
      <c r="K3287">
        <v>659490494</v>
      </c>
      <c r="L3287">
        <v>487724364</v>
      </c>
      <c r="M3287">
        <v>530928722</v>
      </c>
      <c r="N3287">
        <v>-102619751</v>
      </c>
      <c r="O3287">
        <v>370255833</v>
      </c>
      <c r="P3287">
        <v>386</v>
      </c>
      <c r="Q3287" t="s">
        <v>6914</v>
      </c>
    </row>
    <row r="3288" spans="1:17" x14ac:dyDescent="0.3">
      <c r="A3288" t="s">
        <v>33</v>
      </c>
      <c r="B3288" t="str">
        <f>"002072"</f>
        <v>002072</v>
      </c>
      <c r="C3288" t="s">
        <v>6915</v>
      </c>
      <c r="D3288" t="s">
        <v>523</v>
      </c>
      <c r="E3288">
        <v>-56791965</v>
      </c>
      <c r="F3288">
        <v>-23930078</v>
      </c>
      <c r="G3288">
        <v>-1100175</v>
      </c>
      <c r="H3288">
        <v>-2153797</v>
      </c>
      <c r="I3288">
        <v>4556201</v>
      </c>
      <c r="J3288">
        <v>-1284303</v>
      </c>
      <c r="K3288">
        <v>-1502389</v>
      </c>
      <c r="L3288">
        <v>-3799910</v>
      </c>
      <c r="M3288">
        <v>4456069</v>
      </c>
      <c r="N3288">
        <v>11154934</v>
      </c>
      <c r="O3288">
        <v>10038230</v>
      </c>
      <c r="P3288">
        <v>64</v>
      </c>
      <c r="Q3288" t="s">
        <v>6916</v>
      </c>
    </row>
    <row r="3289" spans="1:17" x14ac:dyDescent="0.3">
      <c r="A3289" t="s">
        <v>17</v>
      </c>
      <c r="B3289" t="str">
        <f>"688177"</f>
        <v>688177</v>
      </c>
      <c r="C3289" t="s">
        <v>6917</v>
      </c>
      <c r="D3289" t="s">
        <v>756</v>
      </c>
      <c r="E3289">
        <v>-56794194</v>
      </c>
      <c r="F3289">
        <v>-122893862</v>
      </c>
      <c r="G3289">
        <v>-223480321</v>
      </c>
      <c r="H3289">
        <v>-202644420</v>
      </c>
      <c r="P3289">
        <v>98</v>
      </c>
      <c r="Q3289" t="s">
        <v>6918</v>
      </c>
    </row>
    <row r="3290" spans="1:17" x14ac:dyDescent="0.3">
      <c r="A3290" t="s">
        <v>33</v>
      </c>
      <c r="B3290" t="str">
        <f>"300898"</f>
        <v>300898</v>
      </c>
      <c r="C3290" t="s">
        <v>6919</v>
      </c>
      <c r="D3290" t="s">
        <v>918</v>
      </c>
      <c r="E3290">
        <v>-56813337</v>
      </c>
      <c r="F3290">
        <v>-16905582</v>
      </c>
      <c r="G3290">
        <v>-117629983</v>
      </c>
      <c r="H3290">
        <v>-37724099</v>
      </c>
      <c r="I3290">
        <v>-18766891</v>
      </c>
      <c r="P3290">
        <v>73</v>
      </c>
      <c r="Q3290" t="s">
        <v>6920</v>
      </c>
    </row>
    <row r="3291" spans="1:17" x14ac:dyDescent="0.3">
      <c r="A3291" t="s">
        <v>33</v>
      </c>
      <c r="B3291" t="str">
        <f>"300359"</f>
        <v>300359</v>
      </c>
      <c r="C3291" t="s">
        <v>6921</v>
      </c>
      <c r="D3291" t="s">
        <v>761</v>
      </c>
      <c r="E3291">
        <v>-56897573</v>
      </c>
      <c r="F3291">
        <v>-13600316</v>
      </c>
      <c r="G3291">
        <v>-82886560</v>
      </c>
      <c r="H3291">
        <v>-71242762</v>
      </c>
      <c r="I3291">
        <v>-48579152</v>
      </c>
      <c r="J3291">
        <v>-106627245</v>
      </c>
      <c r="K3291">
        <v>-182871281</v>
      </c>
      <c r="L3291">
        <v>-7577029</v>
      </c>
      <c r="M3291">
        <v>6424237</v>
      </c>
      <c r="N3291">
        <v>2041207</v>
      </c>
      <c r="P3291">
        <v>166</v>
      </c>
      <c r="Q3291" t="s">
        <v>6922</v>
      </c>
    </row>
    <row r="3292" spans="1:17" x14ac:dyDescent="0.3">
      <c r="A3292" t="s">
        <v>33</v>
      </c>
      <c r="B3292" t="str">
        <f>"002217"</f>
        <v>002217</v>
      </c>
      <c r="C3292" t="s">
        <v>6923</v>
      </c>
      <c r="D3292" t="s">
        <v>102</v>
      </c>
      <c r="E3292">
        <v>-56932687</v>
      </c>
      <c r="F3292">
        <v>76137770</v>
      </c>
      <c r="G3292">
        <v>-464045047</v>
      </c>
      <c r="H3292">
        <v>-193666340</v>
      </c>
      <c r="I3292">
        <v>-285921206</v>
      </c>
      <c r="J3292">
        <v>-282140926</v>
      </c>
      <c r="K3292">
        <v>7262953</v>
      </c>
      <c r="L3292">
        <v>74674143</v>
      </c>
      <c r="M3292">
        <v>-69748551</v>
      </c>
      <c r="N3292">
        <v>13739370</v>
      </c>
      <c r="O3292">
        <v>19843747</v>
      </c>
      <c r="P3292">
        <v>490</v>
      </c>
      <c r="Q3292" t="s">
        <v>6924</v>
      </c>
    </row>
    <row r="3293" spans="1:17" x14ac:dyDescent="0.3">
      <c r="A3293" t="s">
        <v>17</v>
      </c>
      <c r="B3293" t="str">
        <f>"603988"</f>
        <v>603988</v>
      </c>
      <c r="C3293" t="s">
        <v>6925</v>
      </c>
      <c r="D3293" t="s">
        <v>1091</v>
      </c>
      <c r="E3293">
        <v>-56937655</v>
      </c>
      <c r="F3293">
        <v>-6093861</v>
      </c>
      <c r="G3293">
        <v>-24167875</v>
      </c>
      <c r="H3293">
        <v>19117335</v>
      </c>
      <c r="I3293">
        <v>2192797</v>
      </c>
      <c r="J3293">
        <v>9032483</v>
      </c>
      <c r="K3293">
        <v>10057494</v>
      </c>
      <c r="L3293">
        <v>-8628045</v>
      </c>
      <c r="M3293">
        <v>-10666585</v>
      </c>
      <c r="P3293">
        <v>192</v>
      </c>
      <c r="Q3293" t="s">
        <v>6926</v>
      </c>
    </row>
    <row r="3294" spans="1:17" x14ac:dyDescent="0.3">
      <c r="A3294" t="s">
        <v>33</v>
      </c>
      <c r="B3294" t="str">
        <f>"300793"</f>
        <v>300793</v>
      </c>
      <c r="C3294" t="s">
        <v>6927</v>
      </c>
      <c r="D3294" t="s">
        <v>226</v>
      </c>
      <c r="E3294">
        <v>-57257281</v>
      </c>
      <c r="F3294">
        <v>-109448498</v>
      </c>
      <c r="G3294">
        <v>-66967246</v>
      </c>
      <c r="H3294">
        <v>-56946332</v>
      </c>
      <c r="P3294">
        <v>144</v>
      </c>
      <c r="Q3294" t="s">
        <v>6928</v>
      </c>
    </row>
    <row r="3295" spans="1:17" x14ac:dyDescent="0.3">
      <c r="A3295" t="s">
        <v>33</v>
      </c>
      <c r="B3295" t="str">
        <f>"300353"</f>
        <v>300353</v>
      </c>
      <c r="C3295" t="s">
        <v>6929</v>
      </c>
      <c r="D3295" t="s">
        <v>2475</v>
      </c>
      <c r="E3295">
        <v>-57420473</v>
      </c>
      <c r="F3295">
        <v>36655416</v>
      </c>
      <c r="G3295">
        <v>-44071962</v>
      </c>
      <c r="H3295">
        <v>-34881325</v>
      </c>
      <c r="I3295">
        <v>-101070661</v>
      </c>
      <c r="J3295">
        <v>-50187188</v>
      </c>
      <c r="K3295">
        <v>-32552969</v>
      </c>
      <c r="L3295">
        <v>-2981360</v>
      </c>
      <c r="M3295">
        <v>-12305948</v>
      </c>
      <c r="N3295">
        <v>-5607471</v>
      </c>
      <c r="O3295">
        <v>-479845</v>
      </c>
      <c r="P3295">
        <v>3033</v>
      </c>
      <c r="Q3295" t="s">
        <v>6930</v>
      </c>
    </row>
    <row r="3296" spans="1:17" x14ac:dyDescent="0.3">
      <c r="A3296" t="s">
        <v>33</v>
      </c>
      <c r="B3296" t="str">
        <f>"300937"</f>
        <v>300937</v>
      </c>
      <c r="C3296" t="s">
        <v>6931</v>
      </c>
      <c r="D3296" t="s">
        <v>415</v>
      </c>
      <c r="E3296">
        <v>-57440183</v>
      </c>
      <c r="F3296">
        <v>-106177249</v>
      </c>
      <c r="G3296">
        <v>50410139</v>
      </c>
      <c r="P3296">
        <v>35</v>
      </c>
      <c r="Q3296" t="s">
        <v>6932</v>
      </c>
    </row>
    <row r="3297" spans="1:17" x14ac:dyDescent="0.3">
      <c r="A3297" t="s">
        <v>17</v>
      </c>
      <c r="B3297" t="str">
        <f>"600353"</f>
        <v>600353</v>
      </c>
      <c r="C3297" t="s">
        <v>6933</v>
      </c>
      <c r="D3297" t="s">
        <v>499</v>
      </c>
      <c r="E3297">
        <v>-57551278</v>
      </c>
      <c r="F3297">
        <v>-19347095</v>
      </c>
      <c r="G3297">
        <v>24941930</v>
      </c>
      <c r="H3297">
        <v>-45285849</v>
      </c>
      <c r="I3297">
        <v>30309616</v>
      </c>
      <c r="J3297">
        <v>-19678142</v>
      </c>
      <c r="K3297">
        <v>-39112615</v>
      </c>
      <c r="L3297">
        <v>-6854495</v>
      </c>
      <c r="M3297">
        <v>-13593111</v>
      </c>
      <c r="N3297">
        <v>-22860144</v>
      </c>
      <c r="O3297">
        <v>-37634</v>
      </c>
      <c r="P3297">
        <v>141</v>
      </c>
      <c r="Q3297" t="s">
        <v>6934</v>
      </c>
    </row>
    <row r="3298" spans="1:17" x14ac:dyDescent="0.3">
      <c r="A3298" t="s">
        <v>17</v>
      </c>
      <c r="B3298" t="str">
        <f>"600257"</f>
        <v>600257</v>
      </c>
      <c r="C3298" t="s">
        <v>6935</v>
      </c>
      <c r="D3298" t="s">
        <v>1490</v>
      </c>
      <c r="E3298">
        <v>-57552807</v>
      </c>
      <c r="F3298">
        <v>-30137168</v>
      </c>
      <c r="G3298">
        <v>-88696860</v>
      </c>
      <c r="H3298">
        <v>-102277893</v>
      </c>
      <c r="I3298">
        <v>-111854891</v>
      </c>
      <c r="J3298">
        <v>-118289868</v>
      </c>
      <c r="K3298">
        <v>-86244329</v>
      </c>
      <c r="L3298">
        <v>-68974697</v>
      </c>
      <c r="M3298">
        <v>-52824410</v>
      </c>
      <c r="N3298">
        <v>-19538444</v>
      </c>
      <c r="O3298">
        <v>-30269260</v>
      </c>
      <c r="P3298">
        <v>96</v>
      </c>
      <c r="Q3298" t="s">
        <v>6936</v>
      </c>
    </row>
    <row r="3299" spans="1:17" x14ac:dyDescent="0.3">
      <c r="A3299" t="s">
        <v>17</v>
      </c>
      <c r="B3299" t="str">
        <f>"601908"</f>
        <v>601908</v>
      </c>
      <c r="C3299" t="s">
        <v>6937</v>
      </c>
      <c r="D3299" t="s">
        <v>1007</v>
      </c>
      <c r="E3299">
        <v>-57602587</v>
      </c>
      <c r="F3299">
        <v>153327310</v>
      </c>
      <c r="G3299">
        <v>-193921240</v>
      </c>
      <c r="H3299">
        <v>-313542809</v>
      </c>
      <c r="I3299">
        <v>-76688875</v>
      </c>
      <c r="J3299">
        <v>-2598130</v>
      </c>
      <c r="K3299">
        <v>-133311440</v>
      </c>
      <c r="L3299">
        <v>-208721920</v>
      </c>
      <c r="M3299">
        <v>-34013017</v>
      </c>
      <c r="N3299">
        <v>34422661</v>
      </c>
      <c r="O3299">
        <v>-82248056</v>
      </c>
      <c r="P3299">
        <v>318</v>
      </c>
      <c r="Q3299" t="s">
        <v>6938</v>
      </c>
    </row>
    <row r="3300" spans="1:17" x14ac:dyDescent="0.3">
      <c r="A3300" t="s">
        <v>17</v>
      </c>
      <c r="B3300" t="str">
        <f>"688090"</f>
        <v>688090</v>
      </c>
      <c r="C3300" t="s">
        <v>6939</v>
      </c>
      <c r="D3300" t="s">
        <v>1142</v>
      </c>
      <c r="E3300">
        <v>-57719411</v>
      </c>
      <c r="F3300">
        <v>-113713796</v>
      </c>
      <c r="G3300">
        <v>-87565272</v>
      </c>
      <c r="H3300">
        <v>-44941193</v>
      </c>
      <c r="P3300">
        <v>63</v>
      </c>
      <c r="Q3300" t="s">
        <v>6940</v>
      </c>
    </row>
    <row r="3301" spans="1:17" x14ac:dyDescent="0.3">
      <c r="A3301" t="s">
        <v>33</v>
      </c>
      <c r="B3301" t="str">
        <f>"300718"</f>
        <v>300718</v>
      </c>
      <c r="C3301" t="s">
        <v>6941</v>
      </c>
      <c r="D3301" t="s">
        <v>1213</v>
      </c>
      <c r="E3301">
        <v>-57839221</v>
      </c>
      <c r="F3301">
        <v>-12473125</v>
      </c>
      <c r="G3301">
        <v>8449520</v>
      </c>
      <c r="H3301">
        <v>33137752</v>
      </c>
      <c r="I3301">
        <v>8260817</v>
      </c>
      <c r="J3301">
        <v>5366031</v>
      </c>
      <c r="P3301">
        <v>100</v>
      </c>
      <c r="Q3301" t="s">
        <v>6942</v>
      </c>
    </row>
    <row r="3302" spans="1:17" x14ac:dyDescent="0.3">
      <c r="A3302" t="s">
        <v>33</v>
      </c>
      <c r="B3302" t="str">
        <f>"300845"</f>
        <v>300845</v>
      </c>
      <c r="C3302" t="s">
        <v>6943</v>
      </c>
      <c r="D3302" t="s">
        <v>1571</v>
      </c>
      <c r="E3302">
        <v>-57924446</v>
      </c>
      <c r="F3302">
        <v>-56982484</v>
      </c>
      <c r="G3302">
        <v>-55391424</v>
      </c>
      <c r="H3302">
        <v>-65386312</v>
      </c>
      <c r="P3302">
        <v>83</v>
      </c>
      <c r="Q3302" t="s">
        <v>6944</v>
      </c>
    </row>
    <row r="3303" spans="1:17" x14ac:dyDescent="0.3">
      <c r="A3303" t="s">
        <v>33</v>
      </c>
      <c r="B3303" t="str">
        <f>"300777"</f>
        <v>300777</v>
      </c>
      <c r="C3303" t="s">
        <v>6945</v>
      </c>
      <c r="D3303" t="s">
        <v>2262</v>
      </c>
      <c r="E3303">
        <v>-58169647</v>
      </c>
      <c r="F3303">
        <v>32725706</v>
      </c>
      <c r="G3303">
        <v>71749576</v>
      </c>
      <c r="H3303">
        <v>-20352409</v>
      </c>
      <c r="I3303">
        <v>3149160</v>
      </c>
      <c r="P3303">
        <v>371</v>
      </c>
      <c r="Q3303" t="s">
        <v>6946</v>
      </c>
    </row>
    <row r="3304" spans="1:17" x14ac:dyDescent="0.3">
      <c r="A3304" t="s">
        <v>33</v>
      </c>
      <c r="B3304" t="str">
        <f>"002714"</f>
        <v>002714</v>
      </c>
      <c r="C3304" t="s">
        <v>6947</v>
      </c>
      <c r="D3304" t="s">
        <v>1637</v>
      </c>
      <c r="E3304">
        <v>-58213007</v>
      </c>
      <c r="F3304">
        <v>4755828247</v>
      </c>
      <c r="G3304">
        <v>4384756332</v>
      </c>
      <c r="H3304">
        <v>-130492020</v>
      </c>
      <c r="I3304">
        <v>-214193687</v>
      </c>
      <c r="J3304">
        <v>344713694</v>
      </c>
      <c r="K3304">
        <v>128962411</v>
      </c>
      <c r="L3304">
        <v>123618756</v>
      </c>
      <c r="M3304">
        <v>9199185</v>
      </c>
      <c r="N3304">
        <v>6212070</v>
      </c>
      <c r="P3304">
        <v>4953</v>
      </c>
      <c r="Q3304" t="s">
        <v>6948</v>
      </c>
    </row>
    <row r="3305" spans="1:17" x14ac:dyDescent="0.3">
      <c r="A3305" t="s">
        <v>17</v>
      </c>
      <c r="B3305" t="str">
        <f>"603829"</f>
        <v>603829</v>
      </c>
      <c r="C3305" t="s">
        <v>6949</v>
      </c>
      <c r="D3305" t="s">
        <v>675</v>
      </c>
      <c r="E3305">
        <v>-58228896</v>
      </c>
      <c r="F3305">
        <v>-17977905</v>
      </c>
      <c r="G3305">
        <v>-62930467</v>
      </c>
      <c r="H3305">
        <v>-51942901</v>
      </c>
      <c r="I3305">
        <v>-38441692</v>
      </c>
      <c r="J3305">
        <v>23674708</v>
      </c>
      <c r="P3305">
        <v>50</v>
      </c>
      <c r="Q3305" t="s">
        <v>6950</v>
      </c>
    </row>
    <row r="3306" spans="1:17" x14ac:dyDescent="0.3">
      <c r="A3306" t="s">
        <v>33</v>
      </c>
      <c r="B3306" t="str">
        <f>"200570"</f>
        <v>200570</v>
      </c>
      <c r="C3306" t="s">
        <v>6951</v>
      </c>
      <c r="E3306">
        <v>-58244150.916000001</v>
      </c>
      <c r="F3306">
        <v>-218521762.324</v>
      </c>
      <c r="G3306">
        <v>21028812.398400001</v>
      </c>
      <c r="H3306">
        <v>-74626728.902099997</v>
      </c>
      <c r="I3306">
        <v>-91610727.138999999</v>
      </c>
      <c r="J3306">
        <v>-59342268.5176</v>
      </c>
      <c r="K3306">
        <v>-7144967.2048000004</v>
      </c>
      <c r="L3306">
        <v>2243860</v>
      </c>
      <c r="M3306">
        <v>-55825500.527599998</v>
      </c>
      <c r="N3306">
        <v>89259646.171200007</v>
      </c>
      <c r="O3306">
        <v>95196663.783000007</v>
      </c>
      <c r="P3306">
        <v>10</v>
      </c>
      <c r="Q3306" t="s">
        <v>6952</v>
      </c>
    </row>
    <row r="3307" spans="1:17" x14ac:dyDescent="0.3">
      <c r="A3307" t="s">
        <v>17</v>
      </c>
      <c r="B3307" t="str">
        <f>"688519"</f>
        <v>688519</v>
      </c>
      <c r="C3307" t="s">
        <v>6953</v>
      </c>
      <c r="D3307" t="s">
        <v>239</v>
      </c>
      <c r="E3307">
        <v>-58410052</v>
      </c>
      <c r="F3307">
        <v>-90494715</v>
      </c>
      <c r="G3307">
        <v>11125027</v>
      </c>
      <c r="H3307">
        <v>29383491</v>
      </c>
      <c r="P3307">
        <v>80</v>
      </c>
      <c r="Q3307" t="s">
        <v>6954</v>
      </c>
    </row>
    <row r="3308" spans="1:17" x14ac:dyDescent="0.3">
      <c r="A3308" t="s">
        <v>33</v>
      </c>
      <c r="B3308" t="str">
        <f>"300675"</f>
        <v>300675</v>
      </c>
      <c r="C3308" t="s">
        <v>6955</v>
      </c>
      <c r="D3308" t="s">
        <v>4300</v>
      </c>
      <c r="E3308">
        <v>-58881614</v>
      </c>
      <c r="F3308">
        <v>-48325872</v>
      </c>
      <c r="G3308">
        <v>-10905946</v>
      </c>
      <c r="H3308">
        <v>-4452015</v>
      </c>
      <c r="I3308">
        <v>-49050178</v>
      </c>
      <c r="J3308">
        <v>-28750309</v>
      </c>
      <c r="K3308">
        <v>-26483626</v>
      </c>
      <c r="P3308">
        <v>85</v>
      </c>
      <c r="Q3308" t="s">
        <v>6956</v>
      </c>
    </row>
    <row r="3309" spans="1:17" x14ac:dyDescent="0.3">
      <c r="A3309" t="s">
        <v>33</v>
      </c>
      <c r="B3309" t="str">
        <f>"300671"</f>
        <v>300671</v>
      </c>
      <c r="C3309" t="s">
        <v>6957</v>
      </c>
      <c r="D3309" t="s">
        <v>1192</v>
      </c>
      <c r="E3309">
        <v>-58901042</v>
      </c>
      <c r="F3309">
        <v>-33938183</v>
      </c>
      <c r="G3309">
        <v>-26218583</v>
      </c>
      <c r="H3309">
        <v>-47924983</v>
      </c>
      <c r="I3309">
        <v>-25402426</v>
      </c>
      <c r="J3309">
        <v>5078618</v>
      </c>
      <c r="K3309">
        <v>7865731</v>
      </c>
      <c r="P3309">
        <v>301</v>
      </c>
      <c r="Q3309" t="s">
        <v>6958</v>
      </c>
    </row>
    <row r="3310" spans="1:17" x14ac:dyDescent="0.3">
      <c r="A3310" t="s">
        <v>33</v>
      </c>
      <c r="B3310" t="str">
        <f>"300510"</f>
        <v>300510</v>
      </c>
      <c r="C3310" t="s">
        <v>6959</v>
      </c>
      <c r="D3310" t="s">
        <v>1182</v>
      </c>
      <c r="E3310">
        <v>-58927263</v>
      </c>
      <c r="F3310">
        <v>-42417526</v>
      </c>
      <c r="G3310">
        <v>-72891082</v>
      </c>
      <c r="H3310">
        <v>-95416347</v>
      </c>
      <c r="I3310">
        <v>24021489</v>
      </c>
      <c r="J3310">
        <v>-35983168</v>
      </c>
      <c r="K3310">
        <v>1565407</v>
      </c>
      <c r="L3310">
        <v>-573577</v>
      </c>
      <c r="P3310">
        <v>115</v>
      </c>
      <c r="Q3310" t="s">
        <v>6960</v>
      </c>
    </row>
    <row r="3311" spans="1:17" x14ac:dyDescent="0.3">
      <c r="A3311" t="s">
        <v>33</v>
      </c>
      <c r="B3311" t="str">
        <f>"300061"</f>
        <v>300061</v>
      </c>
      <c r="C3311" t="s">
        <v>6961</v>
      </c>
      <c r="D3311" t="s">
        <v>1125</v>
      </c>
      <c r="E3311">
        <v>-58946568</v>
      </c>
      <c r="F3311">
        <v>-45667969</v>
      </c>
      <c r="G3311">
        <v>-299105430</v>
      </c>
      <c r="H3311">
        <v>102406687</v>
      </c>
      <c r="I3311">
        <v>-26530555</v>
      </c>
      <c r="J3311">
        <v>18233644</v>
      </c>
      <c r="K3311">
        <v>11758791</v>
      </c>
      <c r="L3311">
        <v>-1076061</v>
      </c>
      <c r="M3311">
        <v>2089981</v>
      </c>
      <c r="N3311">
        <v>2603698</v>
      </c>
      <c r="O3311">
        <v>-10187738</v>
      </c>
      <c r="P3311">
        <v>120</v>
      </c>
      <c r="Q3311" t="s">
        <v>6962</v>
      </c>
    </row>
    <row r="3312" spans="1:17" x14ac:dyDescent="0.3">
      <c r="A3312" t="s">
        <v>33</v>
      </c>
      <c r="B3312" t="str">
        <f>"300753"</f>
        <v>300753</v>
      </c>
      <c r="C3312" t="s">
        <v>6963</v>
      </c>
      <c r="D3312" t="s">
        <v>111</v>
      </c>
      <c r="E3312">
        <v>-58957574</v>
      </c>
      <c r="F3312">
        <v>-45806339</v>
      </c>
      <c r="G3312">
        <v>-23073186</v>
      </c>
      <c r="H3312">
        <v>-15425000</v>
      </c>
      <c r="I3312">
        <v>-13116907</v>
      </c>
      <c r="P3312">
        <v>243</v>
      </c>
      <c r="Q3312" t="s">
        <v>6964</v>
      </c>
    </row>
    <row r="3313" spans="1:17" x14ac:dyDescent="0.3">
      <c r="A3313" t="s">
        <v>17</v>
      </c>
      <c r="B3313" t="str">
        <f>"600558"</f>
        <v>600558</v>
      </c>
      <c r="C3313" t="s">
        <v>6965</v>
      </c>
      <c r="D3313" t="s">
        <v>164</v>
      </c>
      <c r="E3313">
        <v>-59048094</v>
      </c>
      <c r="F3313">
        <v>-77135914</v>
      </c>
      <c r="G3313">
        <v>-124534470</v>
      </c>
      <c r="H3313">
        <v>24296786</v>
      </c>
      <c r="I3313">
        <v>-35897568</v>
      </c>
      <c r="J3313">
        <v>-84220369</v>
      </c>
      <c r="K3313">
        <v>8148519</v>
      </c>
      <c r="L3313">
        <v>-12625840</v>
      </c>
      <c r="M3313">
        <v>-56685586</v>
      </c>
      <c r="N3313">
        <v>-78339676</v>
      </c>
      <c r="O3313">
        <v>10796477</v>
      </c>
      <c r="P3313">
        <v>72</v>
      </c>
      <c r="Q3313" t="s">
        <v>6966</v>
      </c>
    </row>
    <row r="3314" spans="1:17" x14ac:dyDescent="0.3">
      <c r="A3314" t="s">
        <v>17</v>
      </c>
      <c r="B3314" t="str">
        <f>"603390"</f>
        <v>603390</v>
      </c>
      <c r="C3314" t="s">
        <v>6967</v>
      </c>
      <c r="D3314" t="s">
        <v>603</v>
      </c>
      <c r="E3314">
        <v>-59147459</v>
      </c>
      <c r="F3314">
        <v>-14549827</v>
      </c>
      <c r="G3314">
        <v>-81776793</v>
      </c>
      <c r="H3314">
        <v>-62597658</v>
      </c>
      <c r="I3314">
        <v>-38114459</v>
      </c>
      <c r="P3314">
        <v>89</v>
      </c>
      <c r="Q3314" t="s">
        <v>6968</v>
      </c>
    </row>
    <row r="3315" spans="1:17" x14ac:dyDescent="0.3">
      <c r="A3315" t="s">
        <v>33</v>
      </c>
      <c r="B3315" t="str">
        <f>"300331"</f>
        <v>300331</v>
      </c>
      <c r="C3315" t="s">
        <v>6969</v>
      </c>
      <c r="D3315" t="s">
        <v>102</v>
      </c>
      <c r="E3315">
        <v>-59199868</v>
      </c>
      <c r="F3315">
        <v>-110387016</v>
      </c>
      <c r="G3315">
        <v>-11765784</v>
      </c>
      <c r="H3315">
        <v>-48001756</v>
      </c>
      <c r="I3315">
        <v>-50824337</v>
      </c>
      <c r="J3315">
        <v>-19249470</v>
      </c>
      <c r="K3315">
        <v>-9416818</v>
      </c>
      <c r="L3315">
        <v>-7567964</v>
      </c>
      <c r="M3315">
        <v>-8905279</v>
      </c>
      <c r="N3315">
        <v>-6333885</v>
      </c>
      <c r="O3315">
        <v>-11542643</v>
      </c>
      <c r="P3315">
        <v>164</v>
      </c>
      <c r="Q3315" t="s">
        <v>6970</v>
      </c>
    </row>
    <row r="3316" spans="1:17" x14ac:dyDescent="0.3">
      <c r="A3316" t="s">
        <v>17</v>
      </c>
      <c r="B3316" t="str">
        <f>"600250"</f>
        <v>600250</v>
      </c>
      <c r="C3316" t="s">
        <v>6971</v>
      </c>
      <c r="D3316" t="s">
        <v>1592</v>
      </c>
      <c r="E3316">
        <v>-59401140</v>
      </c>
      <c r="F3316">
        <v>-6319230</v>
      </c>
      <c r="G3316">
        <v>50024725</v>
      </c>
      <c r="H3316">
        <v>-11705396</v>
      </c>
      <c r="I3316">
        <v>112968503</v>
      </c>
      <c r="J3316">
        <v>-46300285</v>
      </c>
      <c r="K3316">
        <v>-112280540</v>
      </c>
      <c r="L3316">
        <v>57355993</v>
      </c>
      <c r="M3316">
        <v>174983548</v>
      </c>
      <c r="N3316">
        <v>171246907</v>
      </c>
      <c r="O3316">
        <v>-199835385</v>
      </c>
      <c r="P3316">
        <v>70</v>
      </c>
      <c r="Q3316" t="s">
        <v>6972</v>
      </c>
    </row>
    <row r="3317" spans="1:17" x14ac:dyDescent="0.3">
      <c r="A3317" t="s">
        <v>33</v>
      </c>
      <c r="B3317" t="str">
        <f>"300329"</f>
        <v>300329</v>
      </c>
      <c r="C3317" t="s">
        <v>6973</v>
      </c>
      <c r="D3317" t="s">
        <v>3234</v>
      </c>
      <c r="E3317">
        <v>-59416072</v>
      </c>
      <c r="F3317">
        <v>-20868954</v>
      </c>
      <c r="G3317">
        <v>-68434626</v>
      </c>
      <c r="H3317">
        <v>-32881354</v>
      </c>
      <c r="I3317">
        <v>918383</v>
      </c>
      <c r="J3317">
        <v>-7239513</v>
      </c>
      <c r="K3317">
        <v>-17194165</v>
      </c>
      <c r="L3317">
        <v>-15946771</v>
      </c>
      <c r="M3317">
        <v>-29692421</v>
      </c>
      <c r="N3317">
        <v>-20698959</v>
      </c>
      <c r="O3317">
        <v>-14074623</v>
      </c>
      <c r="P3317">
        <v>96</v>
      </c>
      <c r="Q3317" t="s">
        <v>6974</v>
      </c>
    </row>
    <row r="3318" spans="1:17" x14ac:dyDescent="0.3">
      <c r="A3318" t="s">
        <v>17</v>
      </c>
      <c r="B3318" t="str">
        <f>"688266"</f>
        <v>688266</v>
      </c>
      <c r="C3318" t="s">
        <v>6975</v>
      </c>
      <c r="D3318" t="s">
        <v>590</v>
      </c>
      <c r="E3318">
        <v>-59474080</v>
      </c>
      <c r="F3318">
        <v>-102692920</v>
      </c>
      <c r="G3318">
        <v>-77046756</v>
      </c>
      <c r="H3318">
        <v>-42189297</v>
      </c>
      <c r="P3318">
        <v>102</v>
      </c>
      <c r="Q3318" t="s">
        <v>6976</v>
      </c>
    </row>
    <row r="3319" spans="1:17" x14ac:dyDescent="0.3">
      <c r="A3319" t="s">
        <v>33</v>
      </c>
      <c r="B3319" t="str">
        <f>"300884"</f>
        <v>300884</v>
      </c>
      <c r="C3319" t="s">
        <v>6977</v>
      </c>
      <c r="D3319" t="s">
        <v>2597</v>
      </c>
      <c r="E3319">
        <v>-59730496</v>
      </c>
      <c r="F3319">
        <v>-40933094</v>
      </c>
      <c r="G3319">
        <v>-49952742</v>
      </c>
      <c r="H3319">
        <v>-17766375</v>
      </c>
      <c r="P3319">
        <v>68</v>
      </c>
      <c r="Q3319" t="s">
        <v>6978</v>
      </c>
    </row>
    <row r="3320" spans="1:17" x14ac:dyDescent="0.3">
      <c r="A3320" t="s">
        <v>33</v>
      </c>
      <c r="B3320" t="str">
        <f>"300153"</f>
        <v>300153</v>
      </c>
      <c r="C3320" t="s">
        <v>6979</v>
      </c>
      <c r="D3320" t="s">
        <v>2956</v>
      </c>
      <c r="E3320">
        <v>-59797256</v>
      </c>
      <c r="F3320">
        <v>-52322850</v>
      </c>
      <c r="G3320">
        <v>-107309136</v>
      </c>
      <c r="H3320">
        <v>-46221906</v>
      </c>
      <c r="I3320">
        <v>-9289371</v>
      </c>
      <c r="J3320">
        <v>-97794393</v>
      </c>
      <c r="K3320">
        <v>-46386079</v>
      </c>
      <c r="L3320">
        <v>-12212937</v>
      </c>
      <c r="M3320">
        <v>1414</v>
      </c>
      <c r="N3320">
        <v>6036722</v>
      </c>
      <c r="O3320">
        <v>-82543771</v>
      </c>
      <c r="P3320">
        <v>108</v>
      </c>
      <c r="Q3320" t="s">
        <v>6980</v>
      </c>
    </row>
    <row r="3321" spans="1:17" x14ac:dyDescent="0.3">
      <c r="A3321" t="s">
        <v>17</v>
      </c>
      <c r="B3321" t="str">
        <f>"688038"</f>
        <v>688038</v>
      </c>
      <c r="C3321" t="s">
        <v>6981</v>
      </c>
      <c r="D3321" t="s">
        <v>807</v>
      </c>
      <c r="E3321">
        <v>-59978694</v>
      </c>
      <c r="F3321">
        <v>-57143668</v>
      </c>
      <c r="G3321">
        <v>-114768952</v>
      </c>
      <c r="P3321">
        <v>17</v>
      </c>
      <c r="Q3321" t="s">
        <v>6982</v>
      </c>
    </row>
    <row r="3322" spans="1:17" x14ac:dyDescent="0.3">
      <c r="A3322" t="s">
        <v>17</v>
      </c>
      <c r="B3322" t="str">
        <f>"600238"</f>
        <v>600238</v>
      </c>
      <c r="C3322" t="s">
        <v>6983</v>
      </c>
      <c r="D3322" t="s">
        <v>1172</v>
      </c>
      <c r="E3322">
        <v>-60028768</v>
      </c>
      <c r="F3322">
        <v>-72952234</v>
      </c>
      <c r="G3322">
        <v>-52774770</v>
      </c>
      <c r="H3322">
        <v>-120036007</v>
      </c>
      <c r="I3322">
        <v>-209066324</v>
      </c>
      <c r="J3322">
        <v>-127690236</v>
      </c>
      <c r="K3322">
        <v>-32102002</v>
      </c>
      <c r="L3322">
        <v>-34120729</v>
      </c>
      <c r="M3322">
        <v>-146192066</v>
      </c>
      <c r="N3322">
        <v>3580034</v>
      </c>
      <c r="O3322">
        <v>-80415580</v>
      </c>
      <c r="P3322">
        <v>146</v>
      </c>
      <c r="Q3322" t="s">
        <v>6984</v>
      </c>
    </row>
    <row r="3323" spans="1:17" x14ac:dyDescent="0.3">
      <c r="A3323" t="s">
        <v>17</v>
      </c>
      <c r="B3323" t="str">
        <f>"688636"</f>
        <v>688636</v>
      </c>
      <c r="C3323" t="s">
        <v>6985</v>
      </c>
      <c r="D3323" t="s">
        <v>617</v>
      </c>
      <c r="E3323">
        <v>-60120736</v>
      </c>
      <c r="F3323">
        <v>-58844583</v>
      </c>
      <c r="G3323">
        <v>-46321126</v>
      </c>
      <c r="P3323">
        <v>32</v>
      </c>
      <c r="Q3323" t="s">
        <v>6986</v>
      </c>
    </row>
    <row r="3324" spans="1:17" x14ac:dyDescent="0.3">
      <c r="A3324" t="s">
        <v>33</v>
      </c>
      <c r="B3324" t="str">
        <f>"002997"</f>
        <v>002997</v>
      </c>
      <c r="C3324" t="s">
        <v>6987</v>
      </c>
      <c r="D3324" t="s">
        <v>1419</v>
      </c>
      <c r="E3324">
        <v>-60140217</v>
      </c>
      <c r="F3324">
        <v>-52320331</v>
      </c>
      <c r="G3324">
        <v>8838012</v>
      </c>
      <c r="P3324">
        <v>85</v>
      </c>
      <c r="Q3324" t="s">
        <v>6988</v>
      </c>
    </row>
    <row r="3325" spans="1:17" x14ac:dyDescent="0.3">
      <c r="A3325" t="s">
        <v>33</v>
      </c>
      <c r="B3325" t="str">
        <f>"300863"</f>
        <v>300863</v>
      </c>
      <c r="C3325" t="s">
        <v>6989</v>
      </c>
      <c r="D3325" t="s">
        <v>603</v>
      </c>
      <c r="E3325">
        <v>-60246377</v>
      </c>
      <c r="F3325">
        <v>40342709</v>
      </c>
      <c r="G3325">
        <v>80925360</v>
      </c>
      <c r="P3325">
        <v>75</v>
      </c>
      <c r="Q3325" t="s">
        <v>6990</v>
      </c>
    </row>
    <row r="3326" spans="1:17" x14ac:dyDescent="0.3">
      <c r="A3326" t="s">
        <v>33</v>
      </c>
      <c r="B3326" t="str">
        <f>"000531"</f>
        <v>000531</v>
      </c>
      <c r="C3326" t="s">
        <v>6991</v>
      </c>
      <c r="D3326" t="s">
        <v>145</v>
      </c>
      <c r="E3326">
        <v>-60428488</v>
      </c>
      <c r="F3326">
        <v>-15742308</v>
      </c>
      <c r="G3326">
        <v>236987156</v>
      </c>
      <c r="H3326">
        <v>-8773124</v>
      </c>
      <c r="I3326">
        <v>58469638</v>
      </c>
      <c r="J3326">
        <v>162888012</v>
      </c>
      <c r="K3326">
        <v>243308421</v>
      </c>
      <c r="L3326">
        <v>237679432</v>
      </c>
      <c r="M3326">
        <v>173660248</v>
      </c>
      <c r="N3326">
        <v>628399809</v>
      </c>
      <c r="O3326">
        <v>355067523</v>
      </c>
      <c r="P3326">
        <v>277</v>
      </c>
      <c r="Q3326" t="s">
        <v>6992</v>
      </c>
    </row>
    <row r="3327" spans="1:17" x14ac:dyDescent="0.3">
      <c r="A3327" t="s">
        <v>17</v>
      </c>
      <c r="B3327" t="str">
        <f>"605186"</f>
        <v>605186</v>
      </c>
      <c r="C3327" t="s">
        <v>6993</v>
      </c>
      <c r="D3327" t="s">
        <v>4171</v>
      </c>
      <c r="E3327">
        <v>-60500250</v>
      </c>
      <c r="F3327">
        <v>-51838263</v>
      </c>
      <c r="G3327">
        <v>-44991572</v>
      </c>
      <c r="P3327">
        <v>47</v>
      </c>
      <c r="Q3327" t="s">
        <v>6994</v>
      </c>
    </row>
    <row r="3328" spans="1:17" x14ac:dyDescent="0.3">
      <c r="A3328" t="s">
        <v>17</v>
      </c>
      <c r="B3328" t="str">
        <f>"603728"</f>
        <v>603728</v>
      </c>
      <c r="C3328" t="s">
        <v>6995</v>
      </c>
      <c r="D3328" t="s">
        <v>1091</v>
      </c>
      <c r="E3328">
        <v>-60543290</v>
      </c>
      <c r="F3328">
        <v>-12940318</v>
      </c>
      <c r="G3328">
        <v>48281878</v>
      </c>
      <c r="H3328">
        <v>-8603821</v>
      </c>
      <c r="I3328">
        <v>-61214775</v>
      </c>
      <c r="J3328">
        <v>-4648747</v>
      </c>
      <c r="K3328">
        <v>-16905686</v>
      </c>
      <c r="P3328">
        <v>310</v>
      </c>
      <c r="Q3328" t="s">
        <v>6996</v>
      </c>
    </row>
    <row r="3329" spans="1:17" x14ac:dyDescent="0.3">
      <c r="A3329" t="s">
        <v>33</v>
      </c>
      <c r="B3329" t="str">
        <f>"300797"</f>
        <v>300797</v>
      </c>
      <c r="C3329" t="s">
        <v>6997</v>
      </c>
      <c r="D3329" t="s">
        <v>523</v>
      </c>
      <c r="E3329">
        <v>-60570938</v>
      </c>
      <c r="F3329">
        <v>-52147416</v>
      </c>
      <c r="G3329">
        <v>-18807517</v>
      </c>
      <c r="H3329">
        <v>-27877619</v>
      </c>
      <c r="P3329">
        <v>67</v>
      </c>
      <c r="Q3329" t="s">
        <v>6998</v>
      </c>
    </row>
    <row r="3330" spans="1:17" x14ac:dyDescent="0.3">
      <c r="A3330" t="s">
        <v>33</v>
      </c>
      <c r="B3330" t="str">
        <f>"300601"</f>
        <v>300601</v>
      </c>
      <c r="C3330" t="s">
        <v>6999</v>
      </c>
      <c r="D3330" t="s">
        <v>1321</v>
      </c>
      <c r="E3330">
        <v>-60639410</v>
      </c>
      <c r="F3330">
        <v>-178179244</v>
      </c>
      <c r="G3330">
        <v>-75527694</v>
      </c>
      <c r="H3330">
        <v>-10991195</v>
      </c>
      <c r="I3330">
        <v>-6888</v>
      </c>
      <c r="J3330">
        <v>-48349900</v>
      </c>
      <c r="K3330">
        <v>-10908561</v>
      </c>
      <c r="P3330">
        <v>1384</v>
      </c>
      <c r="Q3330" t="s">
        <v>7000</v>
      </c>
    </row>
    <row r="3331" spans="1:17" x14ac:dyDescent="0.3">
      <c r="A3331" t="s">
        <v>33</v>
      </c>
      <c r="B3331" t="str">
        <f>"300597"</f>
        <v>300597</v>
      </c>
      <c r="C3331" t="s">
        <v>7001</v>
      </c>
      <c r="D3331" t="s">
        <v>4393</v>
      </c>
      <c r="E3331">
        <v>-60644424</v>
      </c>
      <c r="F3331">
        <v>-38402882</v>
      </c>
      <c r="G3331">
        <v>-27821730</v>
      </c>
      <c r="H3331">
        <v>-17197970</v>
      </c>
      <c r="I3331">
        <v>-10917683</v>
      </c>
      <c r="J3331">
        <v>-5188011</v>
      </c>
      <c r="K3331">
        <v>-12867445</v>
      </c>
      <c r="P3331">
        <v>110</v>
      </c>
      <c r="Q3331" t="s">
        <v>7002</v>
      </c>
    </row>
    <row r="3332" spans="1:17" x14ac:dyDescent="0.3">
      <c r="A3332" t="s">
        <v>33</v>
      </c>
      <c r="B3332" t="str">
        <f>"300183"</f>
        <v>300183</v>
      </c>
      <c r="C3332" t="s">
        <v>7003</v>
      </c>
      <c r="D3332" t="s">
        <v>2475</v>
      </c>
      <c r="E3332">
        <v>-60647998</v>
      </c>
      <c r="F3332">
        <v>43583230</v>
      </c>
      <c r="G3332">
        <v>74551213</v>
      </c>
      <c r="H3332">
        <v>56079323</v>
      </c>
      <c r="I3332">
        <v>15687635</v>
      </c>
      <c r="J3332">
        <v>62247795</v>
      </c>
      <c r="K3332">
        <v>34416795</v>
      </c>
      <c r="L3332">
        <v>59043902</v>
      </c>
      <c r="M3332">
        <v>58164385</v>
      </c>
      <c r="N3332">
        <v>34708935</v>
      </c>
      <c r="O3332">
        <v>33193689</v>
      </c>
      <c r="P3332">
        <v>276</v>
      </c>
      <c r="Q3332" t="s">
        <v>7004</v>
      </c>
    </row>
    <row r="3333" spans="1:17" x14ac:dyDescent="0.3">
      <c r="A3333" t="s">
        <v>33</v>
      </c>
      <c r="B3333" t="str">
        <f>"000058"</f>
        <v>000058</v>
      </c>
      <c r="C3333" t="s">
        <v>7005</v>
      </c>
      <c r="D3333" t="s">
        <v>394</v>
      </c>
      <c r="E3333">
        <v>-60846435</v>
      </c>
      <c r="F3333">
        <v>-64410695</v>
      </c>
      <c r="G3333">
        <v>-30503049</v>
      </c>
      <c r="H3333">
        <v>-10122642</v>
      </c>
      <c r="I3333">
        <v>-1165334</v>
      </c>
      <c r="J3333">
        <v>44232089</v>
      </c>
      <c r="K3333">
        <v>-30744760</v>
      </c>
      <c r="L3333">
        <v>-37829628</v>
      </c>
      <c r="M3333">
        <v>103593</v>
      </c>
      <c r="N3333">
        <v>-79128683</v>
      </c>
      <c r="O3333">
        <v>11648372</v>
      </c>
      <c r="P3333">
        <v>142</v>
      </c>
      <c r="Q3333" t="s">
        <v>7006</v>
      </c>
    </row>
    <row r="3334" spans="1:17" x14ac:dyDescent="0.3">
      <c r="A3334" t="s">
        <v>17</v>
      </c>
      <c r="B3334" t="str">
        <f>"688189"</f>
        <v>688189</v>
      </c>
      <c r="C3334" t="s">
        <v>7007</v>
      </c>
      <c r="D3334" t="s">
        <v>590</v>
      </c>
      <c r="E3334">
        <v>-61042834</v>
      </c>
      <c r="F3334">
        <v>-68941958</v>
      </c>
      <c r="G3334">
        <v>7360155</v>
      </c>
      <c r="H3334">
        <v>76238308</v>
      </c>
      <c r="P3334">
        <v>97</v>
      </c>
      <c r="Q3334" t="s">
        <v>7008</v>
      </c>
    </row>
    <row r="3335" spans="1:17" x14ac:dyDescent="0.3">
      <c r="A3335" t="s">
        <v>17</v>
      </c>
      <c r="B3335" t="str">
        <f>"603577"</f>
        <v>603577</v>
      </c>
      <c r="C3335" t="s">
        <v>7009</v>
      </c>
      <c r="D3335" t="s">
        <v>1282</v>
      </c>
      <c r="E3335">
        <v>-61101399</v>
      </c>
      <c r="F3335">
        <v>-11699169</v>
      </c>
      <c r="G3335">
        <v>-91995645</v>
      </c>
      <c r="H3335">
        <v>-14156704</v>
      </c>
      <c r="I3335">
        <v>-31200426</v>
      </c>
      <c r="J3335">
        <v>-319405250</v>
      </c>
      <c r="K3335">
        <v>-11460603</v>
      </c>
      <c r="P3335">
        <v>90</v>
      </c>
      <c r="Q3335" t="s">
        <v>7010</v>
      </c>
    </row>
    <row r="3336" spans="1:17" x14ac:dyDescent="0.3">
      <c r="A3336" t="s">
        <v>33</v>
      </c>
      <c r="B3336" t="str">
        <f>"300805"</f>
        <v>300805</v>
      </c>
      <c r="C3336" t="s">
        <v>7011</v>
      </c>
      <c r="D3336" t="s">
        <v>1125</v>
      </c>
      <c r="E3336">
        <v>-61118008</v>
      </c>
      <c r="F3336">
        <v>-39043769</v>
      </c>
      <c r="G3336">
        <v>8556405</v>
      </c>
      <c r="H3336">
        <v>-59425317</v>
      </c>
      <c r="P3336">
        <v>71</v>
      </c>
      <c r="Q3336" t="s">
        <v>7012</v>
      </c>
    </row>
    <row r="3337" spans="1:17" x14ac:dyDescent="0.3">
      <c r="A3337" t="s">
        <v>33</v>
      </c>
      <c r="B3337" t="str">
        <f>"300469"</f>
        <v>300469</v>
      </c>
      <c r="C3337" t="s">
        <v>7013</v>
      </c>
      <c r="D3337" t="s">
        <v>807</v>
      </c>
      <c r="E3337">
        <v>-61166062</v>
      </c>
      <c r="F3337">
        <v>-69162182</v>
      </c>
      <c r="G3337">
        <v>-80153584</v>
      </c>
      <c r="H3337">
        <v>-133116859</v>
      </c>
      <c r="I3337">
        <v>-138247136</v>
      </c>
      <c r="J3337">
        <v>-97397073</v>
      </c>
      <c r="K3337">
        <v>-147938224</v>
      </c>
      <c r="L3337">
        <v>-103532167</v>
      </c>
      <c r="P3337">
        <v>96</v>
      </c>
      <c r="Q3337" t="s">
        <v>7014</v>
      </c>
    </row>
    <row r="3338" spans="1:17" x14ac:dyDescent="0.3">
      <c r="A3338" t="s">
        <v>33</v>
      </c>
      <c r="B3338" t="str">
        <f>"000881"</f>
        <v>000881</v>
      </c>
      <c r="C3338" t="s">
        <v>7015</v>
      </c>
      <c r="D3338" t="s">
        <v>418</v>
      </c>
      <c r="E3338">
        <v>-61231440</v>
      </c>
      <c r="F3338">
        <v>-108547616</v>
      </c>
      <c r="G3338">
        <v>170216433</v>
      </c>
      <c r="H3338">
        <v>-178368478</v>
      </c>
      <c r="I3338">
        <v>53669316</v>
      </c>
      <c r="J3338">
        <v>-10231082</v>
      </c>
      <c r="K3338">
        <v>41890907</v>
      </c>
      <c r="L3338">
        <v>71174995</v>
      </c>
      <c r="M3338">
        <v>-510578944</v>
      </c>
      <c r="N3338">
        <v>-55368680</v>
      </c>
      <c r="O3338">
        <v>-9236267</v>
      </c>
      <c r="P3338">
        <v>169</v>
      </c>
      <c r="Q3338" t="s">
        <v>7016</v>
      </c>
    </row>
    <row r="3339" spans="1:17" x14ac:dyDescent="0.3">
      <c r="A3339" t="s">
        <v>17</v>
      </c>
      <c r="B3339" t="str">
        <f>"688228"</f>
        <v>688228</v>
      </c>
      <c r="C3339" t="s">
        <v>7017</v>
      </c>
      <c r="D3339" t="s">
        <v>508</v>
      </c>
      <c r="E3339">
        <v>-61281097</v>
      </c>
      <c r="F3339">
        <v>-54099186</v>
      </c>
      <c r="G3339">
        <v>-34592219</v>
      </c>
      <c r="H3339">
        <v>-42164231</v>
      </c>
      <c r="P3339">
        <v>93</v>
      </c>
      <c r="Q3339" t="s">
        <v>7018</v>
      </c>
    </row>
    <row r="3340" spans="1:17" x14ac:dyDescent="0.3">
      <c r="A3340" t="s">
        <v>33</v>
      </c>
      <c r="B3340" t="str">
        <f>"002717"</f>
        <v>002717</v>
      </c>
      <c r="C3340" t="s">
        <v>7019</v>
      </c>
      <c r="D3340" t="s">
        <v>2330</v>
      </c>
      <c r="E3340">
        <v>-61328790</v>
      </c>
      <c r="F3340">
        <v>-798104313</v>
      </c>
      <c r="G3340">
        <v>-444582889</v>
      </c>
      <c r="H3340">
        <v>-460815381</v>
      </c>
      <c r="I3340">
        <v>-476364530</v>
      </c>
      <c r="J3340">
        <v>-231447553</v>
      </c>
      <c r="K3340">
        <v>-53272181</v>
      </c>
      <c r="L3340">
        <v>-71217942</v>
      </c>
      <c r="M3340">
        <v>-56956508</v>
      </c>
      <c r="N3340">
        <v>-48921529</v>
      </c>
      <c r="P3340">
        <v>394</v>
      </c>
      <c r="Q3340" t="s">
        <v>7020</v>
      </c>
    </row>
    <row r="3341" spans="1:17" x14ac:dyDescent="0.3">
      <c r="A3341" t="s">
        <v>17</v>
      </c>
      <c r="B3341" t="str">
        <f>"688227"</f>
        <v>688227</v>
      </c>
      <c r="C3341" t="s">
        <v>7021</v>
      </c>
      <c r="D3341" t="s">
        <v>508</v>
      </c>
      <c r="E3341">
        <v>-61423484</v>
      </c>
      <c r="P3341">
        <v>13</v>
      </c>
      <c r="Q3341" t="s">
        <v>7022</v>
      </c>
    </row>
    <row r="3342" spans="1:17" x14ac:dyDescent="0.3">
      <c r="A3342" t="s">
        <v>17</v>
      </c>
      <c r="B3342" t="str">
        <f>"603131"</f>
        <v>603131</v>
      </c>
      <c r="C3342" t="s">
        <v>7023</v>
      </c>
      <c r="D3342" t="s">
        <v>1033</v>
      </c>
      <c r="E3342">
        <v>-61522770</v>
      </c>
      <c r="F3342">
        <v>-94403234</v>
      </c>
      <c r="G3342">
        <v>-56388699</v>
      </c>
      <c r="H3342">
        <v>-61741062</v>
      </c>
      <c r="I3342">
        <v>-58945611</v>
      </c>
      <c r="J3342">
        <v>-8297921</v>
      </c>
      <c r="K3342">
        <v>-6170300</v>
      </c>
      <c r="L3342">
        <v>-8268000</v>
      </c>
      <c r="P3342">
        <v>143</v>
      </c>
      <c r="Q3342" t="s">
        <v>7024</v>
      </c>
    </row>
    <row r="3343" spans="1:17" x14ac:dyDescent="0.3">
      <c r="A3343" t="s">
        <v>33</v>
      </c>
      <c r="B3343" t="str">
        <f>"300286"</f>
        <v>300286</v>
      </c>
      <c r="C3343" t="s">
        <v>7025</v>
      </c>
      <c r="D3343" t="s">
        <v>2128</v>
      </c>
      <c r="E3343">
        <v>-61602617</v>
      </c>
      <c r="F3343">
        <v>15033728</v>
      </c>
      <c r="G3343">
        <v>-43668073</v>
      </c>
      <c r="H3343">
        <v>20788862</v>
      </c>
      <c r="I3343">
        <v>11478638</v>
      </c>
      <c r="J3343">
        <v>12785596</v>
      </c>
      <c r="K3343">
        <v>17598932</v>
      </c>
      <c r="L3343">
        <v>13221188</v>
      </c>
      <c r="M3343">
        <v>14591342</v>
      </c>
      <c r="N3343">
        <v>15325892</v>
      </c>
      <c r="O3343">
        <v>3170570</v>
      </c>
      <c r="P3343">
        <v>272</v>
      </c>
      <c r="Q3343" t="s">
        <v>7026</v>
      </c>
    </row>
    <row r="3344" spans="1:17" x14ac:dyDescent="0.3">
      <c r="A3344" t="s">
        <v>17</v>
      </c>
      <c r="B3344" t="str">
        <f>"603977"</f>
        <v>603977</v>
      </c>
      <c r="C3344" t="s">
        <v>7027</v>
      </c>
      <c r="D3344" t="s">
        <v>1474</v>
      </c>
      <c r="E3344">
        <v>-61608011</v>
      </c>
      <c r="F3344">
        <v>-48869972</v>
      </c>
      <c r="G3344">
        <v>-161066363</v>
      </c>
      <c r="H3344">
        <v>-154180044</v>
      </c>
      <c r="I3344">
        <v>-55109122</v>
      </c>
      <c r="J3344">
        <v>-32919700</v>
      </c>
      <c r="K3344">
        <v>-26520781</v>
      </c>
      <c r="P3344">
        <v>87</v>
      </c>
      <c r="Q3344" t="s">
        <v>7028</v>
      </c>
    </row>
    <row r="3345" spans="1:17" x14ac:dyDescent="0.3">
      <c r="A3345" t="s">
        <v>33</v>
      </c>
      <c r="B3345" t="str">
        <f>"002909"</f>
        <v>002909</v>
      </c>
      <c r="C3345" t="s">
        <v>7029</v>
      </c>
      <c r="D3345" t="s">
        <v>729</v>
      </c>
      <c r="E3345">
        <v>-61720845</v>
      </c>
      <c r="F3345">
        <v>-43290098</v>
      </c>
      <c r="G3345">
        <v>-75363844</v>
      </c>
      <c r="H3345">
        <v>-85543519</v>
      </c>
      <c r="I3345">
        <v>-39059028</v>
      </c>
      <c r="J3345">
        <v>29811730</v>
      </c>
      <c r="P3345">
        <v>87</v>
      </c>
      <c r="Q3345" t="s">
        <v>7030</v>
      </c>
    </row>
    <row r="3346" spans="1:17" x14ac:dyDescent="0.3">
      <c r="A3346" t="s">
        <v>33</v>
      </c>
      <c r="B3346" t="str">
        <f>"300020"</f>
        <v>300020</v>
      </c>
      <c r="C3346" t="s">
        <v>7031</v>
      </c>
      <c r="D3346" t="s">
        <v>508</v>
      </c>
      <c r="E3346">
        <v>-61845979</v>
      </c>
      <c r="F3346">
        <v>-396391184</v>
      </c>
      <c r="G3346">
        <v>-204908842</v>
      </c>
      <c r="H3346">
        <v>-528426248</v>
      </c>
      <c r="I3346">
        <v>-219383953</v>
      </c>
      <c r="J3346">
        <v>-132171380</v>
      </c>
      <c r="K3346">
        <v>-113904383</v>
      </c>
      <c r="L3346">
        <v>-46541873</v>
      </c>
      <c r="M3346">
        <v>-156530587</v>
      </c>
      <c r="N3346">
        <v>-67214286</v>
      </c>
      <c r="O3346">
        <v>-57011789</v>
      </c>
      <c r="P3346">
        <v>237</v>
      </c>
      <c r="Q3346" t="s">
        <v>7032</v>
      </c>
    </row>
    <row r="3347" spans="1:17" x14ac:dyDescent="0.3">
      <c r="A3347" t="s">
        <v>33</v>
      </c>
      <c r="B3347" t="str">
        <f>"002591"</f>
        <v>002591</v>
      </c>
      <c r="C3347" t="s">
        <v>7033</v>
      </c>
      <c r="D3347" t="s">
        <v>1125</v>
      </c>
      <c r="E3347">
        <v>-62057827</v>
      </c>
      <c r="F3347">
        <v>11172434</v>
      </c>
      <c r="G3347">
        <v>21376590</v>
      </c>
      <c r="H3347">
        <v>8731641</v>
      </c>
      <c r="I3347">
        <v>3651390</v>
      </c>
      <c r="J3347">
        <v>-7684987</v>
      </c>
      <c r="K3347">
        <v>-4556320</v>
      </c>
      <c r="L3347">
        <v>-8547201</v>
      </c>
      <c r="M3347">
        <v>-15206995</v>
      </c>
      <c r="N3347">
        <v>-27508314</v>
      </c>
      <c r="O3347">
        <v>-8345923</v>
      </c>
      <c r="P3347">
        <v>113</v>
      </c>
      <c r="Q3347" t="s">
        <v>7034</v>
      </c>
    </row>
    <row r="3348" spans="1:17" x14ac:dyDescent="0.3">
      <c r="A3348" t="s">
        <v>33</v>
      </c>
      <c r="B3348" t="str">
        <f>"301158"</f>
        <v>301158</v>
      </c>
      <c r="C3348" t="s">
        <v>7035</v>
      </c>
      <c r="D3348" t="s">
        <v>1132</v>
      </c>
      <c r="E3348">
        <v>-62141841</v>
      </c>
      <c r="P3348">
        <v>12</v>
      </c>
      <c r="Q3348" t="s">
        <v>7036</v>
      </c>
    </row>
    <row r="3349" spans="1:17" x14ac:dyDescent="0.3">
      <c r="A3349" t="s">
        <v>33</v>
      </c>
      <c r="B3349" t="str">
        <f>"300405"</f>
        <v>300405</v>
      </c>
      <c r="C3349" t="s">
        <v>7037</v>
      </c>
      <c r="D3349" t="s">
        <v>418</v>
      </c>
      <c r="E3349">
        <v>-62206510</v>
      </c>
      <c r="F3349">
        <v>-55367280</v>
      </c>
      <c r="G3349">
        <v>-40052676</v>
      </c>
      <c r="H3349">
        <v>-76794186</v>
      </c>
      <c r="I3349">
        <v>31362638</v>
      </c>
      <c r="J3349">
        <v>-65216393</v>
      </c>
      <c r="K3349">
        <v>43930928</v>
      </c>
      <c r="L3349">
        <v>-117349403</v>
      </c>
      <c r="M3349">
        <v>-42693224</v>
      </c>
      <c r="P3349">
        <v>59</v>
      </c>
      <c r="Q3349" t="s">
        <v>7038</v>
      </c>
    </row>
    <row r="3350" spans="1:17" x14ac:dyDescent="0.3">
      <c r="A3350" t="s">
        <v>33</v>
      </c>
      <c r="B3350" t="str">
        <f>"300621"</f>
        <v>300621</v>
      </c>
      <c r="C3350" t="s">
        <v>7039</v>
      </c>
      <c r="D3350" t="s">
        <v>1779</v>
      </c>
      <c r="E3350">
        <v>-62225568</v>
      </c>
      <c r="F3350">
        <v>-35267478</v>
      </c>
      <c r="G3350">
        <v>-62347766</v>
      </c>
      <c r="H3350">
        <v>-126170774</v>
      </c>
      <c r="I3350">
        <v>29210736</v>
      </c>
      <c r="J3350">
        <v>-119849360</v>
      </c>
      <c r="K3350">
        <v>-12838116</v>
      </c>
      <c r="P3350">
        <v>56</v>
      </c>
      <c r="Q3350" t="s">
        <v>7040</v>
      </c>
    </row>
    <row r="3351" spans="1:17" x14ac:dyDescent="0.3">
      <c r="A3351" t="s">
        <v>17</v>
      </c>
      <c r="B3351" t="str">
        <f>"603556"</f>
        <v>603556</v>
      </c>
      <c r="C3351" t="s">
        <v>7041</v>
      </c>
      <c r="D3351" t="s">
        <v>2128</v>
      </c>
      <c r="E3351">
        <v>-62264329</v>
      </c>
      <c r="F3351">
        <v>4533901</v>
      </c>
      <c r="G3351">
        <v>-40557800</v>
      </c>
      <c r="H3351">
        <v>13092763</v>
      </c>
      <c r="I3351">
        <v>-19038837</v>
      </c>
      <c r="J3351">
        <v>86667585</v>
      </c>
      <c r="K3351">
        <v>77085648</v>
      </c>
      <c r="P3351">
        <v>218</v>
      </c>
      <c r="Q3351" t="s">
        <v>7042</v>
      </c>
    </row>
    <row r="3352" spans="1:17" x14ac:dyDescent="0.3">
      <c r="A3352" t="s">
        <v>17</v>
      </c>
      <c r="B3352" t="str">
        <f>"603353"</f>
        <v>603353</v>
      </c>
      <c r="C3352" t="s">
        <v>7043</v>
      </c>
      <c r="D3352" t="s">
        <v>323</v>
      </c>
      <c r="E3352">
        <v>-62545232</v>
      </c>
      <c r="F3352">
        <v>-134002151</v>
      </c>
      <c r="G3352">
        <v>62684588</v>
      </c>
      <c r="H3352">
        <v>10792803</v>
      </c>
      <c r="P3352">
        <v>103</v>
      </c>
      <c r="Q3352" t="s">
        <v>7044</v>
      </c>
    </row>
    <row r="3353" spans="1:17" x14ac:dyDescent="0.3">
      <c r="A3353" t="s">
        <v>33</v>
      </c>
      <c r="B3353" t="str">
        <f>"000036"</f>
        <v>000036</v>
      </c>
      <c r="C3353" t="s">
        <v>7045</v>
      </c>
      <c r="D3353" t="s">
        <v>167</v>
      </c>
      <c r="E3353">
        <v>-62557666</v>
      </c>
      <c r="F3353">
        <v>263314436</v>
      </c>
      <c r="G3353">
        <v>-22100033</v>
      </c>
      <c r="H3353">
        <v>-16491573</v>
      </c>
      <c r="I3353">
        <v>258145661</v>
      </c>
      <c r="J3353">
        <v>-26566832</v>
      </c>
      <c r="K3353">
        <v>902380827</v>
      </c>
      <c r="L3353">
        <v>-186182755</v>
      </c>
      <c r="M3353">
        <v>-462010671</v>
      </c>
      <c r="N3353">
        <v>-50508755</v>
      </c>
      <c r="O3353">
        <v>-42893025</v>
      </c>
      <c r="P3353">
        <v>880</v>
      </c>
      <c r="Q3353" t="s">
        <v>7046</v>
      </c>
    </row>
    <row r="3354" spans="1:17" x14ac:dyDescent="0.3">
      <c r="A3354" t="s">
        <v>17</v>
      </c>
      <c r="B3354" t="str">
        <f>"688048"</f>
        <v>688048</v>
      </c>
      <c r="C3354" t="s">
        <v>7047</v>
      </c>
      <c r="E3354">
        <v>-62678801</v>
      </c>
      <c r="P3354">
        <v>12</v>
      </c>
      <c r="Q3354" t="s">
        <v>7048</v>
      </c>
    </row>
    <row r="3355" spans="1:17" x14ac:dyDescent="0.3">
      <c r="A3355" t="s">
        <v>17</v>
      </c>
      <c r="B3355" t="str">
        <f>"600239"</f>
        <v>600239</v>
      </c>
      <c r="C3355" t="s">
        <v>7049</v>
      </c>
      <c r="D3355" t="s">
        <v>167</v>
      </c>
      <c r="E3355">
        <v>-62693531</v>
      </c>
      <c r="F3355">
        <v>1046330521</v>
      </c>
      <c r="G3355">
        <v>186526902</v>
      </c>
      <c r="H3355">
        <v>-762202672</v>
      </c>
      <c r="I3355">
        <v>-1908996788</v>
      </c>
      <c r="J3355">
        <v>-372440221</v>
      </c>
      <c r="K3355">
        <v>-660516887</v>
      </c>
      <c r="L3355">
        <v>-1522103938</v>
      </c>
      <c r="M3355">
        <v>-933506994</v>
      </c>
      <c r="N3355">
        <v>-246680965</v>
      </c>
      <c r="O3355">
        <v>-559508176</v>
      </c>
      <c r="P3355">
        <v>128</v>
      </c>
      <c r="Q3355" t="s">
        <v>7050</v>
      </c>
    </row>
    <row r="3356" spans="1:17" x14ac:dyDescent="0.3">
      <c r="A3356" t="s">
        <v>33</v>
      </c>
      <c r="B3356" t="str">
        <f>"300758"</f>
        <v>300758</v>
      </c>
      <c r="C3356" t="s">
        <v>7051</v>
      </c>
      <c r="D3356" t="s">
        <v>1341</v>
      </c>
      <c r="E3356">
        <v>-62705518</v>
      </c>
      <c r="F3356">
        <v>-8381549</v>
      </c>
      <c r="G3356">
        <v>-38115810</v>
      </c>
      <c r="H3356">
        <v>-4180341</v>
      </c>
      <c r="I3356">
        <v>-22737087</v>
      </c>
      <c r="P3356">
        <v>104</v>
      </c>
      <c r="Q3356" t="s">
        <v>7052</v>
      </c>
    </row>
    <row r="3357" spans="1:17" x14ac:dyDescent="0.3">
      <c r="A3357" t="s">
        <v>33</v>
      </c>
      <c r="B3357" t="str">
        <f>"002649"</f>
        <v>002649</v>
      </c>
      <c r="C3357" t="s">
        <v>7053</v>
      </c>
      <c r="D3357" t="s">
        <v>508</v>
      </c>
      <c r="E3357">
        <v>-62771962</v>
      </c>
      <c r="F3357">
        <v>4188552</v>
      </c>
      <c r="G3357">
        <v>32827151</v>
      </c>
      <c r="H3357">
        <v>24277757</v>
      </c>
      <c r="I3357">
        <v>-50724293</v>
      </c>
      <c r="J3357">
        <v>2238026</v>
      </c>
      <c r="K3357">
        <v>-27166466</v>
      </c>
      <c r="L3357">
        <v>-25891747</v>
      </c>
      <c r="M3357">
        <v>-38988749</v>
      </c>
      <c r="N3357">
        <v>-33842997</v>
      </c>
      <c r="O3357">
        <v>-17134995</v>
      </c>
      <c r="P3357">
        <v>273</v>
      </c>
      <c r="Q3357" t="s">
        <v>7054</v>
      </c>
    </row>
    <row r="3358" spans="1:17" x14ac:dyDescent="0.3">
      <c r="A3358" t="s">
        <v>33</v>
      </c>
      <c r="B3358" t="str">
        <f>"002891"</f>
        <v>002891</v>
      </c>
      <c r="C3358" t="s">
        <v>7055</v>
      </c>
      <c r="D3358" t="s">
        <v>7056</v>
      </c>
      <c r="E3358">
        <v>-62788556</v>
      </c>
      <c r="F3358">
        <v>-20607568</v>
      </c>
      <c r="G3358">
        <v>-25700520</v>
      </c>
      <c r="H3358">
        <v>-14771575</v>
      </c>
      <c r="I3358">
        <v>-14816721</v>
      </c>
      <c r="J3358">
        <v>36957113</v>
      </c>
      <c r="P3358">
        <v>649</v>
      </c>
      <c r="Q3358" t="s">
        <v>7057</v>
      </c>
    </row>
    <row r="3359" spans="1:17" x14ac:dyDescent="0.3">
      <c r="A3359" t="s">
        <v>33</v>
      </c>
      <c r="B3359" t="str">
        <f>"300592"</f>
        <v>300592</v>
      </c>
      <c r="C3359" t="s">
        <v>7058</v>
      </c>
      <c r="D3359" t="s">
        <v>1779</v>
      </c>
      <c r="E3359">
        <v>-63073912</v>
      </c>
      <c r="F3359">
        <v>10452710</v>
      </c>
      <c r="G3359">
        <v>12390423</v>
      </c>
      <c r="H3359">
        <v>-27386124</v>
      </c>
      <c r="I3359">
        <v>-3751746</v>
      </c>
      <c r="J3359">
        <v>-34183185</v>
      </c>
      <c r="K3359">
        <v>-41377099</v>
      </c>
      <c r="P3359">
        <v>65</v>
      </c>
      <c r="Q3359" t="s">
        <v>7059</v>
      </c>
    </row>
    <row r="3360" spans="1:17" x14ac:dyDescent="0.3">
      <c r="A3360" t="s">
        <v>17</v>
      </c>
      <c r="B3360" t="str">
        <f>"600273"</f>
        <v>600273</v>
      </c>
      <c r="C3360" t="s">
        <v>7060</v>
      </c>
      <c r="D3360" t="s">
        <v>418</v>
      </c>
      <c r="E3360">
        <v>-63082305</v>
      </c>
      <c r="F3360">
        <v>-174245110</v>
      </c>
      <c r="G3360">
        <v>108202863</v>
      </c>
      <c r="H3360">
        <v>425834799</v>
      </c>
      <c r="I3360">
        <v>32845350</v>
      </c>
      <c r="J3360">
        <v>-228794327</v>
      </c>
      <c r="K3360">
        <v>111473801</v>
      </c>
      <c r="L3360">
        <v>3241450</v>
      </c>
      <c r="M3360">
        <v>-22134641</v>
      </c>
      <c r="N3360">
        <v>-43272133</v>
      </c>
      <c r="O3360">
        <v>4489539</v>
      </c>
      <c r="P3360">
        <v>3517</v>
      </c>
      <c r="Q3360" t="s">
        <v>7061</v>
      </c>
    </row>
    <row r="3361" spans="1:17" x14ac:dyDescent="0.3">
      <c r="A3361" t="s">
        <v>33</v>
      </c>
      <c r="B3361" t="str">
        <f>"300422"</f>
        <v>300422</v>
      </c>
      <c r="C3361" t="s">
        <v>7062</v>
      </c>
      <c r="D3361" t="s">
        <v>932</v>
      </c>
      <c r="E3361">
        <v>-63220320</v>
      </c>
      <c r="F3361">
        <v>-174861682</v>
      </c>
      <c r="G3361">
        <v>-88126990</v>
      </c>
      <c r="H3361">
        <v>-110402986</v>
      </c>
      <c r="I3361">
        <v>-189018606</v>
      </c>
      <c r="J3361">
        <v>-166540173</v>
      </c>
      <c r="K3361">
        <v>-16849558</v>
      </c>
      <c r="L3361">
        <v>-58812867</v>
      </c>
      <c r="M3361">
        <v>-27347933</v>
      </c>
      <c r="P3361">
        <v>331</v>
      </c>
      <c r="Q3361" t="s">
        <v>7063</v>
      </c>
    </row>
    <row r="3362" spans="1:17" x14ac:dyDescent="0.3">
      <c r="A3362" t="s">
        <v>33</v>
      </c>
      <c r="B3362" t="str">
        <f>"000932"</f>
        <v>000932</v>
      </c>
      <c r="C3362" t="s">
        <v>7064</v>
      </c>
      <c r="D3362" t="s">
        <v>131</v>
      </c>
      <c r="E3362">
        <v>-63297171</v>
      </c>
      <c r="F3362">
        <v>-2838400251</v>
      </c>
      <c r="G3362">
        <v>-521070634</v>
      </c>
      <c r="H3362">
        <v>-345746938</v>
      </c>
      <c r="I3362">
        <v>1483541575</v>
      </c>
      <c r="J3362">
        <v>911752865</v>
      </c>
      <c r="K3362">
        <v>109778195</v>
      </c>
      <c r="L3362">
        <v>798803556</v>
      </c>
      <c r="M3362">
        <v>1473643820</v>
      </c>
      <c r="N3362">
        <v>1104922987</v>
      </c>
      <c r="O3362">
        <v>1079514939</v>
      </c>
      <c r="P3362">
        <v>1039</v>
      </c>
      <c r="Q3362" t="s">
        <v>7065</v>
      </c>
    </row>
    <row r="3363" spans="1:17" x14ac:dyDescent="0.3">
      <c r="A3363" t="s">
        <v>33</v>
      </c>
      <c r="B3363" t="str">
        <f>"300807"</f>
        <v>300807</v>
      </c>
      <c r="C3363" t="s">
        <v>7066</v>
      </c>
      <c r="D3363" t="s">
        <v>1571</v>
      </c>
      <c r="E3363">
        <v>-63324749</v>
      </c>
      <c r="F3363">
        <v>-27727892</v>
      </c>
      <c r="G3363">
        <v>-50368394</v>
      </c>
      <c r="H3363">
        <v>-59000923</v>
      </c>
      <c r="I3363">
        <v>-63844961</v>
      </c>
      <c r="P3363">
        <v>103</v>
      </c>
      <c r="Q3363" t="s">
        <v>7067</v>
      </c>
    </row>
    <row r="3364" spans="1:17" x14ac:dyDescent="0.3">
      <c r="A3364" t="s">
        <v>17</v>
      </c>
      <c r="B3364" t="str">
        <f>"603878"</f>
        <v>603878</v>
      </c>
      <c r="C3364" t="s">
        <v>7068</v>
      </c>
      <c r="D3364" t="s">
        <v>7069</v>
      </c>
      <c r="E3364">
        <v>-63541907</v>
      </c>
      <c r="F3364">
        <v>197068959</v>
      </c>
      <c r="G3364">
        <v>82538231</v>
      </c>
      <c r="H3364">
        <v>42346238</v>
      </c>
      <c r="I3364">
        <v>1157684</v>
      </c>
      <c r="J3364">
        <v>-22621837</v>
      </c>
      <c r="K3364">
        <v>155406234</v>
      </c>
      <c r="P3364">
        <v>142</v>
      </c>
      <c r="Q3364" t="s">
        <v>7070</v>
      </c>
    </row>
    <row r="3365" spans="1:17" x14ac:dyDescent="0.3">
      <c r="A3365" t="s">
        <v>33</v>
      </c>
      <c r="B3365" t="str">
        <f>"000930"</f>
        <v>000930</v>
      </c>
      <c r="C3365" t="s">
        <v>7071</v>
      </c>
      <c r="D3365" t="s">
        <v>1820</v>
      </c>
      <c r="E3365">
        <v>-63556964</v>
      </c>
      <c r="F3365">
        <v>519066471</v>
      </c>
      <c r="G3365">
        <v>-957353091</v>
      </c>
      <c r="H3365">
        <v>521826601</v>
      </c>
      <c r="I3365">
        <v>126434996</v>
      </c>
      <c r="J3365">
        <v>214538726</v>
      </c>
      <c r="K3365">
        <v>111254834</v>
      </c>
      <c r="L3365">
        <v>-392101330</v>
      </c>
      <c r="M3365">
        <v>-7157297</v>
      </c>
      <c r="N3365">
        <v>-175789986</v>
      </c>
      <c r="O3365">
        <v>-244658848</v>
      </c>
      <c r="P3365">
        <v>378</v>
      </c>
      <c r="Q3365" t="s">
        <v>7072</v>
      </c>
    </row>
    <row r="3366" spans="1:17" x14ac:dyDescent="0.3">
      <c r="A3366" t="s">
        <v>33</v>
      </c>
      <c r="B3366" t="str">
        <f>"300531"</f>
        <v>300531</v>
      </c>
      <c r="C3366" t="s">
        <v>7073</v>
      </c>
      <c r="D3366" t="s">
        <v>1571</v>
      </c>
      <c r="E3366">
        <v>-63608128</v>
      </c>
      <c r="F3366">
        <v>28044629</v>
      </c>
      <c r="G3366">
        <v>-19410886</v>
      </c>
      <c r="H3366">
        <v>7980062</v>
      </c>
      <c r="I3366">
        <v>-3487097</v>
      </c>
      <c r="J3366">
        <v>-1094519</v>
      </c>
      <c r="K3366">
        <v>-26657046</v>
      </c>
      <c r="P3366">
        <v>173</v>
      </c>
      <c r="Q3366" t="s">
        <v>7074</v>
      </c>
    </row>
    <row r="3367" spans="1:17" x14ac:dyDescent="0.3">
      <c r="A3367" t="s">
        <v>33</v>
      </c>
      <c r="B3367" t="str">
        <f>"000888"</f>
        <v>000888</v>
      </c>
      <c r="C3367" t="s">
        <v>7075</v>
      </c>
      <c r="D3367" t="s">
        <v>5307</v>
      </c>
      <c r="E3367">
        <v>-63614432</v>
      </c>
      <c r="F3367">
        <v>-51152386</v>
      </c>
      <c r="G3367">
        <v>-113768674</v>
      </c>
      <c r="H3367">
        <v>57877293</v>
      </c>
      <c r="I3367">
        <v>36694282</v>
      </c>
      <c r="J3367">
        <v>9443112</v>
      </c>
      <c r="K3367">
        <v>3571438</v>
      </c>
      <c r="L3367">
        <v>-4740757</v>
      </c>
      <c r="M3367">
        <v>-13973236</v>
      </c>
      <c r="N3367">
        <v>-21775290</v>
      </c>
      <c r="O3367">
        <v>-25729880</v>
      </c>
      <c r="P3367">
        <v>218</v>
      </c>
      <c r="Q3367" t="s">
        <v>7076</v>
      </c>
    </row>
    <row r="3368" spans="1:17" x14ac:dyDescent="0.3">
      <c r="A3368" t="s">
        <v>33</v>
      </c>
      <c r="B3368" t="str">
        <f>"002792"</f>
        <v>002792</v>
      </c>
      <c r="C3368" t="s">
        <v>7077</v>
      </c>
      <c r="D3368" t="s">
        <v>461</v>
      </c>
      <c r="E3368">
        <v>-63675631</v>
      </c>
      <c r="F3368">
        <v>137079083</v>
      </c>
      <c r="G3368">
        <v>84689299</v>
      </c>
      <c r="H3368">
        <v>-70662862</v>
      </c>
      <c r="I3368">
        <v>-111608646</v>
      </c>
      <c r="J3368">
        <v>1724798</v>
      </c>
      <c r="K3368">
        <v>-68548304</v>
      </c>
      <c r="L3368">
        <v>43192617</v>
      </c>
      <c r="P3368">
        <v>343</v>
      </c>
      <c r="Q3368" t="s">
        <v>7078</v>
      </c>
    </row>
    <row r="3369" spans="1:17" x14ac:dyDescent="0.3">
      <c r="A3369" t="s">
        <v>33</v>
      </c>
      <c r="B3369" t="str">
        <f>"002877"</f>
        <v>002877</v>
      </c>
      <c r="C3369" t="s">
        <v>7079</v>
      </c>
      <c r="D3369" t="s">
        <v>164</v>
      </c>
      <c r="E3369">
        <v>-63746771</v>
      </c>
      <c r="F3369">
        <v>-31259841</v>
      </c>
      <c r="G3369">
        <v>-44957299</v>
      </c>
      <c r="H3369">
        <v>-26387114</v>
      </c>
      <c r="I3369">
        <v>-10487462</v>
      </c>
      <c r="J3369">
        <v>-11573579</v>
      </c>
      <c r="K3369">
        <v>5654096</v>
      </c>
      <c r="P3369">
        <v>100</v>
      </c>
      <c r="Q3369" t="s">
        <v>7080</v>
      </c>
    </row>
    <row r="3370" spans="1:17" x14ac:dyDescent="0.3">
      <c r="A3370" t="s">
        <v>17</v>
      </c>
      <c r="B3370" t="str">
        <f>"688004"</f>
        <v>688004</v>
      </c>
      <c r="C3370" t="s">
        <v>7081</v>
      </c>
      <c r="D3370" t="s">
        <v>508</v>
      </c>
      <c r="E3370">
        <v>-63926168</v>
      </c>
      <c r="F3370">
        <v>-51512432</v>
      </c>
      <c r="G3370">
        <v>-56635434</v>
      </c>
      <c r="P3370">
        <v>37</v>
      </c>
      <c r="Q3370" t="s">
        <v>7082</v>
      </c>
    </row>
    <row r="3371" spans="1:17" x14ac:dyDescent="0.3">
      <c r="A3371" t="s">
        <v>17</v>
      </c>
      <c r="B3371" t="str">
        <f>"603070"</f>
        <v>603070</v>
      </c>
      <c r="C3371" t="s">
        <v>7083</v>
      </c>
      <c r="E3371">
        <v>-64017033</v>
      </c>
      <c r="P3371">
        <v>10</v>
      </c>
      <c r="Q3371" t="s">
        <v>7084</v>
      </c>
    </row>
    <row r="3372" spans="1:17" x14ac:dyDescent="0.3">
      <c r="A3372" t="s">
        <v>17</v>
      </c>
      <c r="B3372" t="str">
        <f>"605077"</f>
        <v>605077</v>
      </c>
      <c r="C3372" t="s">
        <v>7085</v>
      </c>
      <c r="D3372" t="s">
        <v>1028</v>
      </c>
      <c r="E3372">
        <v>-64061485</v>
      </c>
      <c r="F3372">
        <v>3329316</v>
      </c>
      <c r="G3372">
        <v>81267065</v>
      </c>
      <c r="P3372">
        <v>88</v>
      </c>
      <c r="Q3372" t="s">
        <v>7086</v>
      </c>
    </row>
    <row r="3373" spans="1:17" x14ac:dyDescent="0.3">
      <c r="A3373" t="s">
        <v>33</v>
      </c>
      <c r="B3373" t="str">
        <f>"301010"</f>
        <v>301010</v>
      </c>
      <c r="C3373" t="s">
        <v>7087</v>
      </c>
      <c r="D3373" t="s">
        <v>2632</v>
      </c>
      <c r="E3373">
        <v>-64119031</v>
      </c>
      <c r="F3373">
        <v>-44656520</v>
      </c>
      <c r="G3373">
        <v>-27809982</v>
      </c>
      <c r="P3373">
        <v>33</v>
      </c>
      <c r="Q3373" t="s">
        <v>7088</v>
      </c>
    </row>
    <row r="3374" spans="1:17" x14ac:dyDescent="0.3">
      <c r="A3374" t="s">
        <v>33</v>
      </c>
      <c r="B3374" t="str">
        <f>"300860"</f>
        <v>300860</v>
      </c>
      <c r="C3374" t="s">
        <v>7089</v>
      </c>
      <c r="D3374" t="s">
        <v>2458</v>
      </c>
      <c r="E3374">
        <v>-64153854</v>
      </c>
      <c r="F3374">
        <v>-77728481</v>
      </c>
      <c r="G3374">
        <v>-26733706</v>
      </c>
      <c r="P3374">
        <v>95</v>
      </c>
      <c r="Q3374" t="s">
        <v>7090</v>
      </c>
    </row>
    <row r="3375" spans="1:17" x14ac:dyDescent="0.3">
      <c r="A3375" t="s">
        <v>33</v>
      </c>
      <c r="B3375" t="str">
        <f>"300815"</f>
        <v>300815</v>
      </c>
      <c r="C3375" t="s">
        <v>7091</v>
      </c>
      <c r="D3375" t="s">
        <v>897</v>
      </c>
      <c r="E3375">
        <v>-64226092</v>
      </c>
      <c r="F3375">
        <v>31463189</v>
      </c>
      <c r="G3375">
        <v>-37649131</v>
      </c>
      <c r="H3375">
        <v>12359139</v>
      </c>
      <c r="P3375">
        <v>345</v>
      </c>
      <c r="Q3375" t="s">
        <v>7092</v>
      </c>
    </row>
    <row r="3376" spans="1:17" x14ac:dyDescent="0.3">
      <c r="A3376" t="s">
        <v>33</v>
      </c>
      <c r="B3376" t="str">
        <f>"300379"</f>
        <v>300379</v>
      </c>
      <c r="C3376" t="s">
        <v>7093</v>
      </c>
      <c r="D3376" t="s">
        <v>807</v>
      </c>
      <c r="E3376">
        <v>-64350976</v>
      </c>
      <c r="F3376">
        <v>-18141195</v>
      </c>
      <c r="G3376">
        <v>-36008408</v>
      </c>
      <c r="H3376">
        <v>-56267068</v>
      </c>
      <c r="I3376">
        <v>-23445300</v>
      </c>
      <c r="J3376">
        <v>-21757521</v>
      </c>
      <c r="K3376">
        <v>11423195</v>
      </c>
      <c r="L3376">
        <v>5214650</v>
      </c>
      <c r="M3376">
        <v>-23786641</v>
      </c>
      <c r="N3376">
        <v>-10762871</v>
      </c>
      <c r="P3376">
        <v>395</v>
      </c>
      <c r="Q3376" t="s">
        <v>7094</v>
      </c>
    </row>
    <row r="3377" spans="1:17" x14ac:dyDescent="0.3">
      <c r="A3377" t="s">
        <v>33</v>
      </c>
      <c r="B3377" t="str">
        <f>"300437"</f>
        <v>300437</v>
      </c>
      <c r="C3377" t="s">
        <v>7095</v>
      </c>
      <c r="D3377" t="s">
        <v>932</v>
      </c>
      <c r="E3377">
        <v>-64360592</v>
      </c>
      <c r="F3377">
        <v>44168951</v>
      </c>
      <c r="G3377">
        <v>-23336677</v>
      </c>
      <c r="H3377">
        <v>-58632950</v>
      </c>
      <c r="I3377">
        <v>-131957762</v>
      </c>
      <c r="J3377">
        <v>-41097830</v>
      </c>
      <c r="K3377">
        <v>-9253820</v>
      </c>
      <c r="L3377">
        <v>-12510717</v>
      </c>
      <c r="M3377">
        <v>-23140992</v>
      </c>
      <c r="P3377">
        <v>143</v>
      </c>
      <c r="Q3377" t="s">
        <v>7096</v>
      </c>
    </row>
    <row r="3378" spans="1:17" x14ac:dyDescent="0.3">
      <c r="A3378" t="s">
        <v>33</v>
      </c>
      <c r="B3378" t="str">
        <f>"002502"</f>
        <v>002502</v>
      </c>
      <c r="C3378" t="s">
        <v>7097</v>
      </c>
      <c r="D3378" t="s">
        <v>314</v>
      </c>
      <c r="E3378">
        <v>-64373049</v>
      </c>
      <c r="F3378">
        <v>-113692492</v>
      </c>
      <c r="G3378">
        <v>122506536</v>
      </c>
      <c r="H3378">
        <v>-81496234</v>
      </c>
      <c r="I3378">
        <v>-79466256</v>
      </c>
      <c r="J3378">
        <v>-5245198</v>
      </c>
      <c r="K3378">
        <v>-74349374</v>
      </c>
      <c r="L3378">
        <v>-27865350</v>
      </c>
      <c r="M3378">
        <v>1677225</v>
      </c>
      <c r="N3378">
        <v>-18753541</v>
      </c>
      <c r="O3378">
        <v>-14408158</v>
      </c>
      <c r="P3378">
        <v>117</v>
      </c>
      <c r="Q3378" t="s">
        <v>7098</v>
      </c>
    </row>
    <row r="3379" spans="1:17" x14ac:dyDescent="0.3">
      <c r="A3379" t="s">
        <v>33</v>
      </c>
      <c r="B3379" t="str">
        <f>"000545"</f>
        <v>000545</v>
      </c>
      <c r="C3379" t="s">
        <v>7099</v>
      </c>
      <c r="D3379" t="s">
        <v>817</v>
      </c>
      <c r="E3379">
        <v>-64846833</v>
      </c>
      <c r="F3379">
        <v>-106744366</v>
      </c>
      <c r="G3379">
        <v>-55376795</v>
      </c>
      <c r="H3379">
        <v>30798027</v>
      </c>
      <c r="I3379">
        <v>-180905638</v>
      </c>
      <c r="J3379">
        <v>8746662</v>
      </c>
      <c r="K3379">
        <v>-45589047</v>
      </c>
      <c r="L3379">
        <v>23062243</v>
      </c>
      <c r="M3379">
        <v>-31921357</v>
      </c>
      <c r="N3379">
        <v>-87253</v>
      </c>
      <c r="O3379">
        <v>1727640</v>
      </c>
      <c r="P3379">
        <v>106</v>
      </c>
      <c r="Q3379" t="s">
        <v>7100</v>
      </c>
    </row>
    <row r="3380" spans="1:17" x14ac:dyDescent="0.3">
      <c r="A3380" t="s">
        <v>33</v>
      </c>
      <c r="B3380" t="str">
        <f>"000615"</f>
        <v>000615</v>
      </c>
      <c r="C3380" t="s">
        <v>7101</v>
      </c>
      <c r="D3380" t="s">
        <v>7102</v>
      </c>
      <c r="E3380">
        <v>-64848599</v>
      </c>
      <c r="F3380">
        <v>-121247879</v>
      </c>
      <c r="G3380">
        <v>-92519230</v>
      </c>
      <c r="H3380">
        <v>49005636</v>
      </c>
      <c r="I3380">
        <v>-121365532</v>
      </c>
      <c r="J3380">
        <v>61032157</v>
      </c>
      <c r="K3380">
        <v>514795579</v>
      </c>
      <c r="L3380">
        <v>-73017381</v>
      </c>
      <c r="M3380">
        <v>68971637</v>
      </c>
      <c r="N3380">
        <v>650939</v>
      </c>
      <c r="O3380">
        <v>-69325807</v>
      </c>
      <c r="P3380">
        <v>188</v>
      </c>
      <c r="Q3380" t="s">
        <v>7103</v>
      </c>
    </row>
    <row r="3381" spans="1:17" x14ac:dyDescent="0.3">
      <c r="A3381" t="s">
        <v>33</v>
      </c>
      <c r="B3381" t="str">
        <f>"002188"</f>
        <v>002188</v>
      </c>
      <c r="C3381" t="s">
        <v>7104</v>
      </c>
      <c r="D3381" t="s">
        <v>1125</v>
      </c>
      <c r="E3381">
        <v>-64879895</v>
      </c>
      <c r="F3381">
        <v>476892</v>
      </c>
      <c r="G3381">
        <v>20000644</v>
      </c>
      <c r="H3381">
        <v>-16965550</v>
      </c>
      <c r="I3381">
        <v>-23005405</v>
      </c>
      <c r="J3381">
        <v>8898356</v>
      </c>
      <c r="K3381">
        <v>-31239596</v>
      </c>
      <c r="L3381">
        <v>-6295908</v>
      </c>
      <c r="M3381">
        <v>-4264855</v>
      </c>
      <c r="N3381">
        <v>-4398857</v>
      </c>
      <c r="O3381">
        <v>13423032</v>
      </c>
      <c r="P3381">
        <v>69</v>
      </c>
      <c r="Q3381" t="s">
        <v>7105</v>
      </c>
    </row>
    <row r="3382" spans="1:17" x14ac:dyDescent="0.3">
      <c r="A3382" t="s">
        <v>33</v>
      </c>
      <c r="B3382" t="str">
        <f>"002492"</f>
        <v>002492</v>
      </c>
      <c r="C3382" t="s">
        <v>7106</v>
      </c>
      <c r="D3382" t="s">
        <v>1664</v>
      </c>
      <c r="E3382">
        <v>-65104706</v>
      </c>
      <c r="F3382">
        <v>80494898</v>
      </c>
      <c r="G3382">
        <v>27640351</v>
      </c>
      <c r="H3382">
        <v>6483817</v>
      </c>
      <c r="I3382">
        <v>30568419</v>
      </c>
      <c r="J3382">
        <v>13929551</v>
      </c>
      <c r="K3382">
        <v>10325122</v>
      </c>
      <c r="L3382">
        <v>8113006</v>
      </c>
      <c r="M3382">
        <v>21340411</v>
      </c>
      <c r="N3382">
        <v>14693689</v>
      </c>
      <c r="O3382">
        <v>23896514</v>
      </c>
      <c r="P3382">
        <v>94</v>
      </c>
      <c r="Q3382" t="s">
        <v>7107</v>
      </c>
    </row>
    <row r="3383" spans="1:17" x14ac:dyDescent="0.3">
      <c r="A3383" t="s">
        <v>33</v>
      </c>
      <c r="B3383" t="str">
        <f>"300949"</f>
        <v>300949</v>
      </c>
      <c r="C3383" t="s">
        <v>7108</v>
      </c>
      <c r="D3383" t="s">
        <v>2330</v>
      </c>
      <c r="E3383">
        <v>-65106851</v>
      </c>
      <c r="F3383">
        <v>-49767925</v>
      </c>
      <c r="G3383">
        <v>-33138010</v>
      </c>
      <c r="P3383">
        <v>39</v>
      </c>
      <c r="Q3383" t="s">
        <v>7109</v>
      </c>
    </row>
    <row r="3384" spans="1:17" x14ac:dyDescent="0.3">
      <c r="A3384" t="s">
        <v>33</v>
      </c>
      <c r="B3384" t="str">
        <f>"300806"</f>
        <v>300806</v>
      </c>
      <c r="C3384" t="s">
        <v>7110</v>
      </c>
      <c r="D3384" t="s">
        <v>1734</v>
      </c>
      <c r="E3384">
        <v>-65117739</v>
      </c>
      <c r="F3384">
        <v>54881626</v>
      </c>
      <c r="G3384">
        <v>28694237</v>
      </c>
      <c r="H3384">
        <v>39555655</v>
      </c>
      <c r="P3384">
        <v>168</v>
      </c>
      <c r="Q3384" t="s">
        <v>7111</v>
      </c>
    </row>
    <row r="3385" spans="1:17" x14ac:dyDescent="0.3">
      <c r="A3385" t="s">
        <v>33</v>
      </c>
      <c r="B3385" t="str">
        <f>"002875"</f>
        <v>002875</v>
      </c>
      <c r="C3385" t="s">
        <v>7112</v>
      </c>
      <c r="D3385" t="s">
        <v>581</v>
      </c>
      <c r="E3385">
        <v>-65132490</v>
      </c>
      <c r="F3385">
        <v>64595128</v>
      </c>
      <c r="G3385">
        <v>12560634</v>
      </c>
      <c r="H3385">
        <v>-66855084</v>
      </c>
      <c r="I3385">
        <v>-6905478</v>
      </c>
      <c r="J3385">
        <v>9359300</v>
      </c>
      <c r="K3385">
        <v>-23049800</v>
      </c>
      <c r="P3385">
        <v>92</v>
      </c>
      <c r="Q3385" t="s">
        <v>7113</v>
      </c>
    </row>
    <row r="3386" spans="1:17" x14ac:dyDescent="0.3">
      <c r="A3386" t="s">
        <v>33</v>
      </c>
      <c r="B3386" t="str">
        <f>"002830"</f>
        <v>002830</v>
      </c>
      <c r="C3386" t="s">
        <v>7114</v>
      </c>
      <c r="D3386" t="s">
        <v>1779</v>
      </c>
      <c r="E3386">
        <v>-65253787</v>
      </c>
      <c r="F3386">
        <v>-32715068</v>
      </c>
      <c r="G3386">
        <v>-105375748</v>
      </c>
      <c r="H3386">
        <v>-53124487</v>
      </c>
      <c r="I3386">
        <v>-50168621</v>
      </c>
      <c r="J3386">
        <v>-24603697</v>
      </c>
      <c r="K3386">
        <v>-54338743</v>
      </c>
      <c r="P3386">
        <v>78</v>
      </c>
      <c r="Q3386" t="s">
        <v>7115</v>
      </c>
    </row>
    <row r="3387" spans="1:17" x14ac:dyDescent="0.3">
      <c r="A3387" t="s">
        <v>33</v>
      </c>
      <c r="B3387" t="str">
        <f>"000685"</f>
        <v>000685</v>
      </c>
      <c r="C3387" t="s">
        <v>7116</v>
      </c>
      <c r="D3387" t="s">
        <v>932</v>
      </c>
      <c r="E3387">
        <v>-65469795</v>
      </c>
      <c r="F3387">
        <v>105316497</v>
      </c>
      <c r="G3387">
        <v>-31875701</v>
      </c>
      <c r="H3387">
        <v>-45361871</v>
      </c>
      <c r="I3387">
        <v>182201396</v>
      </c>
      <c r="J3387">
        <v>55940204</v>
      </c>
      <c r="K3387">
        <v>61478038</v>
      </c>
      <c r="L3387">
        <v>50989076</v>
      </c>
      <c r="M3387">
        <v>13502739</v>
      </c>
      <c r="N3387">
        <v>14125698</v>
      </c>
      <c r="O3387">
        <v>34787660</v>
      </c>
      <c r="P3387">
        <v>511</v>
      </c>
      <c r="Q3387" t="s">
        <v>7117</v>
      </c>
    </row>
    <row r="3388" spans="1:17" x14ac:dyDescent="0.3">
      <c r="A3388" t="s">
        <v>33</v>
      </c>
      <c r="B3388" t="str">
        <f>"300882"</f>
        <v>300882</v>
      </c>
      <c r="C3388" t="s">
        <v>7118</v>
      </c>
      <c r="D3388" t="s">
        <v>2128</v>
      </c>
      <c r="E3388">
        <v>-65643057</v>
      </c>
      <c r="F3388">
        <v>-29822666</v>
      </c>
      <c r="G3388">
        <v>-46656796</v>
      </c>
      <c r="P3388">
        <v>41</v>
      </c>
      <c r="Q3388" t="s">
        <v>7119</v>
      </c>
    </row>
    <row r="3389" spans="1:17" x14ac:dyDescent="0.3">
      <c r="A3389" t="s">
        <v>33</v>
      </c>
      <c r="B3389" t="str">
        <f>"300678"</f>
        <v>300678</v>
      </c>
      <c r="C3389" t="s">
        <v>7120</v>
      </c>
      <c r="D3389" t="s">
        <v>508</v>
      </c>
      <c r="E3389">
        <v>-65698961</v>
      </c>
      <c r="F3389">
        <v>-29655265</v>
      </c>
      <c r="G3389">
        <v>-43883921</v>
      </c>
      <c r="H3389">
        <v>-39014694</v>
      </c>
      <c r="I3389">
        <v>-24934666</v>
      </c>
      <c r="J3389">
        <v>-43170782</v>
      </c>
      <c r="K3389">
        <v>-36620998</v>
      </c>
      <c r="P3389">
        <v>105</v>
      </c>
      <c r="Q3389" t="s">
        <v>7121</v>
      </c>
    </row>
    <row r="3390" spans="1:17" x14ac:dyDescent="0.3">
      <c r="A3390" t="s">
        <v>17</v>
      </c>
      <c r="B3390" t="str">
        <f>"688585"</f>
        <v>688585</v>
      </c>
      <c r="C3390" t="s">
        <v>7122</v>
      </c>
      <c r="D3390" t="s">
        <v>1817</v>
      </c>
      <c r="E3390">
        <v>-65715585</v>
      </c>
      <c r="F3390">
        <v>-121000487</v>
      </c>
      <c r="G3390">
        <v>-27404646</v>
      </c>
      <c r="H3390">
        <v>3003300</v>
      </c>
      <c r="P3390">
        <v>26</v>
      </c>
      <c r="Q3390" t="s">
        <v>7123</v>
      </c>
    </row>
    <row r="3391" spans="1:17" x14ac:dyDescent="0.3">
      <c r="A3391" t="s">
        <v>17</v>
      </c>
      <c r="B3391" t="str">
        <f>"603042"</f>
        <v>603042</v>
      </c>
      <c r="C3391" t="s">
        <v>7124</v>
      </c>
      <c r="D3391" t="s">
        <v>1302</v>
      </c>
      <c r="E3391">
        <v>-65763575</v>
      </c>
      <c r="F3391">
        <v>-77269913</v>
      </c>
      <c r="G3391">
        <v>-209895446</v>
      </c>
      <c r="H3391">
        <v>-115274409</v>
      </c>
      <c r="I3391">
        <v>-129939762</v>
      </c>
      <c r="J3391">
        <v>-108439600</v>
      </c>
      <c r="K3391">
        <v>-28241800</v>
      </c>
      <c r="P3391">
        <v>122</v>
      </c>
      <c r="Q3391" t="s">
        <v>7125</v>
      </c>
    </row>
    <row r="3392" spans="1:17" x14ac:dyDescent="0.3">
      <c r="A3392" t="s">
        <v>33</v>
      </c>
      <c r="B3392" t="str">
        <f>"300941"</f>
        <v>300941</v>
      </c>
      <c r="C3392" t="s">
        <v>7126</v>
      </c>
      <c r="D3392" t="s">
        <v>1571</v>
      </c>
      <c r="E3392">
        <v>-65806993</v>
      </c>
      <c r="F3392">
        <v>-98952638</v>
      </c>
      <c r="G3392">
        <v>-93979943</v>
      </c>
      <c r="H3392">
        <v>-45318801</v>
      </c>
      <c r="I3392">
        <v>-69461648</v>
      </c>
      <c r="P3392">
        <v>69</v>
      </c>
      <c r="Q3392" t="s">
        <v>7127</v>
      </c>
    </row>
    <row r="3393" spans="1:17" x14ac:dyDescent="0.3">
      <c r="A3393" t="s">
        <v>33</v>
      </c>
      <c r="B3393" t="str">
        <f>"002364"</f>
        <v>002364</v>
      </c>
      <c r="C3393" t="s">
        <v>7128</v>
      </c>
      <c r="D3393" t="s">
        <v>2956</v>
      </c>
      <c r="E3393">
        <v>-65923166</v>
      </c>
      <c r="F3393">
        <v>-123235794</v>
      </c>
      <c r="G3393">
        <v>-64590365</v>
      </c>
      <c r="H3393">
        <v>-53311316</v>
      </c>
      <c r="I3393">
        <v>-66195823</v>
      </c>
      <c r="J3393">
        <v>-22636557</v>
      </c>
      <c r="K3393">
        <v>-73610748</v>
      </c>
      <c r="L3393">
        <v>-20757854</v>
      </c>
      <c r="M3393">
        <v>-8775354</v>
      </c>
      <c r="N3393">
        <v>-47448608</v>
      </c>
      <c r="O3393">
        <v>-17122733</v>
      </c>
      <c r="P3393">
        <v>219</v>
      </c>
      <c r="Q3393" t="s">
        <v>7129</v>
      </c>
    </row>
    <row r="3394" spans="1:17" x14ac:dyDescent="0.3">
      <c r="A3394" t="s">
        <v>33</v>
      </c>
      <c r="B3394" t="str">
        <f>"000045"</f>
        <v>000045</v>
      </c>
      <c r="C3394" t="s">
        <v>7130</v>
      </c>
      <c r="D3394" t="s">
        <v>102</v>
      </c>
      <c r="E3394">
        <v>-65966923</v>
      </c>
      <c r="F3394">
        <v>-75288004</v>
      </c>
      <c r="G3394">
        <v>-84585232</v>
      </c>
      <c r="H3394">
        <v>23567172</v>
      </c>
      <c r="I3394">
        <v>-35263574</v>
      </c>
      <c r="J3394">
        <v>-185774959</v>
      </c>
      <c r="K3394">
        <v>-23635240</v>
      </c>
      <c r="L3394">
        <v>42290099</v>
      </c>
      <c r="M3394">
        <v>-2642086</v>
      </c>
      <c r="N3394">
        <v>-33554913</v>
      </c>
      <c r="O3394">
        <v>8355964</v>
      </c>
      <c r="P3394">
        <v>86</v>
      </c>
      <c r="Q3394" t="s">
        <v>7131</v>
      </c>
    </row>
    <row r="3395" spans="1:17" x14ac:dyDescent="0.3">
      <c r="A3395" t="s">
        <v>17</v>
      </c>
      <c r="B3395" t="str">
        <f>"603530"</f>
        <v>603530</v>
      </c>
      <c r="C3395" t="s">
        <v>7132</v>
      </c>
      <c r="D3395" t="s">
        <v>1282</v>
      </c>
      <c r="E3395">
        <v>-66135039</v>
      </c>
      <c r="F3395">
        <v>-6859914</v>
      </c>
      <c r="G3395">
        <v>-5268186</v>
      </c>
      <c r="H3395">
        <v>47875899</v>
      </c>
      <c r="P3395">
        <v>88</v>
      </c>
      <c r="Q3395" t="s">
        <v>7133</v>
      </c>
    </row>
    <row r="3396" spans="1:17" x14ac:dyDescent="0.3">
      <c r="A3396" t="s">
        <v>33</v>
      </c>
      <c r="B3396" t="str">
        <f>"301217"</f>
        <v>301217</v>
      </c>
      <c r="C3396" t="s">
        <v>7134</v>
      </c>
      <c r="E3396">
        <v>-66357358</v>
      </c>
      <c r="P3396">
        <v>16</v>
      </c>
      <c r="Q3396" t="s">
        <v>7135</v>
      </c>
    </row>
    <row r="3397" spans="1:17" x14ac:dyDescent="0.3">
      <c r="A3397" t="s">
        <v>17</v>
      </c>
      <c r="B3397" t="str">
        <f>"605488"</f>
        <v>605488</v>
      </c>
      <c r="C3397" t="s">
        <v>7136</v>
      </c>
      <c r="D3397" t="s">
        <v>1483</v>
      </c>
      <c r="E3397">
        <v>-66389967</v>
      </c>
      <c r="F3397">
        <v>-19584582</v>
      </c>
      <c r="G3397">
        <v>28359693</v>
      </c>
      <c r="P3397">
        <v>28</v>
      </c>
      <c r="Q3397" t="s">
        <v>7137</v>
      </c>
    </row>
    <row r="3398" spans="1:17" x14ac:dyDescent="0.3">
      <c r="A3398" t="s">
        <v>17</v>
      </c>
      <c r="B3398" t="str">
        <f>"601778"</f>
        <v>601778</v>
      </c>
      <c r="C3398" t="s">
        <v>7138</v>
      </c>
      <c r="D3398" t="s">
        <v>1007</v>
      </c>
      <c r="E3398">
        <v>-66402599</v>
      </c>
      <c r="F3398">
        <v>-25597725</v>
      </c>
      <c r="G3398">
        <v>25328267</v>
      </c>
      <c r="H3398">
        <v>30310747</v>
      </c>
      <c r="P3398">
        <v>221</v>
      </c>
      <c r="Q3398" t="s">
        <v>7139</v>
      </c>
    </row>
    <row r="3399" spans="1:17" x14ac:dyDescent="0.3">
      <c r="A3399" t="s">
        <v>17</v>
      </c>
      <c r="B3399" t="str">
        <f>"603186"</f>
        <v>603186</v>
      </c>
      <c r="C3399" t="s">
        <v>7140</v>
      </c>
      <c r="D3399" t="s">
        <v>239</v>
      </c>
      <c r="E3399">
        <v>-66715793</v>
      </c>
      <c r="F3399">
        <v>85378403</v>
      </c>
      <c r="G3399">
        <v>12191163</v>
      </c>
      <c r="H3399">
        <v>23468120</v>
      </c>
      <c r="I3399">
        <v>-41293608</v>
      </c>
      <c r="J3399">
        <v>-13093797</v>
      </c>
      <c r="K3399">
        <v>-30902531</v>
      </c>
      <c r="P3399">
        <v>328</v>
      </c>
      <c r="Q3399" t="s">
        <v>7141</v>
      </c>
    </row>
    <row r="3400" spans="1:17" x14ac:dyDescent="0.3">
      <c r="A3400" t="s">
        <v>17</v>
      </c>
      <c r="B3400" t="str">
        <f>"603983"</f>
        <v>603983</v>
      </c>
      <c r="C3400" t="s">
        <v>7142</v>
      </c>
      <c r="D3400" t="s">
        <v>810</v>
      </c>
      <c r="E3400">
        <v>-66727953</v>
      </c>
      <c r="F3400">
        <v>-61623163</v>
      </c>
      <c r="G3400">
        <v>-18284168</v>
      </c>
      <c r="H3400">
        <v>46989837</v>
      </c>
      <c r="I3400">
        <v>83047373</v>
      </c>
      <c r="P3400">
        <v>898</v>
      </c>
      <c r="Q3400" t="s">
        <v>7143</v>
      </c>
    </row>
    <row r="3401" spans="1:17" x14ac:dyDescent="0.3">
      <c r="A3401" t="s">
        <v>17</v>
      </c>
      <c r="B3401" t="str">
        <f>"603496"</f>
        <v>603496</v>
      </c>
      <c r="C3401" t="s">
        <v>7144</v>
      </c>
      <c r="D3401" t="s">
        <v>1571</v>
      </c>
      <c r="E3401">
        <v>-66834890</v>
      </c>
      <c r="F3401">
        <v>-83246690</v>
      </c>
      <c r="G3401">
        <v>-18563259</v>
      </c>
      <c r="H3401">
        <v>-429477</v>
      </c>
      <c r="I3401">
        <v>-29606843</v>
      </c>
      <c r="J3401">
        <v>-11345638</v>
      </c>
      <c r="P3401">
        <v>194</v>
      </c>
      <c r="Q3401" t="s">
        <v>7145</v>
      </c>
    </row>
    <row r="3402" spans="1:17" x14ac:dyDescent="0.3">
      <c r="A3402" t="s">
        <v>33</v>
      </c>
      <c r="B3402" t="str">
        <f>"000541"</f>
        <v>000541</v>
      </c>
      <c r="C3402" t="s">
        <v>7146</v>
      </c>
      <c r="D3402" t="s">
        <v>1955</v>
      </c>
      <c r="E3402">
        <v>-66973530</v>
      </c>
      <c r="F3402">
        <v>48558082</v>
      </c>
      <c r="G3402">
        <v>-24040955</v>
      </c>
      <c r="H3402">
        <v>29966955</v>
      </c>
      <c r="I3402">
        <v>124450628</v>
      </c>
      <c r="J3402">
        <v>-50923130</v>
      </c>
      <c r="K3402">
        <v>186104092</v>
      </c>
      <c r="L3402">
        <v>67138040</v>
      </c>
      <c r="M3402">
        <v>82012775</v>
      </c>
      <c r="N3402">
        <v>53546284</v>
      </c>
      <c r="O3402">
        <v>154906191</v>
      </c>
      <c r="P3402">
        <v>437</v>
      </c>
      <c r="Q3402" t="s">
        <v>7147</v>
      </c>
    </row>
    <row r="3403" spans="1:17" x14ac:dyDescent="0.3">
      <c r="A3403" t="s">
        <v>17</v>
      </c>
      <c r="B3403" t="str">
        <f>"603122"</f>
        <v>603122</v>
      </c>
      <c r="C3403" t="s">
        <v>7148</v>
      </c>
      <c r="E3403">
        <v>-67054011</v>
      </c>
      <c r="F3403">
        <v>-129587750</v>
      </c>
      <c r="G3403">
        <v>-95465442</v>
      </c>
      <c r="P3403">
        <v>12</v>
      </c>
      <c r="Q3403" t="s">
        <v>7149</v>
      </c>
    </row>
    <row r="3404" spans="1:17" x14ac:dyDescent="0.3">
      <c r="A3404" t="s">
        <v>17</v>
      </c>
      <c r="B3404" t="str">
        <f>"603863"</f>
        <v>603863</v>
      </c>
      <c r="C3404" t="s">
        <v>7150</v>
      </c>
      <c r="D3404" t="s">
        <v>514</v>
      </c>
      <c r="E3404">
        <v>-67057453</v>
      </c>
      <c r="F3404">
        <v>-13425083</v>
      </c>
      <c r="G3404">
        <v>-1011110</v>
      </c>
      <c r="H3404">
        <v>-8501100</v>
      </c>
      <c r="I3404">
        <v>7387400</v>
      </c>
      <c r="P3404">
        <v>51</v>
      </c>
      <c r="Q3404" t="s">
        <v>7151</v>
      </c>
    </row>
    <row r="3405" spans="1:17" x14ac:dyDescent="0.3">
      <c r="A3405" t="s">
        <v>33</v>
      </c>
      <c r="B3405" t="str">
        <f>"300666"</f>
        <v>300666</v>
      </c>
      <c r="C3405" t="s">
        <v>7152</v>
      </c>
      <c r="D3405" t="s">
        <v>1177</v>
      </c>
      <c r="E3405">
        <v>-67199248</v>
      </c>
      <c r="F3405">
        <v>-29232210</v>
      </c>
      <c r="G3405">
        <v>-61265015</v>
      </c>
      <c r="H3405">
        <v>-382925</v>
      </c>
      <c r="I3405">
        <v>-6785229</v>
      </c>
      <c r="J3405">
        <v>-6926977</v>
      </c>
      <c r="K3405">
        <v>-5700614</v>
      </c>
      <c r="P3405">
        <v>519</v>
      </c>
      <c r="Q3405" t="s">
        <v>7153</v>
      </c>
    </row>
    <row r="3406" spans="1:17" x14ac:dyDescent="0.3">
      <c r="A3406" t="s">
        <v>33</v>
      </c>
      <c r="B3406" t="str">
        <f>"300687"</f>
        <v>300687</v>
      </c>
      <c r="C3406" t="s">
        <v>7154</v>
      </c>
      <c r="D3406" t="s">
        <v>508</v>
      </c>
      <c r="E3406">
        <v>-67453276</v>
      </c>
      <c r="F3406">
        <v>-30901323</v>
      </c>
      <c r="G3406">
        <v>-49118302</v>
      </c>
      <c r="H3406">
        <v>-58562846</v>
      </c>
      <c r="I3406">
        <v>-69007098</v>
      </c>
      <c r="J3406">
        <v>27224758</v>
      </c>
      <c r="K3406">
        <v>-6558186</v>
      </c>
      <c r="P3406">
        <v>266</v>
      </c>
      <c r="Q3406" t="s">
        <v>7155</v>
      </c>
    </row>
    <row r="3407" spans="1:17" x14ac:dyDescent="0.3">
      <c r="A3407" t="s">
        <v>17</v>
      </c>
      <c r="B3407" t="str">
        <f>"600262"</f>
        <v>600262</v>
      </c>
      <c r="C3407" t="s">
        <v>7156</v>
      </c>
      <c r="D3407" t="s">
        <v>1132</v>
      </c>
      <c r="E3407">
        <v>-67563716</v>
      </c>
      <c r="F3407">
        <v>-134983188</v>
      </c>
      <c r="G3407">
        <v>-168316324</v>
      </c>
      <c r="H3407">
        <v>-149467702</v>
      </c>
      <c r="I3407">
        <v>-133267264</v>
      </c>
      <c r="J3407">
        <v>-52832224</v>
      </c>
      <c r="K3407">
        <v>95494355</v>
      </c>
      <c r="L3407">
        <v>168138963</v>
      </c>
      <c r="M3407">
        <v>-61715115</v>
      </c>
      <c r="N3407">
        <v>-143131399</v>
      </c>
      <c r="O3407">
        <v>-40695804</v>
      </c>
      <c r="P3407">
        <v>75</v>
      </c>
      <c r="Q3407" t="s">
        <v>7157</v>
      </c>
    </row>
    <row r="3408" spans="1:17" x14ac:dyDescent="0.3">
      <c r="A3408" t="s">
        <v>33</v>
      </c>
      <c r="B3408" t="str">
        <f>"002278"</f>
        <v>002278</v>
      </c>
      <c r="C3408" t="s">
        <v>7158</v>
      </c>
      <c r="D3408" t="s">
        <v>1132</v>
      </c>
      <c r="E3408">
        <v>-67575035</v>
      </c>
      <c r="F3408">
        <v>-41109094</v>
      </c>
      <c r="G3408">
        <v>-36922599</v>
      </c>
      <c r="H3408">
        <v>-16351053</v>
      </c>
      <c r="I3408">
        <v>-15439663</v>
      </c>
      <c r="J3408">
        <v>-815015</v>
      </c>
      <c r="K3408">
        <v>-31417349</v>
      </c>
      <c r="L3408">
        <v>-29401195</v>
      </c>
      <c r="M3408">
        <v>-23516316</v>
      </c>
      <c r="N3408">
        <v>-32270410</v>
      </c>
      <c r="O3408">
        <v>-581314</v>
      </c>
      <c r="P3408">
        <v>57</v>
      </c>
      <c r="Q3408" t="s">
        <v>7159</v>
      </c>
    </row>
    <row r="3409" spans="1:17" x14ac:dyDescent="0.3">
      <c r="A3409" t="s">
        <v>17</v>
      </c>
      <c r="B3409" t="str">
        <f>"688257"</f>
        <v>688257</v>
      </c>
      <c r="C3409" t="s">
        <v>7160</v>
      </c>
      <c r="D3409" t="s">
        <v>164</v>
      </c>
      <c r="E3409">
        <v>-67873991</v>
      </c>
      <c r="P3409">
        <v>17</v>
      </c>
      <c r="Q3409" t="s">
        <v>7161</v>
      </c>
    </row>
    <row r="3410" spans="1:17" x14ac:dyDescent="0.3">
      <c r="A3410" t="s">
        <v>17</v>
      </c>
      <c r="B3410" t="str">
        <f>"688320"</f>
        <v>688320</v>
      </c>
      <c r="C3410" t="s">
        <v>7162</v>
      </c>
      <c r="E3410">
        <v>-68132457</v>
      </c>
      <c r="P3410">
        <v>1</v>
      </c>
      <c r="Q3410" t="s">
        <v>7163</v>
      </c>
    </row>
    <row r="3411" spans="1:17" x14ac:dyDescent="0.3">
      <c r="A3411" t="s">
        <v>33</v>
      </c>
      <c r="B3411" t="str">
        <f>"300719"</f>
        <v>300719</v>
      </c>
      <c r="C3411" t="s">
        <v>7164</v>
      </c>
      <c r="D3411" t="s">
        <v>2262</v>
      </c>
      <c r="E3411">
        <v>-68150040</v>
      </c>
      <c r="F3411">
        <v>-13330654</v>
      </c>
      <c r="G3411">
        <v>-46843369</v>
      </c>
      <c r="H3411">
        <v>106680902</v>
      </c>
      <c r="I3411">
        <v>-7982155</v>
      </c>
      <c r="J3411">
        <v>-87330044</v>
      </c>
      <c r="P3411">
        <v>93</v>
      </c>
      <c r="Q3411" t="s">
        <v>7165</v>
      </c>
    </row>
    <row r="3412" spans="1:17" x14ac:dyDescent="0.3">
      <c r="A3412" t="s">
        <v>17</v>
      </c>
      <c r="B3412" t="str">
        <f>"688007"</f>
        <v>688007</v>
      </c>
      <c r="C3412" t="s">
        <v>7166</v>
      </c>
      <c r="D3412" t="s">
        <v>1514</v>
      </c>
      <c r="E3412">
        <v>-68223422</v>
      </c>
      <c r="F3412">
        <v>106223262</v>
      </c>
      <c r="G3412">
        <v>-38289186</v>
      </c>
      <c r="H3412">
        <v>-65364700</v>
      </c>
      <c r="I3412">
        <v>-6353700</v>
      </c>
      <c r="P3412">
        <v>123</v>
      </c>
      <c r="Q3412" t="s">
        <v>7167</v>
      </c>
    </row>
    <row r="3413" spans="1:17" x14ac:dyDescent="0.3">
      <c r="A3413" t="s">
        <v>17</v>
      </c>
      <c r="B3413" t="str">
        <f>"605566"</f>
        <v>605566</v>
      </c>
      <c r="C3413" t="s">
        <v>7168</v>
      </c>
      <c r="D3413" t="s">
        <v>735</v>
      </c>
      <c r="E3413">
        <v>-68263012</v>
      </c>
      <c r="P3413">
        <v>22</v>
      </c>
      <c r="Q3413" t="s">
        <v>7169</v>
      </c>
    </row>
    <row r="3414" spans="1:17" x14ac:dyDescent="0.3">
      <c r="A3414" t="s">
        <v>33</v>
      </c>
      <c r="B3414" t="str">
        <f>"000880"</f>
        <v>000880</v>
      </c>
      <c r="C3414" t="s">
        <v>7170</v>
      </c>
      <c r="D3414" t="s">
        <v>858</v>
      </c>
      <c r="E3414">
        <v>-68321222</v>
      </c>
      <c r="F3414">
        <v>99016032</v>
      </c>
      <c r="G3414">
        <v>-41269416</v>
      </c>
      <c r="H3414">
        <v>-35146033</v>
      </c>
      <c r="I3414">
        <v>-44377637</v>
      </c>
      <c r="J3414">
        <v>74899654</v>
      </c>
      <c r="K3414">
        <v>816039</v>
      </c>
      <c r="L3414">
        <v>-65604904</v>
      </c>
      <c r="M3414">
        <v>37418373</v>
      </c>
      <c r="N3414">
        <v>60925220</v>
      </c>
      <c r="O3414">
        <v>-64814730</v>
      </c>
      <c r="P3414">
        <v>102</v>
      </c>
      <c r="Q3414" t="s">
        <v>7171</v>
      </c>
    </row>
    <row r="3415" spans="1:17" x14ac:dyDescent="0.3">
      <c r="A3415" t="s">
        <v>33</v>
      </c>
      <c r="B3415" t="str">
        <f>"002967"</f>
        <v>002967</v>
      </c>
      <c r="C3415" t="s">
        <v>7172</v>
      </c>
      <c r="D3415" t="s">
        <v>2274</v>
      </c>
      <c r="E3415">
        <v>-68335866</v>
      </c>
      <c r="F3415">
        <v>-59788709</v>
      </c>
      <c r="G3415">
        <v>-88022890</v>
      </c>
      <c r="H3415">
        <v>-77114086</v>
      </c>
      <c r="I3415">
        <v>-46438524</v>
      </c>
      <c r="P3415">
        <v>236</v>
      </c>
      <c r="Q3415" t="s">
        <v>7173</v>
      </c>
    </row>
    <row r="3416" spans="1:17" x14ac:dyDescent="0.3">
      <c r="A3416" t="s">
        <v>33</v>
      </c>
      <c r="B3416" t="str">
        <f>"002379"</f>
        <v>002379</v>
      </c>
      <c r="C3416" t="s">
        <v>7174</v>
      </c>
      <c r="D3416" t="s">
        <v>140</v>
      </c>
      <c r="E3416">
        <v>-68421983</v>
      </c>
      <c r="F3416">
        <v>30521366</v>
      </c>
      <c r="G3416">
        <v>34940582</v>
      </c>
      <c r="H3416">
        <v>37990209</v>
      </c>
      <c r="I3416">
        <v>-9876539</v>
      </c>
      <c r="J3416">
        <v>25036907</v>
      </c>
      <c r="K3416">
        <v>23419126</v>
      </c>
      <c r="L3416">
        <v>15109896</v>
      </c>
      <c r="M3416">
        <v>168020765</v>
      </c>
      <c r="N3416">
        <v>289195806</v>
      </c>
      <c r="O3416">
        <v>134410682</v>
      </c>
      <c r="P3416">
        <v>88</v>
      </c>
      <c r="Q3416" t="s">
        <v>7175</v>
      </c>
    </row>
    <row r="3417" spans="1:17" x14ac:dyDescent="0.3">
      <c r="A3417" t="s">
        <v>17</v>
      </c>
      <c r="B3417" t="str">
        <f>"688168"</f>
        <v>688168</v>
      </c>
      <c r="C3417" t="s">
        <v>7176</v>
      </c>
      <c r="D3417" t="s">
        <v>1713</v>
      </c>
      <c r="E3417">
        <v>-68532684</v>
      </c>
      <c r="F3417">
        <v>-6369498</v>
      </c>
      <c r="G3417">
        <v>-17766812</v>
      </c>
      <c r="H3417">
        <v>-6787529</v>
      </c>
      <c r="P3417">
        <v>144</v>
      </c>
      <c r="Q3417" t="s">
        <v>7177</v>
      </c>
    </row>
    <row r="3418" spans="1:17" x14ac:dyDescent="0.3">
      <c r="A3418" t="s">
        <v>17</v>
      </c>
      <c r="B3418" t="str">
        <f>"603076"</f>
        <v>603076</v>
      </c>
      <c r="C3418" t="s">
        <v>7178</v>
      </c>
      <c r="D3418" t="s">
        <v>1895</v>
      </c>
      <c r="E3418">
        <v>-68610944</v>
      </c>
      <c r="F3418">
        <v>-69043233</v>
      </c>
      <c r="G3418">
        <v>86400137</v>
      </c>
      <c r="H3418">
        <v>47916243</v>
      </c>
      <c r="I3418">
        <v>42461668</v>
      </c>
      <c r="J3418">
        <v>275607</v>
      </c>
      <c r="P3418">
        <v>87</v>
      </c>
      <c r="Q3418" t="s">
        <v>7179</v>
      </c>
    </row>
    <row r="3419" spans="1:17" x14ac:dyDescent="0.3">
      <c r="A3419" t="s">
        <v>17</v>
      </c>
      <c r="B3419" t="str">
        <f>"600724"</f>
        <v>600724</v>
      </c>
      <c r="C3419" t="s">
        <v>7180</v>
      </c>
      <c r="D3419" t="s">
        <v>260</v>
      </c>
      <c r="E3419">
        <v>-68847877</v>
      </c>
      <c r="F3419">
        <v>83836749</v>
      </c>
      <c r="G3419">
        <v>108371289</v>
      </c>
      <c r="H3419">
        <v>-5350892</v>
      </c>
      <c r="I3419">
        <v>143175357</v>
      </c>
      <c r="J3419">
        <v>-355090514</v>
      </c>
      <c r="K3419">
        <v>-124408798</v>
      </c>
      <c r="L3419">
        <v>-291208586</v>
      </c>
      <c r="M3419">
        <v>-290567162</v>
      </c>
      <c r="N3419">
        <v>16638328</v>
      </c>
      <c r="O3419">
        <v>-106687750</v>
      </c>
      <c r="P3419">
        <v>169</v>
      </c>
      <c r="Q3419" t="s">
        <v>7181</v>
      </c>
    </row>
    <row r="3420" spans="1:17" x14ac:dyDescent="0.3">
      <c r="A3420" t="s">
        <v>17</v>
      </c>
      <c r="B3420" t="str">
        <f>"688176"</f>
        <v>688176</v>
      </c>
      <c r="C3420" t="s">
        <v>7182</v>
      </c>
      <c r="D3420" t="s">
        <v>590</v>
      </c>
      <c r="E3420">
        <v>-69229458</v>
      </c>
      <c r="P3420">
        <v>9</v>
      </c>
      <c r="Q3420" t="s">
        <v>7183</v>
      </c>
    </row>
    <row r="3421" spans="1:17" x14ac:dyDescent="0.3">
      <c r="A3421" t="s">
        <v>33</v>
      </c>
      <c r="B3421" t="str">
        <f>"300857"</f>
        <v>300857</v>
      </c>
      <c r="C3421" t="s">
        <v>7184</v>
      </c>
      <c r="D3421" t="s">
        <v>226</v>
      </c>
      <c r="E3421">
        <v>-69443615</v>
      </c>
      <c r="F3421">
        <v>-19265218</v>
      </c>
      <c r="G3421">
        <v>-99632693</v>
      </c>
      <c r="H3421">
        <v>-51542529</v>
      </c>
      <c r="P3421">
        <v>59</v>
      </c>
      <c r="Q3421" t="s">
        <v>7185</v>
      </c>
    </row>
    <row r="3422" spans="1:17" x14ac:dyDescent="0.3">
      <c r="A3422" t="s">
        <v>17</v>
      </c>
      <c r="B3422" t="str">
        <f>"688234"</f>
        <v>688234</v>
      </c>
      <c r="C3422" t="s">
        <v>7186</v>
      </c>
      <c r="D3422" t="s">
        <v>1177</v>
      </c>
      <c r="E3422">
        <v>-69500582</v>
      </c>
      <c r="P3422">
        <v>32</v>
      </c>
      <c r="Q3422" t="s">
        <v>7187</v>
      </c>
    </row>
    <row r="3423" spans="1:17" x14ac:dyDescent="0.3">
      <c r="A3423" t="s">
        <v>33</v>
      </c>
      <c r="B3423" t="str">
        <f>"000982"</f>
        <v>000982</v>
      </c>
      <c r="C3423" t="s">
        <v>7188</v>
      </c>
      <c r="D3423" t="s">
        <v>1292</v>
      </c>
      <c r="E3423">
        <v>-69549510</v>
      </c>
      <c r="F3423">
        <v>60855428</v>
      </c>
      <c r="G3423">
        <v>-11010494</v>
      </c>
      <c r="H3423">
        <v>-44423655</v>
      </c>
      <c r="I3423">
        <v>43757496</v>
      </c>
      <c r="J3423">
        <v>43587393</v>
      </c>
      <c r="K3423">
        <v>-157026836</v>
      </c>
      <c r="L3423">
        <v>46220914</v>
      </c>
      <c r="M3423">
        <v>163537486</v>
      </c>
      <c r="N3423">
        <v>-371394715</v>
      </c>
      <c r="O3423">
        <v>-19135849</v>
      </c>
      <c r="P3423">
        <v>83</v>
      </c>
      <c r="Q3423" t="s">
        <v>7189</v>
      </c>
    </row>
    <row r="3424" spans="1:17" x14ac:dyDescent="0.3">
      <c r="A3424" t="s">
        <v>33</v>
      </c>
      <c r="B3424" t="str">
        <f>"002298"</f>
        <v>002298</v>
      </c>
      <c r="C3424" t="s">
        <v>7190</v>
      </c>
      <c r="D3424" t="s">
        <v>807</v>
      </c>
      <c r="E3424">
        <v>-69639215</v>
      </c>
      <c r="F3424">
        <v>-83527853</v>
      </c>
      <c r="G3424">
        <v>-27509146</v>
      </c>
      <c r="H3424">
        <v>-170046771</v>
      </c>
      <c r="I3424">
        <v>-159447088</v>
      </c>
      <c r="J3424">
        <v>-37858138</v>
      </c>
      <c r="K3424">
        <v>-22888798</v>
      </c>
      <c r="L3424">
        <v>49909643</v>
      </c>
      <c r="M3424">
        <v>-52651612</v>
      </c>
      <c r="N3424">
        <v>20904532</v>
      </c>
      <c r="O3424">
        <v>45131649</v>
      </c>
      <c r="P3424">
        <v>182</v>
      </c>
      <c r="Q3424" t="s">
        <v>7191</v>
      </c>
    </row>
    <row r="3425" spans="1:17" x14ac:dyDescent="0.3">
      <c r="A3425" t="s">
        <v>17</v>
      </c>
      <c r="B3425" t="str">
        <f>"600054"</f>
        <v>600054</v>
      </c>
      <c r="C3425" t="s">
        <v>7192</v>
      </c>
      <c r="D3425" t="s">
        <v>5307</v>
      </c>
      <c r="E3425">
        <v>-69813685</v>
      </c>
      <c r="F3425">
        <v>-20556142</v>
      </c>
      <c r="G3425">
        <v>-128502598</v>
      </c>
      <c r="H3425">
        <v>-54766387</v>
      </c>
      <c r="I3425">
        <v>-22682680</v>
      </c>
      <c r="J3425">
        <v>50091095</v>
      </c>
      <c r="K3425">
        <v>-11803251</v>
      </c>
      <c r="L3425">
        <v>-14394066</v>
      </c>
      <c r="M3425">
        <v>-87505037</v>
      </c>
      <c r="N3425">
        <v>-88147849</v>
      </c>
      <c r="O3425">
        <v>-105999755</v>
      </c>
      <c r="P3425">
        <v>380</v>
      </c>
      <c r="Q3425" t="s">
        <v>7193</v>
      </c>
    </row>
    <row r="3426" spans="1:17" x14ac:dyDescent="0.3">
      <c r="A3426" t="s">
        <v>33</v>
      </c>
      <c r="B3426" t="str">
        <f>"300415"</f>
        <v>300415</v>
      </c>
      <c r="C3426" t="s">
        <v>7194</v>
      </c>
      <c r="D3426" t="s">
        <v>1895</v>
      </c>
      <c r="E3426">
        <v>-69992032</v>
      </c>
      <c r="F3426">
        <v>19732819</v>
      </c>
      <c r="G3426">
        <v>-8074126</v>
      </c>
      <c r="H3426">
        <v>29528103</v>
      </c>
      <c r="I3426">
        <v>-143631155</v>
      </c>
      <c r="J3426">
        <v>-79632051</v>
      </c>
      <c r="K3426">
        <v>-32062571</v>
      </c>
      <c r="L3426">
        <v>-32043125</v>
      </c>
      <c r="M3426">
        <v>-48981988</v>
      </c>
      <c r="P3426">
        <v>547</v>
      </c>
      <c r="Q3426" t="s">
        <v>7195</v>
      </c>
    </row>
    <row r="3427" spans="1:17" x14ac:dyDescent="0.3">
      <c r="A3427" t="s">
        <v>33</v>
      </c>
      <c r="B3427" t="str">
        <f>"002003"</f>
        <v>002003</v>
      </c>
      <c r="C3427" t="s">
        <v>7196</v>
      </c>
      <c r="D3427" t="s">
        <v>4348</v>
      </c>
      <c r="E3427">
        <v>-69999772</v>
      </c>
      <c r="F3427">
        <v>-81504326</v>
      </c>
      <c r="G3427">
        <v>65948565</v>
      </c>
      <c r="H3427">
        <v>-8667249</v>
      </c>
      <c r="I3427">
        <v>-80258923</v>
      </c>
      <c r="J3427">
        <v>28783804</v>
      </c>
      <c r="K3427">
        <v>10176073</v>
      </c>
      <c r="L3427">
        <v>-29210509</v>
      </c>
      <c r="M3427">
        <v>-22505448</v>
      </c>
      <c r="N3427">
        <v>-31201847</v>
      </c>
      <c r="O3427">
        <v>-46638826</v>
      </c>
      <c r="P3427">
        <v>761</v>
      </c>
      <c r="Q3427" t="s">
        <v>7197</v>
      </c>
    </row>
    <row r="3428" spans="1:17" x14ac:dyDescent="0.3">
      <c r="A3428" t="s">
        <v>17</v>
      </c>
      <c r="B3428" t="str">
        <f>"688015"</f>
        <v>688015</v>
      </c>
      <c r="C3428" t="s">
        <v>7198</v>
      </c>
      <c r="D3428" t="s">
        <v>1703</v>
      </c>
      <c r="E3428">
        <v>-70024690</v>
      </c>
      <c r="F3428">
        <v>-228747210</v>
      </c>
      <c r="G3428">
        <v>-136530002</v>
      </c>
      <c r="H3428">
        <v>74428967</v>
      </c>
      <c r="I3428">
        <v>-160764000</v>
      </c>
      <c r="P3428">
        <v>278</v>
      </c>
      <c r="Q3428" t="s">
        <v>7199</v>
      </c>
    </row>
    <row r="3429" spans="1:17" x14ac:dyDescent="0.3">
      <c r="A3429" t="s">
        <v>33</v>
      </c>
      <c r="B3429" t="str">
        <f>"002149"</f>
        <v>002149</v>
      </c>
      <c r="C3429" t="s">
        <v>7200</v>
      </c>
      <c r="D3429" t="s">
        <v>720</v>
      </c>
      <c r="E3429">
        <v>-70041095</v>
      </c>
      <c r="F3429">
        <v>-37343328</v>
      </c>
      <c r="G3429">
        <v>-147266968</v>
      </c>
      <c r="H3429">
        <v>-60087413</v>
      </c>
      <c r="I3429">
        <v>-18630914</v>
      </c>
      <c r="J3429">
        <v>-57975249</v>
      </c>
      <c r="K3429">
        <v>-46657732</v>
      </c>
      <c r="L3429">
        <v>-31279817</v>
      </c>
      <c r="M3429">
        <v>-5265209</v>
      </c>
      <c r="N3429">
        <v>39157839</v>
      </c>
      <c r="O3429">
        <v>10890177</v>
      </c>
      <c r="P3429">
        <v>259</v>
      </c>
      <c r="Q3429" t="s">
        <v>7201</v>
      </c>
    </row>
    <row r="3430" spans="1:17" x14ac:dyDescent="0.3">
      <c r="A3430" t="s">
        <v>33</v>
      </c>
      <c r="B3430" t="str">
        <f>"002919"</f>
        <v>002919</v>
      </c>
      <c r="C3430" t="s">
        <v>7202</v>
      </c>
      <c r="D3430" t="s">
        <v>1794</v>
      </c>
      <c r="E3430">
        <v>-70501835</v>
      </c>
      <c r="F3430">
        <v>-33167526</v>
      </c>
      <c r="G3430">
        <v>-48653019</v>
      </c>
      <c r="H3430">
        <v>-69511980</v>
      </c>
      <c r="I3430">
        <v>-58882518</v>
      </c>
      <c r="J3430">
        <v>-89210729</v>
      </c>
      <c r="P3430">
        <v>146</v>
      </c>
      <c r="Q3430" t="s">
        <v>7203</v>
      </c>
    </row>
    <row r="3431" spans="1:17" x14ac:dyDescent="0.3">
      <c r="A3431" t="s">
        <v>33</v>
      </c>
      <c r="B3431" t="str">
        <f>"002372"</f>
        <v>002372</v>
      </c>
      <c r="C3431" t="s">
        <v>7204</v>
      </c>
      <c r="D3431" t="s">
        <v>1169</v>
      </c>
      <c r="E3431">
        <v>-70553960</v>
      </c>
      <c r="F3431">
        <v>149164865</v>
      </c>
      <c r="G3431">
        <v>-121748051</v>
      </c>
      <c r="H3431">
        <v>-141343121</v>
      </c>
      <c r="I3431">
        <v>21042167</v>
      </c>
      <c r="J3431">
        <v>100921321</v>
      </c>
      <c r="K3431">
        <v>123163833</v>
      </c>
      <c r="L3431">
        <v>13587809</v>
      </c>
      <c r="M3431">
        <v>2748251</v>
      </c>
      <c r="N3431">
        <v>45303930</v>
      </c>
      <c r="O3431">
        <v>-10413405</v>
      </c>
      <c r="P3431">
        <v>10689</v>
      </c>
      <c r="Q3431" t="s">
        <v>7205</v>
      </c>
    </row>
    <row r="3432" spans="1:17" x14ac:dyDescent="0.3">
      <c r="A3432" t="s">
        <v>33</v>
      </c>
      <c r="B3432" t="str">
        <f>"300421"</f>
        <v>300421</v>
      </c>
      <c r="C3432" t="s">
        <v>7206</v>
      </c>
      <c r="D3432" t="s">
        <v>164</v>
      </c>
      <c r="E3432">
        <v>-71019791</v>
      </c>
      <c r="F3432">
        <v>28781738</v>
      </c>
      <c r="G3432">
        <v>1422101</v>
      </c>
      <c r="H3432">
        <v>-16146141</v>
      </c>
      <c r="I3432">
        <v>14424115</v>
      </c>
      <c r="J3432">
        <v>-2021352</v>
      </c>
      <c r="K3432">
        <v>-12858840</v>
      </c>
      <c r="L3432">
        <v>1783775</v>
      </c>
      <c r="M3432">
        <v>4621838</v>
      </c>
      <c r="P3432">
        <v>108</v>
      </c>
      <c r="Q3432" t="s">
        <v>7207</v>
      </c>
    </row>
    <row r="3433" spans="1:17" x14ac:dyDescent="0.3">
      <c r="A3433" t="s">
        <v>33</v>
      </c>
      <c r="B3433" t="str">
        <f>"300412"</f>
        <v>300412</v>
      </c>
      <c r="C3433" t="s">
        <v>7208</v>
      </c>
      <c r="D3433" t="s">
        <v>1895</v>
      </c>
      <c r="E3433">
        <v>-71165050</v>
      </c>
      <c r="F3433">
        <v>-24554927</v>
      </c>
      <c r="G3433">
        <v>-26682248</v>
      </c>
      <c r="H3433">
        <v>18809116</v>
      </c>
      <c r="I3433">
        <v>-25728023</v>
      </c>
      <c r="J3433">
        <v>-17147962</v>
      </c>
      <c r="K3433">
        <v>5973875</v>
      </c>
      <c r="L3433">
        <v>-12729728</v>
      </c>
      <c r="M3433">
        <v>738817</v>
      </c>
      <c r="P3433">
        <v>96</v>
      </c>
      <c r="Q3433" t="s">
        <v>7209</v>
      </c>
    </row>
    <row r="3434" spans="1:17" x14ac:dyDescent="0.3">
      <c r="A3434" t="s">
        <v>33</v>
      </c>
      <c r="B3434" t="str">
        <f>"300560"</f>
        <v>300560</v>
      </c>
      <c r="C3434" t="s">
        <v>7210</v>
      </c>
      <c r="D3434" t="s">
        <v>4393</v>
      </c>
      <c r="E3434">
        <v>-71278702</v>
      </c>
      <c r="F3434">
        <v>-421634845</v>
      </c>
      <c r="G3434">
        <v>-53134421</v>
      </c>
      <c r="H3434">
        <v>-49329739</v>
      </c>
      <c r="I3434">
        <v>-24234992</v>
      </c>
      <c r="J3434">
        <v>-35414566</v>
      </c>
      <c r="K3434">
        <v>-33263848</v>
      </c>
      <c r="P3434">
        <v>192</v>
      </c>
      <c r="Q3434" t="s">
        <v>7211</v>
      </c>
    </row>
    <row r="3435" spans="1:17" x14ac:dyDescent="0.3">
      <c r="A3435" t="s">
        <v>17</v>
      </c>
      <c r="B3435" t="str">
        <f>"688281"</f>
        <v>688281</v>
      </c>
      <c r="C3435" t="s">
        <v>7212</v>
      </c>
      <c r="E3435">
        <v>-71432793</v>
      </c>
      <c r="P3435">
        <v>13</v>
      </c>
      <c r="Q3435" t="s">
        <v>7213</v>
      </c>
    </row>
    <row r="3436" spans="1:17" x14ac:dyDescent="0.3">
      <c r="A3436" t="s">
        <v>33</v>
      </c>
      <c r="B3436" t="str">
        <f>"300010"</f>
        <v>300010</v>
      </c>
      <c r="C3436" t="s">
        <v>7214</v>
      </c>
      <c r="D3436" t="s">
        <v>761</v>
      </c>
      <c r="E3436">
        <v>-71442983</v>
      </c>
      <c r="F3436">
        <v>-20629899</v>
      </c>
      <c r="G3436">
        <v>-245045510</v>
      </c>
      <c r="H3436">
        <v>-73229603</v>
      </c>
      <c r="I3436">
        <v>-241577546</v>
      </c>
      <c r="J3436">
        <v>-265341424</v>
      </c>
      <c r="K3436">
        <v>-67155654</v>
      </c>
      <c r="L3436">
        <v>-79333570</v>
      </c>
      <c r="M3436">
        <v>-37391212</v>
      </c>
      <c r="N3436">
        <v>-35921471</v>
      </c>
      <c r="O3436">
        <v>-59693253</v>
      </c>
      <c r="P3436">
        <v>262</v>
      </c>
      <c r="Q3436" t="s">
        <v>7215</v>
      </c>
    </row>
    <row r="3437" spans="1:17" x14ac:dyDescent="0.3">
      <c r="A3437" t="s">
        <v>33</v>
      </c>
      <c r="B3437" t="str">
        <f>"300213"</f>
        <v>300213</v>
      </c>
      <c r="C3437" t="s">
        <v>7216</v>
      </c>
      <c r="D3437" t="s">
        <v>2475</v>
      </c>
      <c r="E3437">
        <v>-71589433</v>
      </c>
      <c r="F3437">
        <v>-17860204</v>
      </c>
      <c r="G3437">
        <v>-87253439</v>
      </c>
      <c r="H3437">
        <v>-67326485</v>
      </c>
      <c r="I3437">
        <v>-91698992</v>
      </c>
      <c r="J3437">
        <v>-90169322</v>
      </c>
      <c r="K3437">
        <v>-64322826</v>
      </c>
      <c r="L3437">
        <v>-41709860</v>
      </c>
      <c r="M3437">
        <v>-43398444</v>
      </c>
      <c r="N3437">
        <v>-82279245</v>
      </c>
      <c r="O3437">
        <v>-35778472</v>
      </c>
      <c r="P3437">
        <v>188</v>
      </c>
      <c r="Q3437" t="s">
        <v>7217</v>
      </c>
    </row>
    <row r="3438" spans="1:17" x14ac:dyDescent="0.3">
      <c r="A3438" t="s">
        <v>17</v>
      </c>
      <c r="B3438" t="str">
        <f>"688793"</f>
        <v>688793</v>
      </c>
      <c r="C3438" t="s">
        <v>7218</v>
      </c>
      <c r="D3438" t="s">
        <v>2501</v>
      </c>
      <c r="E3438">
        <v>-71633390</v>
      </c>
      <c r="F3438">
        <v>-16841815</v>
      </c>
      <c r="G3438">
        <v>8590228</v>
      </c>
      <c r="P3438">
        <v>48</v>
      </c>
      <c r="Q3438" t="s">
        <v>7219</v>
      </c>
    </row>
    <row r="3439" spans="1:17" x14ac:dyDescent="0.3">
      <c r="A3439" t="s">
        <v>17</v>
      </c>
      <c r="B3439" t="str">
        <f>"600468"</f>
        <v>600468</v>
      </c>
      <c r="C3439" t="s">
        <v>7220</v>
      </c>
      <c r="D3439" t="s">
        <v>675</v>
      </c>
      <c r="E3439">
        <v>-71721051</v>
      </c>
      <c r="F3439">
        <v>-55886800</v>
      </c>
      <c r="G3439">
        <v>-34055438</v>
      </c>
      <c r="H3439">
        <v>-37987896</v>
      </c>
      <c r="I3439">
        <v>-80885388</v>
      </c>
      <c r="J3439">
        <v>-82532433</v>
      </c>
      <c r="K3439">
        <v>20492164</v>
      </c>
      <c r="L3439">
        <v>580261</v>
      </c>
      <c r="M3439">
        <v>2192173</v>
      </c>
      <c r="N3439">
        <v>-7244029</v>
      </c>
      <c r="O3439">
        <v>13932622</v>
      </c>
      <c r="P3439">
        <v>89</v>
      </c>
      <c r="Q3439" t="s">
        <v>7221</v>
      </c>
    </row>
    <row r="3440" spans="1:17" x14ac:dyDescent="0.3">
      <c r="A3440" t="s">
        <v>17</v>
      </c>
      <c r="B3440" t="str">
        <f>"603365"</f>
        <v>603365</v>
      </c>
      <c r="C3440" t="s">
        <v>7222</v>
      </c>
      <c r="D3440" t="s">
        <v>2758</v>
      </c>
      <c r="E3440">
        <v>-72007927</v>
      </c>
      <c r="F3440">
        <v>-94900263</v>
      </c>
      <c r="G3440">
        <v>-124579500</v>
      </c>
      <c r="H3440">
        <v>-111350096</v>
      </c>
      <c r="I3440">
        <v>-87122130</v>
      </c>
      <c r="J3440">
        <v>-23612607</v>
      </c>
      <c r="P3440">
        <v>243</v>
      </c>
      <c r="Q3440" t="s">
        <v>7223</v>
      </c>
    </row>
    <row r="3441" spans="1:17" x14ac:dyDescent="0.3">
      <c r="A3441" t="s">
        <v>33</v>
      </c>
      <c r="B3441" t="str">
        <f>"300826"</f>
        <v>300826</v>
      </c>
      <c r="C3441" t="s">
        <v>7224</v>
      </c>
      <c r="D3441" t="s">
        <v>4300</v>
      </c>
      <c r="E3441">
        <v>-72449329</v>
      </c>
      <c r="F3441">
        <v>-68534867</v>
      </c>
      <c r="G3441">
        <v>-60354166</v>
      </c>
      <c r="H3441">
        <v>-52098399</v>
      </c>
      <c r="P3441">
        <v>61</v>
      </c>
      <c r="Q3441" t="s">
        <v>7225</v>
      </c>
    </row>
    <row r="3442" spans="1:17" x14ac:dyDescent="0.3">
      <c r="A3442" t="s">
        <v>17</v>
      </c>
      <c r="B3442" t="str">
        <f>"688302"</f>
        <v>688302</v>
      </c>
      <c r="C3442" t="s">
        <v>7226</v>
      </c>
      <c r="E3442">
        <v>-72458269</v>
      </c>
      <c r="F3442">
        <v>-35202373</v>
      </c>
      <c r="P3442">
        <v>2</v>
      </c>
      <c r="Q3442" t="s">
        <v>7227</v>
      </c>
    </row>
    <row r="3443" spans="1:17" x14ac:dyDescent="0.3">
      <c r="A3443" t="s">
        <v>33</v>
      </c>
      <c r="B3443" t="str">
        <f>"000919"</f>
        <v>000919</v>
      </c>
      <c r="C3443" t="s">
        <v>7228</v>
      </c>
      <c r="D3443" t="s">
        <v>533</v>
      </c>
      <c r="E3443">
        <v>-72458661</v>
      </c>
      <c r="F3443">
        <v>20621730</v>
      </c>
      <c r="G3443">
        <v>-91391809</v>
      </c>
      <c r="H3443">
        <v>23891569</v>
      </c>
      <c r="I3443">
        <v>123898983</v>
      </c>
      <c r="J3443">
        <v>-5992877</v>
      </c>
      <c r="K3443">
        <v>-111570885</v>
      </c>
      <c r="L3443">
        <v>-27872984</v>
      </c>
      <c r="M3443">
        <v>-10968313</v>
      </c>
      <c r="N3443">
        <v>25248150</v>
      </c>
      <c r="O3443">
        <v>20196138</v>
      </c>
      <c r="P3443">
        <v>179</v>
      </c>
      <c r="Q3443" t="s">
        <v>7229</v>
      </c>
    </row>
    <row r="3444" spans="1:17" x14ac:dyDescent="0.3">
      <c r="A3444" t="s">
        <v>33</v>
      </c>
      <c r="B3444" t="str">
        <f>"301129"</f>
        <v>301129</v>
      </c>
      <c r="C3444" t="s">
        <v>7230</v>
      </c>
      <c r="D3444" t="s">
        <v>2417</v>
      </c>
      <c r="E3444">
        <v>-72507195</v>
      </c>
      <c r="P3444">
        <v>22</v>
      </c>
      <c r="Q3444" t="s">
        <v>7231</v>
      </c>
    </row>
    <row r="3445" spans="1:17" x14ac:dyDescent="0.3">
      <c r="A3445" t="s">
        <v>17</v>
      </c>
      <c r="B3445" t="str">
        <f>"605007"</f>
        <v>605007</v>
      </c>
      <c r="C3445" t="s">
        <v>7232</v>
      </c>
      <c r="D3445" t="s">
        <v>1119</v>
      </c>
      <c r="E3445">
        <v>-72601988</v>
      </c>
      <c r="F3445">
        <v>56982998</v>
      </c>
      <c r="G3445">
        <v>-4249893</v>
      </c>
      <c r="P3445">
        <v>81</v>
      </c>
      <c r="Q3445" t="s">
        <v>7233</v>
      </c>
    </row>
    <row r="3446" spans="1:17" x14ac:dyDescent="0.3">
      <c r="A3446" t="s">
        <v>33</v>
      </c>
      <c r="B3446" t="str">
        <f>"300911"</f>
        <v>300911</v>
      </c>
      <c r="C3446" t="s">
        <v>7234</v>
      </c>
      <c r="D3446" t="s">
        <v>1852</v>
      </c>
      <c r="E3446">
        <v>-72702550</v>
      </c>
      <c r="F3446">
        <v>45026736</v>
      </c>
      <c r="G3446">
        <v>6675987</v>
      </c>
      <c r="P3446">
        <v>151</v>
      </c>
      <c r="Q3446" t="s">
        <v>7235</v>
      </c>
    </row>
    <row r="3447" spans="1:17" x14ac:dyDescent="0.3">
      <c r="A3447" t="s">
        <v>33</v>
      </c>
      <c r="B3447" t="str">
        <f>"002173"</f>
        <v>002173</v>
      </c>
      <c r="C3447" t="s">
        <v>7236</v>
      </c>
      <c r="D3447" t="s">
        <v>520</v>
      </c>
      <c r="E3447">
        <v>-72743214</v>
      </c>
      <c r="F3447">
        <v>-9888397</v>
      </c>
      <c r="G3447">
        <v>-7547618</v>
      </c>
      <c r="H3447">
        <v>44014</v>
      </c>
      <c r="I3447">
        <v>-8511965</v>
      </c>
      <c r="J3447">
        <v>19914452</v>
      </c>
      <c r="K3447">
        <v>23664486</v>
      </c>
      <c r="L3447">
        <v>5514571</v>
      </c>
      <c r="M3447">
        <v>-10409948</v>
      </c>
      <c r="N3447">
        <v>-25553149</v>
      </c>
      <c r="O3447">
        <v>-4457651</v>
      </c>
      <c r="P3447">
        <v>125</v>
      </c>
      <c r="Q3447" t="s">
        <v>7237</v>
      </c>
    </row>
    <row r="3448" spans="1:17" x14ac:dyDescent="0.3">
      <c r="A3448" t="s">
        <v>33</v>
      </c>
      <c r="B3448" t="str">
        <f>"300292"</f>
        <v>300292</v>
      </c>
      <c r="C3448" t="s">
        <v>7238</v>
      </c>
      <c r="D3448" t="s">
        <v>1566</v>
      </c>
      <c r="E3448">
        <v>-72874343</v>
      </c>
      <c r="F3448">
        <v>-148584799</v>
      </c>
      <c r="G3448">
        <v>-30454936</v>
      </c>
      <c r="H3448">
        <v>-79781899</v>
      </c>
      <c r="I3448">
        <v>154423613</v>
      </c>
      <c r="J3448">
        <v>-114460262</v>
      </c>
      <c r="K3448">
        <v>-136756082</v>
      </c>
      <c r="L3448">
        <v>-92031680</v>
      </c>
      <c r="M3448">
        <v>-24858932</v>
      </c>
      <c r="N3448">
        <v>-20929185</v>
      </c>
      <c r="O3448">
        <v>-42425280</v>
      </c>
      <c r="P3448">
        <v>205</v>
      </c>
      <c r="Q3448" t="s">
        <v>7239</v>
      </c>
    </row>
    <row r="3449" spans="1:17" x14ac:dyDescent="0.3">
      <c r="A3449" t="s">
        <v>33</v>
      </c>
      <c r="B3449" t="str">
        <f>"300053"</f>
        <v>300053</v>
      </c>
      <c r="C3449" t="s">
        <v>7240</v>
      </c>
      <c r="D3449" t="s">
        <v>1277</v>
      </c>
      <c r="E3449">
        <v>-72974889</v>
      </c>
      <c r="F3449">
        <v>-83359417</v>
      </c>
      <c r="G3449">
        <v>-33425624</v>
      </c>
      <c r="H3449">
        <v>-151194497</v>
      </c>
      <c r="I3449">
        <v>-32529642</v>
      </c>
      <c r="J3449">
        <v>-74927075</v>
      </c>
      <c r="K3449">
        <v>-66468215</v>
      </c>
      <c r="L3449">
        <v>1203771</v>
      </c>
      <c r="M3449">
        <v>-4739622</v>
      </c>
      <c r="N3449">
        <v>-5651178</v>
      </c>
      <c r="O3449">
        <v>-2449006</v>
      </c>
      <c r="P3449">
        <v>264</v>
      </c>
      <c r="Q3449" t="s">
        <v>7241</v>
      </c>
    </row>
    <row r="3450" spans="1:17" x14ac:dyDescent="0.3">
      <c r="A3450" t="s">
        <v>33</v>
      </c>
      <c r="B3450" t="str">
        <f>"300844"</f>
        <v>300844</v>
      </c>
      <c r="C3450" t="s">
        <v>7242</v>
      </c>
      <c r="D3450" t="s">
        <v>4300</v>
      </c>
      <c r="E3450">
        <v>-73084390</v>
      </c>
      <c r="P3450">
        <v>16</v>
      </c>
      <c r="Q3450" t="s">
        <v>7243</v>
      </c>
    </row>
    <row r="3451" spans="1:17" x14ac:dyDescent="0.3">
      <c r="A3451" t="s">
        <v>17</v>
      </c>
      <c r="B3451" t="str">
        <f>"601952"</f>
        <v>601952</v>
      </c>
      <c r="C3451" t="s">
        <v>7244</v>
      </c>
      <c r="D3451" t="s">
        <v>236</v>
      </c>
      <c r="E3451">
        <v>-73142680</v>
      </c>
      <c r="F3451">
        <v>-348489872</v>
      </c>
      <c r="G3451">
        <v>72848212</v>
      </c>
      <c r="H3451">
        <v>-98051539</v>
      </c>
      <c r="I3451">
        <v>112297586</v>
      </c>
      <c r="J3451">
        <v>159365589</v>
      </c>
      <c r="K3451">
        <v>197203632</v>
      </c>
      <c r="P3451">
        <v>313</v>
      </c>
      <c r="Q3451" t="s">
        <v>7245</v>
      </c>
    </row>
    <row r="3452" spans="1:17" x14ac:dyDescent="0.3">
      <c r="A3452" t="s">
        <v>33</v>
      </c>
      <c r="B3452" t="str">
        <f>"300762"</f>
        <v>300762</v>
      </c>
      <c r="C3452" t="s">
        <v>7246</v>
      </c>
      <c r="D3452" t="s">
        <v>617</v>
      </c>
      <c r="E3452">
        <v>-73162171</v>
      </c>
      <c r="F3452">
        <v>34273126</v>
      </c>
      <c r="G3452">
        <v>-14629331</v>
      </c>
      <c r="H3452">
        <v>-32890327</v>
      </c>
      <c r="I3452">
        <v>-52911112</v>
      </c>
      <c r="J3452">
        <v>-55529663</v>
      </c>
      <c r="P3452">
        <v>181</v>
      </c>
      <c r="Q3452" t="s">
        <v>7247</v>
      </c>
    </row>
    <row r="3453" spans="1:17" x14ac:dyDescent="0.3">
      <c r="A3453" t="s">
        <v>33</v>
      </c>
      <c r="B3453" t="str">
        <f>"002354"</f>
        <v>002354</v>
      </c>
      <c r="C3453" t="s">
        <v>7248</v>
      </c>
      <c r="D3453" t="s">
        <v>751</v>
      </c>
      <c r="E3453">
        <v>-73175593</v>
      </c>
      <c r="F3453">
        <v>-72036160</v>
      </c>
      <c r="G3453">
        <v>-16032862</v>
      </c>
      <c r="H3453">
        <v>93310418</v>
      </c>
      <c r="I3453">
        <v>-93939834</v>
      </c>
      <c r="J3453">
        <v>119357706</v>
      </c>
      <c r="K3453">
        <v>59950361</v>
      </c>
      <c r="L3453">
        <v>53685844</v>
      </c>
      <c r="M3453">
        <v>45104166</v>
      </c>
      <c r="N3453">
        <v>-21348673</v>
      </c>
      <c r="O3453">
        <v>-27499918</v>
      </c>
      <c r="P3453">
        <v>265</v>
      </c>
      <c r="Q3453" t="s">
        <v>7249</v>
      </c>
    </row>
    <row r="3454" spans="1:17" x14ac:dyDescent="0.3">
      <c r="A3454" t="s">
        <v>17</v>
      </c>
      <c r="B3454" t="str">
        <f>"688501"</f>
        <v>688501</v>
      </c>
      <c r="C3454" t="s">
        <v>7250</v>
      </c>
      <c r="D3454" t="s">
        <v>1763</v>
      </c>
      <c r="E3454">
        <v>-73176051</v>
      </c>
      <c r="F3454">
        <v>-73352800</v>
      </c>
      <c r="G3454">
        <v>-67975691</v>
      </c>
      <c r="P3454">
        <v>24</v>
      </c>
      <c r="Q3454" t="s">
        <v>7251</v>
      </c>
    </row>
    <row r="3455" spans="1:17" x14ac:dyDescent="0.3">
      <c r="A3455" t="s">
        <v>33</v>
      </c>
      <c r="B3455" t="str">
        <f>"002526"</f>
        <v>002526</v>
      </c>
      <c r="C3455" t="s">
        <v>7252</v>
      </c>
      <c r="D3455" t="s">
        <v>1132</v>
      </c>
      <c r="E3455">
        <v>-73325559</v>
      </c>
      <c r="F3455">
        <v>-33779839</v>
      </c>
      <c r="G3455">
        <v>77174417</v>
      </c>
      <c r="H3455">
        <v>58582854</v>
      </c>
      <c r="I3455">
        <v>73722906</v>
      </c>
      <c r="J3455">
        <v>-43204018</v>
      </c>
      <c r="K3455">
        <v>19366101</v>
      </c>
      <c r="L3455">
        <v>78371405</v>
      </c>
      <c r="M3455">
        <v>-50307165</v>
      </c>
      <c r="N3455">
        <v>-58303991</v>
      </c>
      <c r="O3455">
        <v>-4902960</v>
      </c>
      <c r="P3455">
        <v>103</v>
      </c>
      <c r="Q3455" t="s">
        <v>7253</v>
      </c>
    </row>
    <row r="3456" spans="1:17" x14ac:dyDescent="0.3">
      <c r="A3456" t="s">
        <v>33</v>
      </c>
      <c r="B3456" t="str">
        <f>"301038"</f>
        <v>301038</v>
      </c>
      <c r="C3456" t="s">
        <v>7254</v>
      </c>
      <c r="D3456" t="s">
        <v>4300</v>
      </c>
      <c r="E3456">
        <v>-73382266</v>
      </c>
      <c r="F3456">
        <v>-192827921</v>
      </c>
      <c r="G3456">
        <v>-96785523</v>
      </c>
      <c r="P3456">
        <v>21</v>
      </c>
      <c r="Q3456" t="s">
        <v>7255</v>
      </c>
    </row>
    <row r="3457" spans="1:17" x14ac:dyDescent="0.3">
      <c r="A3457" t="s">
        <v>33</v>
      </c>
      <c r="B3457" t="str">
        <f>"001209"</f>
        <v>001209</v>
      </c>
      <c r="C3457" t="s">
        <v>7256</v>
      </c>
      <c r="D3457" t="s">
        <v>581</v>
      </c>
      <c r="E3457">
        <v>-73385166</v>
      </c>
      <c r="F3457">
        <v>-58365436</v>
      </c>
      <c r="G3457">
        <v>16839556</v>
      </c>
      <c r="P3457">
        <v>22</v>
      </c>
      <c r="Q3457" t="s">
        <v>7257</v>
      </c>
    </row>
    <row r="3458" spans="1:17" x14ac:dyDescent="0.3">
      <c r="A3458" t="s">
        <v>33</v>
      </c>
      <c r="B3458" t="str">
        <f>"300785"</f>
        <v>300785</v>
      </c>
      <c r="C3458" t="s">
        <v>7258</v>
      </c>
      <c r="D3458" t="s">
        <v>2040</v>
      </c>
      <c r="E3458">
        <v>-73936575</v>
      </c>
      <c r="F3458">
        <v>-13580629</v>
      </c>
      <c r="G3458">
        <v>-15442014</v>
      </c>
      <c r="H3458">
        <v>-29002701</v>
      </c>
      <c r="I3458">
        <v>-14261158</v>
      </c>
      <c r="P3458">
        <v>332</v>
      </c>
      <c r="Q3458" t="s">
        <v>7259</v>
      </c>
    </row>
    <row r="3459" spans="1:17" x14ac:dyDescent="0.3">
      <c r="A3459" t="s">
        <v>33</v>
      </c>
      <c r="B3459" t="str">
        <f>"002692"</f>
        <v>002692</v>
      </c>
      <c r="C3459" t="s">
        <v>7260</v>
      </c>
      <c r="D3459" t="s">
        <v>1282</v>
      </c>
      <c r="E3459">
        <v>-74049881</v>
      </c>
      <c r="F3459">
        <v>-65508266</v>
      </c>
      <c r="G3459">
        <v>66458691</v>
      </c>
      <c r="H3459">
        <v>-66458426</v>
      </c>
      <c r="I3459">
        <v>-149014320</v>
      </c>
      <c r="J3459">
        <v>-109576652</v>
      </c>
      <c r="K3459">
        <v>-142319836</v>
      </c>
      <c r="L3459">
        <v>35835526</v>
      </c>
      <c r="M3459">
        <v>-245738814</v>
      </c>
      <c r="N3459">
        <v>-368667739</v>
      </c>
      <c r="O3459">
        <v>-167624703</v>
      </c>
      <c r="P3459">
        <v>53</v>
      </c>
      <c r="Q3459" t="s">
        <v>7261</v>
      </c>
    </row>
    <row r="3460" spans="1:17" x14ac:dyDescent="0.3">
      <c r="A3460" t="s">
        <v>33</v>
      </c>
      <c r="B3460" t="str">
        <f>"300083"</f>
        <v>300083</v>
      </c>
      <c r="C3460" t="s">
        <v>7262</v>
      </c>
      <c r="D3460" t="s">
        <v>2148</v>
      </c>
      <c r="E3460">
        <v>-74058712</v>
      </c>
      <c r="F3460">
        <v>-198896984</v>
      </c>
      <c r="G3460">
        <v>14752281</v>
      </c>
      <c r="H3460">
        <v>257296629</v>
      </c>
      <c r="I3460">
        <v>-56052513</v>
      </c>
      <c r="J3460">
        <v>-159378795</v>
      </c>
      <c r="K3460">
        <v>60209110</v>
      </c>
      <c r="L3460">
        <v>-23640740</v>
      </c>
      <c r="M3460">
        <v>-137353724</v>
      </c>
      <c r="N3460">
        <v>127130209</v>
      </c>
      <c r="O3460">
        <v>8833443</v>
      </c>
      <c r="P3460">
        <v>487</v>
      </c>
      <c r="Q3460" t="s">
        <v>7263</v>
      </c>
    </row>
    <row r="3461" spans="1:17" x14ac:dyDescent="0.3">
      <c r="A3461" t="s">
        <v>33</v>
      </c>
      <c r="B3461" t="str">
        <f>"300997"</f>
        <v>300997</v>
      </c>
      <c r="C3461" t="s">
        <v>7264</v>
      </c>
      <c r="D3461" t="s">
        <v>1187</v>
      </c>
      <c r="E3461">
        <v>-74114913</v>
      </c>
      <c r="F3461">
        <v>19944458</v>
      </c>
      <c r="G3461">
        <v>-36554727</v>
      </c>
      <c r="P3461">
        <v>39</v>
      </c>
      <c r="Q3461" t="s">
        <v>7265</v>
      </c>
    </row>
    <row r="3462" spans="1:17" x14ac:dyDescent="0.3">
      <c r="A3462" t="s">
        <v>33</v>
      </c>
      <c r="B3462" t="str">
        <f>"300977"</f>
        <v>300977</v>
      </c>
      <c r="C3462" t="s">
        <v>7266</v>
      </c>
      <c r="D3462" t="s">
        <v>4300</v>
      </c>
      <c r="E3462">
        <v>-74189957</v>
      </c>
      <c r="F3462">
        <v>-27795903</v>
      </c>
      <c r="G3462">
        <v>-39146427</v>
      </c>
      <c r="P3462">
        <v>46</v>
      </c>
      <c r="Q3462" t="s">
        <v>7267</v>
      </c>
    </row>
    <row r="3463" spans="1:17" x14ac:dyDescent="0.3">
      <c r="A3463" t="s">
        <v>17</v>
      </c>
      <c r="B3463" t="str">
        <f>"688173"</f>
        <v>688173</v>
      </c>
      <c r="C3463" t="s">
        <v>7268</v>
      </c>
      <c r="E3463">
        <v>-74280772</v>
      </c>
      <c r="P3463">
        <v>11</v>
      </c>
      <c r="Q3463" t="s">
        <v>7269</v>
      </c>
    </row>
    <row r="3464" spans="1:17" x14ac:dyDescent="0.3">
      <c r="A3464" t="s">
        <v>33</v>
      </c>
      <c r="B3464" t="str">
        <f>"300236"</f>
        <v>300236</v>
      </c>
      <c r="C3464" t="s">
        <v>7270</v>
      </c>
      <c r="D3464" t="s">
        <v>1330</v>
      </c>
      <c r="E3464">
        <v>-74296371</v>
      </c>
      <c r="F3464">
        <v>7060226</v>
      </c>
      <c r="G3464">
        <v>-4534417</v>
      </c>
      <c r="H3464">
        <v>-19356106</v>
      </c>
      <c r="I3464">
        <v>15830848</v>
      </c>
      <c r="J3464">
        <v>6379192</v>
      </c>
      <c r="K3464">
        <v>38087309</v>
      </c>
      <c r="L3464">
        <v>-6931946</v>
      </c>
      <c r="M3464">
        <v>1825470</v>
      </c>
      <c r="N3464">
        <v>4592776</v>
      </c>
      <c r="O3464">
        <v>3336657</v>
      </c>
      <c r="P3464">
        <v>414</v>
      </c>
      <c r="Q3464" t="s">
        <v>7271</v>
      </c>
    </row>
    <row r="3465" spans="1:17" x14ac:dyDescent="0.3">
      <c r="A3465" t="s">
        <v>33</v>
      </c>
      <c r="B3465" t="str">
        <f>"002992"</f>
        <v>002992</v>
      </c>
      <c r="C3465" t="s">
        <v>7272</v>
      </c>
      <c r="D3465" t="s">
        <v>102</v>
      </c>
      <c r="E3465">
        <v>-74601840</v>
      </c>
      <c r="F3465">
        <v>189080251</v>
      </c>
      <c r="G3465">
        <v>52223049</v>
      </c>
      <c r="H3465">
        <v>-2091757</v>
      </c>
      <c r="P3465">
        <v>51</v>
      </c>
      <c r="Q3465" t="s">
        <v>7273</v>
      </c>
    </row>
    <row r="3466" spans="1:17" x14ac:dyDescent="0.3">
      <c r="A3466" t="s">
        <v>33</v>
      </c>
      <c r="B3466" t="str">
        <f>"200058"</f>
        <v>200058</v>
      </c>
      <c r="C3466" t="s">
        <v>7274</v>
      </c>
      <c r="E3466">
        <v>-75084500.790000007</v>
      </c>
      <c r="F3466">
        <v>-76294468.227500007</v>
      </c>
      <c r="G3466">
        <v>-33336782.252099998</v>
      </c>
      <c r="H3466">
        <v>-11834380.7622</v>
      </c>
      <c r="I3466">
        <v>-1457250.1669999999</v>
      </c>
      <c r="J3466">
        <v>49902642.809799999</v>
      </c>
      <c r="K3466">
        <v>-36933680.188000001</v>
      </c>
      <c r="L3466">
        <v>-47287035</v>
      </c>
      <c r="M3466">
        <v>129325.5012</v>
      </c>
      <c r="N3466">
        <v>-98895028.013400003</v>
      </c>
      <c r="O3466">
        <v>14362442.676000001</v>
      </c>
      <c r="P3466">
        <v>7</v>
      </c>
      <c r="Q3466" t="s">
        <v>7275</v>
      </c>
    </row>
    <row r="3467" spans="1:17" x14ac:dyDescent="0.3">
      <c r="A3467" t="s">
        <v>17</v>
      </c>
      <c r="B3467" t="str">
        <f>"601929"</f>
        <v>601929</v>
      </c>
      <c r="C3467" t="s">
        <v>7276</v>
      </c>
      <c r="D3467" t="s">
        <v>1074</v>
      </c>
      <c r="E3467">
        <v>-75148828</v>
      </c>
      <c r="F3467">
        <v>-15268904</v>
      </c>
      <c r="G3467">
        <v>-40701543</v>
      </c>
      <c r="H3467">
        <v>-26541948</v>
      </c>
      <c r="I3467">
        <v>9327768</v>
      </c>
      <c r="J3467">
        <v>-13943598</v>
      </c>
      <c r="K3467">
        <v>5722719</v>
      </c>
      <c r="L3467">
        <v>5603389</v>
      </c>
      <c r="M3467">
        <v>100907027</v>
      </c>
      <c r="N3467">
        <v>31478226</v>
      </c>
      <c r="O3467">
        <v>77159427</v>
      </c>
      <c r="P3467">
        <v>159</v>
      </c>
      <c r="Q3467" t="s">
        <v>7277</v>
      </c>
    </row>
    <row r="3468" spans="1:17" x14ac:dyDescent="0.3">
      <c r="A3468" t="s">
        <v>33</v>
      </c>
      <c r="B3468" t="str">
        <f>"300887"</f>
        <v>300887</v>
      </c>
      <c r="C3468" t="s">
        <v>7278</v>
      </c>
      <c r="D3468" t="s">
        <v>2274</v>
      </c>
      <c r="E3468">
        <v>-75269395</v>
      </c>
      <c r="F3468">
        <v>-121307300</v>
      </c>
      <c r="G3468">
        <v>-71972375</v>
      </c>
      <c r="P3468">
        <v>117</v>
      </c>
      <c r="Q3468" t="s">
        <v>7279</v>
      </c>
    </row>
    <row r="3469" spans="1:17" x14ac:dyDescent="0.3">
      <c r="A3469" t="s">
        <v>17</v>
      </c>
      <c r="B3469" t="str">
        <f>"600917"</f>
        <v>600917</v>
      </c>
      <c r="C3469" t="s">
        <v>7280</v>
      </c>
      <c r="D3469" t="s">
        <v>649</v>
      </c>
      <c r="E3469">
        <v>-75283248</v>
      </c>
      <c r="F3469">
        <v>168679262</v>
      </c>
      <c r="G3469">
        <v>23065294</v>
      </c>
      <c r="H3469">
        <v>35210236</v>
      </c>
      <c r="I3469">
        <v>219639524</v>
      </c>
      <c r="J3469">
        <v>100037792</v>
      </c>
      <c r="K3469">
        <v>179739275</v>
      </c>
      <c r="L3469">
        <v>72510386</v>
      </c>
      <c r="M3469">
        <v>71164665</v>
      </c>
      <c r="P3469">
        <v>176</v>
      </c>
      <c r="Q3469" t="s">
        <v>7281</v>
      </c>
    </row>
    <row r="3470" spans="1:17" x14ac:dyDescent="0.3">
      <c r="A3470" t="s">
        <v>33</v>
      </c>
      <c r="B3470" t="str">
        <f>"002669"</f>
        <v>002669</v>
      </c>
      <c r="C3470" t="s">
        <v>7282</v>
      </c>
      <c r="D3470" t="s">
        <v>3093</v>
      </c>
      <c r="E3470">
        <v>-75340460</v>
      </c>
      <c r="F3470">
        <v>-32399406</v>
      </c>
      <c r="G3470">
        <v>-30523017</v>
      </c>
      <c r="H3470">
        <v>33523917</v>
      </c>
      <c r="I3470">
        <v>-131725565</v>
      </c>
      <c r="J3470">
        <v>-1389435</v>
      </c>
      <c r="K3470">
        <v>7673280</v>
      </c>
      <c r="L3470">
        <v>-41524772</v>
      </c>
      <c r="M3470">
        <v>-14594565</v>
      </c>
      <c r="N3470">
        <v>-415395</v>
      </c>
      <c r="O3470">
        <v>-19491874</v>
      </c>
      <c r="P3470">
        <v>138</v>
      </c>
      <c r="Q3470" t="s">
        <v>7283</v>
      </c>
    </row>
    <row r="3471" spans="1:17" x14ac:dyDescent="0.3">
      <c r="A3471" t="s">
        <v>33</v>
      </c>
      <c r="B3471" t="str">
        <f>"300747"</f>
        <v>300747</v>
      </c>
      <c r="C3471" t="s">
        <v>7284</v>
      </c>
      <c r="D3471" t="s">
        <v>3169</v>
      </c>
      <c r="E3471">
        <v>-75441250</v>
      </c>
      <c r="F3471">
        <v>-113976300</v>
      </c>
      <c r="G3471">
        <v>-54500374</v>
      </c>
      <c r="H3471">
        <v>-94779735</v>
      </c>
      <c r="I3471">
        <v>-6045200</v>
      </c>
      <c r="J3471">
        <v>4592400</v>
      </c>
      <c r="P3471">
        <v>3347</v>
      </c>
      <c r="Q3471" t="s">
        <v>7285</v>
      </c>
    </row>
    <row r="3472" spans="1:17" x14ac:dyDescent="0.3">
      <c r="A3472" t="s">
        <v>33</v>
      </c>
      <c r="B3472" t="str">
        <f>"300745"</f>
        <v>300745</v>
      </c>
      <c r="C3472" t="s">
        <v>7286</v>
      </c>
      <c r="D3472" t="s">
        <v>1419</v>
      </c>
      <c r="E3472">
        <v>-75498473</v>
      </c>
      <c r="F3472">
        <v>-37736539</v>
      </c>
      <c r="G3472">
        <v>-22049227</v>
      </c>
      <c r="H3472">
        <v>21341992</v>
      </c>
      <c r="I3472">
        <v>-93066586</v>
      </c>
      <c r="P3472">
        <v>76</v>
      </c>
      <c r="Q3472" t="s">
        <v>7287</v>
      </c>
    </row>
    <row r="3473" spans="1:17" x14ac:dyDescent="0.3">
      <c r="A3473" t="s">
        <v>33</v>
      </c>
      <c r="B3473" t="str">
        <f>"300027"</f>
        <v>300027</v>
      </c>
      <c r="C3473" t="s">
        <v>7288</v>
      </c>
      <c r="D3473" t="s">
        <v>314</v>
      </c>
      <c r="E3473">
        <v>-75514864</v>
      </c>
      <c r="F3473">
        <v>385390077</v>
      </c>
      <c r="G3473">
        <v>-394249221</v>
      </c>
      <c r="H3473">
        <v>-145085903</v>
      </c>
      <c r="I3473">
        <v>691280444</v>
      </c>
      <c r="J3473">
        <v>-300482921</v>
      </c>
      <c r="K3473">
        <v>24820745</v>
      </c>
      <c r="L3473">
        <v>-197951810</v>
      </c>
      <c r="M3473">
        <v>63126731</v>
      </c>
      <c r="N3473">
        <v>23060204</v>
      </c>
      <c r="O3473">
        <v>-140493916</v>
      </c>
      <c r="P3473">
        <v>475</v>
      </c>
      <c r="Q3473" t="s">
        <v>7289</v>
      </c>
    </row>
    <row r="3474" spans="1:17" x14ac:dyDescent="0.3">
      <c r="A3474" t="s">
        <v>33</v>
      </c>
      <c r="B3474" t="str">
        <f>"003005"</f>
        <v>003005</v>
      </c>
      <c r="C3474" t="s">
        <v>7290</v>
      </c>
      <c r="D3474" t="s">
        <v>508</v>
      </c>
      <c r="E3474">
        <v>-75540347</v>
      </c>
      <c r="F3474">
        <v>-87263646</v>
      </c>
      <c r="G3474">
        <v>-54854276</v>
      </c>
      <c r="P3474">
        <v>68</v>
      </c>
      <c r="Q3474" t="s">
        <v>7291</v>
      </c>
    </row>
    <row r="3475" spans="1:17" x14ac:dyDescent="0.3">
      <c r="A3475" t="s">
        <v>33</v>
      </c>
      <c r="B3475" t="str">
        <f>"002260"</f>
        <v>002260</v>
      </c>
      <c r="C3475" t="s">
        <v>7292</v>
      </c>
      <c r="D3475" t="s">
        <v>849</v>
      </c>
      <c r="E3475">
        <v>-75581076</v>
      </c>
      <c r="F3475">
        <v>-28920780</v>
      </c>
      <c r="G3475">
        <v>-7834861</v>
      </c>
      <c r="H3475">
        <v>7456956</v>
      </c>
      <c r="I3475">
        <v>33067652</v>
      </c>
      <c r="J3475">
        <v>-18211110</v>
      </c>
      <c r="K3475">
        <v>28436800</v>
      </c>
      <c r="L3475">
        <v>-10431638</v>
      </c>
      <c r="M3475">
        <v>-269417</v>
      </c>
      <c r="N3475">
        <v>8511719</v>
      </c>
      <c r="O3475">
        <v>-5401332</v>
      </c>
      <c r="P3475">
        <v>57</v>
      </c>
      <c r="Q3475" t="s">
        <v>7293</v>
      </c>
    </row>
    <row r="3476" spans="1:17" x14ac:dyDescent="0.3">
      <c r="A3476" t="s">
        <v>17</v>
      </c>
      <c r="B3476" t="str">
        <f>"603918"</f>
        <v>603918</v>
      </c>
      <c r="C3476" t="s">
        <v>7294</v>
      </c>
      <c r="D3476" t="s">
        <v>508</v>
      </c>
      <c r="E3476">
        <v>-75762998</v>
      </c>
      <c r="F3476">
        <v>-55603781</v>
      </c>
      <c r="G3476">
        <v>-44514066</v>
      </c>
      <c r="H3476">
        <v>-149616662</v>
      </c>
      <c r="I3476">
        <v>-143274139</v>
      </c>
      <c r="J3476">
        <v>-94019194</v>
      </c>
      <c r="K3476">
        <v>-94619743</v>
      </c>
      <c r="L3476">
        <v>-81723500</v>
      </c>
      <c r="M3476">
        <v>-75989500</v>
      </c>
      <c r="P3476">
        <v>142</v>
      </c>
      <c r="Q3476" t="s">
        <v>7295</v>
      </c>
    </row>
    <row r="3477" spans="1:17" x14ac:dyDescent="0.3">
      <c r="A3477" t="s">
        <v>17</v>
      </c>
      <c r="B3477" t="str">
        <f>"688619"</f>
        <v>688619</v>
      </c>
      <c r="C3477" t="s">
        <v>7296</v>
      </c>
      <c r="D3477" t="s">
        <v>2597</v>
      </c>
      <c r="E3477">
        <v>-76015019</v>
      </c>
      <c r="F3477">
        <v>-124813050</v>
      </c>
      <c r="G3477">
        <v>-82036057</v>
      </c>
      <c r="H3477">
        <v>-16768600</v>
      </c>
      <c r="P3477">
        <v>31</v>
      </c>
      <c r="Q3477" t="s">
        <v>7297</v>
      </c>
    </row>
    <row r="3478" spans="1:17" x14ac:dyDescent="0.3">
      <c r="A3478" t="s">
        <v>33</v>
      </c>
      <c r="B3478" t="str">
        <f>"300389"</f>
        <v>300389</v>
      </c>
      <c r="C3478" t="s">
        <v>7298</v>
      </c>
      <c r="D3478" t="s">
        <v>1299</v>
      </c>
      <c r="E3478">
        <v>-76077762</v>
      </c>
      <c r="F3478">
        <v>-14131833</v>
      </c>
      <c r="G3478">
        <v>-52545997</v>
      </c>
      <c r="H3478">
        <v>-23299209</v>
      </c>
      <c r="I3478">
        <v>-60784109</v>
      </c>
      <c r="J3478">
        <v>-8035229</v>
      </c>
      <c r="K3478">
        <v>-45374956</v>
      </c>
      <c r="L3478">
        <v>-76698593</v>
      </c>
      <c r="M3478">
        <v>-8455252</v>
      </c>
      <c r="N3478">
        <v>11539986</v>
      </c>
      <c r="P3478">
        <v>198</v>
      </c>
      <c r="Q3478" t="s">
        <v>7299</v>
      </c>
    </row>
    <row r="3479" spans="1:17" x14ac:dyDescent="0.3">
      <c r="A3479" t="s">
        <v>17</v>
      </c>
      <c r="B3479" t="str">
        <f>"603330"</f>
        <v>603330</v>
      </c>
      <c r="C3479" t="s">
        <v>7300</v>
      </c>
      <c r="D3479" t="s">
        <v>1483</v>
      </c>
      <c r="E3479">
        <v>-76270199</v>
      </c>
      <c r="F3479">
        <v>-42900389</v>
      </c>
      <c r="G3479">
        <v>-2420197</v>
      </c>
      <c r="H3479">
        <v>11459505</v>
      </c>
      <c r="I3479">
        <v>-14874778</v>
      </c>
      <c r="J3479">
        <v>-27411546</v>
      </c>
      <c r="K3479">
        <v>-1188708</v>
      </c>
      <c r="P3479">
        <v>136</v>
      </c>
      <c r="Q3479" t="s">
        <v>7301</v>
      </c>
    </row>
    <row r="3480" spans="1:17" x14ac:dyDescent="0.3">
      <c r="A3480" t="s">
        <v>33</v>
      </c>
      <c r="B3480" t="str">
        <f>"300427"</f>
        <v>300427</v>
      </c>
      <c r="C3480" t="s">
        <v>7302</v>
      </c>
      <c r="D3480" t="s">
        <v>1182</v>
      </c>
      <c r="E3480">
        <v>-76340510</v>
      </c>
      <c r="F3480">
        <v>40170796</v>
      </c>
      <c r="G3480">
        <v>-29236861</v>
      </c>
      <c r="H3480">
        <v>-12811912</v>
      </c>
      <c r="I3480">
        <v>-49980084</v>
      </c>
      <c r="J3480">
        <v>-13137476</v>
      </c>
      <c r="K3480">
        <v>-26345898</v>
      </c>
      <c r="L3480">
        <v>-29202744</v>
      </c>
      <c r="M3480">
        <v>-21915048</v>
      </c>
      <c r="P3480">
        <v>249</v>
      </c>
      <c r="Q3480" t="s">
        <v>7303</v>
      </c>
    </row>
    <row r="3481" spans="1:17" x14ac:dyDescent="0.3">
      <c r="A3481" t="s">
        <v>33</v>
      </c>
      <c r="B3481" t="str">
        <f>"300302"</f>
        <v>300302</v>
      </c>
      <c r="C3481" t="s">
        <v>7304</v>
      </c>
      <c r="D3481" t="s">
        <v>1571</v>
      </c>
      <c r="E3481">
        <v>-76406723</v>
      </c>
      <c r="F3481">
        <v>5173670</v>
      </c>
      <c r="G3481">
        <v>-25163831</v>
      </c>
      <c r="H3481">
        <v>-12407830</v>
      </c>
      <c r="I3481">
        <v>-37974488</v>
      </c>
      <c r="J3481">
        <v>-48262036</v>
      </c>
      <c r="K3481">
        <v>-103954529</v>
      </c>
      <c r="L3481">
        <v>-16564400</v>
      </c>
      <c r="M3481">
        <v>-20736849</v>
      </c>
      <c r="N3481">
        <v>-37266826</v>
      </c>
      <c r="O3481">
        <v>-26335135</v>
      </c>
      <c r="P3481">
        <v>146</v>
      </c>
      <c r="Q3481" t="s">
        <v>7305</v>
      </c>
    </row>
    <row r="3482" spans="1:17" x14ac:dyDescent="0.3">
      <c r="A3482" t="s">
        <v>33</v>
      </c>
      <c r="B3482" t="str">
        <f>"300634"</f>
        <v>300634</v>
      </c>
      <c r="C3482" t="s">
        <v>7306</v>
      </c>
      <c r="D3482" t="s">
        <v>508</v>
      </c>
      <c r="E3482">
        <v>-76410289</v>
      </c>
      <c r="F3482">
        <v>-34355270</v>
      </c>
      <c r="G3482">
        <v>-34718486</v>
      </c>
      <c r="H3482">
        <v>-47797662</v>
      </c>
      <c r="I3482">
        <v>-107356108</v>
      </c>
      <c r="J3482">
        <v>-91017382</v>
      </c>
      <c r="P3482">
        <v>159</v>
      </c>
      <c r="Q3482" t="s">
        <v>7307</v>
      </c>
    </row>
    <row r="3483" spans="1:17" x14ac:dyDescent="0.3">
      <c r="A3483" t="s">
        <v>33</v>
      </c>
      <c r="B3483" t="str">
        <f>"002838"</f>
        <v>002838</v>
      </c>
      <c r="C3483" t="s">
        <v>7308</v>
      </c>
      <c r="D3483" t="s">
        <v>1556</v>
      </c>
      <c r="E3483">
        <v>-76459754</v>
      </c>
      <c r="F3483">
        <v>-132239391</v>
      </c>
      <c r="G3483">
        <v>75878425</v>
      </c>
      <c r="H3483">
        <v>20434212</v>
      </c>
      <c r="I3483">
        <v>-7175532</v>
      </c>
      <c r="J3483">
        <v>-21341159</v>
      </c>
      <c r="K3483">
        <v>5718702</v>
      </c>
      <c r="P3483">
        <v>614</v>
      </c>
      <c r="Q3483" t="s">
        <v>7309</v>
      </c>
    </row>
    <row r="3484" spans="1:17" x14ac:dyDescent="0.3">
      <c r="A3484" t="s">
        <v>17</v>
      </c>
      <c r="B3484" t="str">
        <f>"688333"</f>
        <v>688333</v>
      </c>
      <c r="C3484" t="s">
        <v>7310</v>
      </c>
      <c r="D3484" t="s">
        <v>1910</v>
      </c>
      <c r="E3484">
        <v>-76479656</v>
      </c>
      <c r="F3484">
        <v>-41777240</v>
      </c>
      <c r="G3484">
        <v>9707230</v>
      </c>
      <c r="H3484">
        <v>-18309300</v>
      </c>
      <c r="I3484">
        <v>-59869700</v>
      </c>
      <c r="P3484">
        <v>117</v>
      </c>
      <c r="Q3484" t="s">
        <v>7311</v>
      </c>
    </row>
    <row r="3485" spans="1:17" x14ac:dyDescent="0.3">
      <c r="A3485" t="s">
        <v>17</v>
      </c>
      <c r="B3485" t="str">
        <f>"603889"</f>
        <v>603889</v>
      </c>
      <c r="C3485" t="s">
        <v>7312</v>
      </c>
      <c r="D3485" t="s">
        <v>1292</v>
      </c>
      <c r="E3485">
        <v>-76804746</v>
      </c>
      <c r="F3485">
        <v>-144739690</v>
      </c>
      <c r="G3485">
        <v>-124138644</v>
      </c>
      <c r="H3485">
        <v>-54965592</v>
      </c>
      <c r="I3485">
        <v>-148604849</v>
      </c>
      <c r="J3485">
        <v>-221599563</v>
      </c>
      <c r="K3485">
        <v>-103364367</v>
      </c>
      <c r="L3485">
        <v>-180743235</v>
      </c>
      <c r="M3485">
        <v>-71116918</v>
      </c>
      <c r="P3485">
        <v>121</v>
      </c>
      <c r="Q3485" t="s">
        <v>7313</v>
      </c>
    </row>
    <row r="3486" spans="1:17" x14ac:dyDescent="0.3">
      <c r="A3486" t="s">
        <v>33</v>
      </c>
      <c r="B3486" t="str">
        <f>"002059"</f>
        <v>002059</v>
      </c>
      <c r="C3486" t="s">
        <v>7314</v>
      </c>
      <c r="D3486" t="s">
        <v>3669</v>
      </c>
      <c r="E3486">
        <v>-76840047</v>
      </c>
      <c r="F3486">
        <v>467223811</v>
      </c>
      <c r="G3486">
        <v>-210531611</v>
      </c>
      <c r="H3486">
        <v>409274403</v>
      </c>
      <c r="I3486">
        <v>-298645552</v>
      </c>
      <c r="J3486">
        <v>18358418</v>
      </c>
      <c r="K3486">
        <v>-86143312</v>
      </c>
      <c r="L3486">
        <v>-85446302</v>
      </c>
      <c r="M3486">
        <v>-109449865</v>
      </c>
      <c r="N3486">
        <v>-31191979</v>
      </c>
      <c r="O3486">
        <v>66678813</v>
      </c>
      <c r="P3486">
        <v>160</v>
      </c>
      <c r="Q3486" t="s">
        <v>7315</v>
      </c>
    </row>
    <row r="3487" spans="1:17" x14ac:dyDescent="0.3">
      <c r="A3487" t="s">
        <v>17</v>
      </c>
      <c r="B3487" t="str">
        <f>"605376"</f>
        <v>605376</v>
      </c>
      <c r="C3487" t="s">
        <v>7316</v>
      </c>
      <c r="D3487" t="s">
        <v>720</v>
      </c>
      <c r="E3487">
        <v>-76845318</v>
      </c>
      <c r="F3487">
        <v>-33877324</v>
      </c>
      <c r="G3487">
        <v>-17435217</v>
      </c>
      <c r="P3487">
        <v>110</v>
      </c>
      <c r="Q3487" t="s">
        <v>7317</v>
      </c>
    </row>
    <row r="3488" spans="1:17" x14ac:dyDescent="0.3">
      <c r="A3488" t="s">
        <v>33</v>
      </c>
      <c r="B3488" t="str">
        <f>"003033"</f>
        <v>003033</v>
      </c>
      <c r="C3488" t="s">
        <v>7318</v>
      </c>
      <c r="D3488" t="s">
        <v>1069</v>
      </c>
      <c r="E3488">
        <v>-76905679</v>
      </c>
      <c r="F3488">
        <v>-22457006</v>
      </c>
      <c r="G3488">
        <v>-10474583</v>
      </c>
      <c r="H3488">
        <v>5549300</v>
      </c>
      <c r="P3488">
        <v>67</v>
      </c>
      <c r="Q3488" t="s">
        <v>7319</v>
      </c>
    </row>
    <row r="3489" spans="1:17" x14ac:dyDescent="0.3">
      <c r="A3489" t="s">
        <v>17</v>
      </c>
      <c r="B3489" t="str">
        <f>"600333"</f>
        <v>600333</v>
      </c>
      <c r="C3489" t="s">
        <v>7320</v>
      </c>
      <c r="D3489" t="s">
        <v>649</v>
      </c>
      <c r="E3489">
        <v>-76942829</v>
      </c>
      <c r="F3489">
        <v>-30406886</v>
      </c>
      <c r="G3489">
        <v>-98659911</v>
      </c>
      <c r="H3489">
        <v>-60343613</v>
      </c>
      <c r="I3489">
        <v>-38369517</v>
      </c>
      <c r="J3489">
        <v>-4860985</v>
      </c>
      <c r="K3489">
        <v>45474179</v>
      </c>
      <c r="L3489">
        <v>-47627572</v>
      </c>
      <c r="M3489">
        <v>-46146423</v>
      </c>
      <c r="N3489">
        <v>22154107</v>
      </c>
      <c r="O3489">
        <v>15223929</v>
      </c>
      <c r="P3489">
        <v>103</v>
      </c>
      <c r="Q3489" t="s">
        <v>7321</v>
      </c>
    </row>
    <row r="3490" spans="1:17" x14ac:dyDescent="0.3">
      <c r="A3490" t="s">
        <v>17</v>
      </c>
      <c r="B3490" t="str">
        <f>"688118"</f>
        <v>688118</v>
      </c>
      <c r="C3490" t="s">
        <v>7322</v>
      </c>
      <c r="D3490" t="s">
        <v>807</v>
      </c>
      <c r="E3490">
        <v>-76947559</v>
      </c>
      <c r="F3490">
        <v>-48326678</v>
      </c>
      <c r="G3490">
        <v>-78563494</v>
      </c>
      <c r="H3490">
        <v>-58649692</v>
      </c>
      <c r="P3490">
        <v>71</v>
      </c>
      <c r="Q3490" t="s">
        <v>7323</v>
      </c>
    </row>
    <row r="3491" spans="1:17" x14ac:dyDescent="0.3">
      <c r="A3491" t="s">
        <v>17</v>
      </c>
      <c r="B3491" t="str">
        <f>"688239"</f>
        <v>688239</v>
      </c>
      <c r="C3491" t="s">
        <v>7324</v>
      </c>
      <c r="D3491" t="s">
        <v>2262</v>
      </c>
      <c r="E3491">
        <v>-76999346</v>
      </c>
      <c r="F3491">
        <v>13789093</v>
      </c>
      <c r="G3491">
        <v>21098356</v>
      </c>
      <c r="P3491">
        <v>57</v>
      </c>
      <c r="Q3491" t="s">
        <v>7325</v>
      </c>
    </row>
    <row r="3492" spans="1:17" x14ac:dyDescent="0.3">
      <c r="A3492" t="s">
        <v>17</v>
      </c>
      <c r="B3492" t="str">
        <f>"603869"</f>
        <v>603869</v>
      </c>
      <c r="C3492" t="s">
        <v>7326</v>
      </c>
      <c r="D3492" t="s">
        <v>508</v>
      </c>
      <c r="E3492">
        <v>-77008712</v>
      </c>
      <c r="F3492">
        <v>-9369270</v>
      </c>
      <c r="G3492">
        <v>-65472827</v>
      </c>
      <c r="H3492">
        <v>69631277</v>
      </c>
      <c r="I3492">
        <v>-203267418</v>
      </c>
      <c r="J3492">
        <v>-192459984</v>
      </c>
      <c r="K3492">
        <v>166927</v>
      </c>
      <c r="L3492">
        <v>3512816</v>
      </c>
      <c r="M3492">
        <v>2341239</v>
      </c>
      <c r="P3492">
        <v>143</v>
      </c>
      <c r="Q3492" t="s">
        <v>7327</v>
      </c>
    </row>
    <row r="3493" spans="1:17" x14ac:dyDescent="0.3">
      <c r="A3493" t="s">
        <v>33</v>
      </c>
      <c r="B3493" t="str">
        <f>"003042"</f>
        <v>003042</v>
      </c>
      <c r="C3493" t="s">
        <v>7328</v>
      </c>
      <c r="D3493" t="s">
        <v>636</v>
      </c>
      <c r="E3493">
        <v>-77047987</v>
      </c>
      <c r="F3493">
        <v>-33507032</v>
      </c>
      <c r="G3493">
        <v>-44324144</v>
      </c>
      <c r="P3493">
        <v>29</v>
      </c>
      <c r="Q3493" t="s">
        <v>7329</v>
      </c>
    </row>
    <row r="3494" spans="1:17" x14ac:dyDescent="0.3">
      <c r="A3494" t="s">
        <v>17</v>
      </c>
      <c r="B3494" t="str">
        <f>"600822"</f>
        <v>600822</v>
      </c>
      <c r="C3494" t="s">
        <v>7330</v>
      </c>
      <c r="D3494" t="s">
        <v>2643</v>
      </c>
      <c r="E3494">
        <v>-77235285</v>
      </c>
      <c r="F3494">
        <v>-275493677</v>
      </c>
      <c r="G3494">
        <v>-225560574</v>
      </c>
      <c r="H3494">
        <v>30356174</v>
      </c>
      <c r="I3494">
        <v>61773158</v>
      </c>
      <c r="J3494">
        <v>-352737905</v>
      </c>
      <c r="K3494">
        <v>-214419395</v>
      </c>
      <c r="L3494">
        <v>11581262</v>
      </c>
      <c r="M3494">
        <v>-239403176</v>
      </c>
      <c r="N3494">
        <v>-527292707</v>
      </c>
      <c r="O3494">
        <v>-393172591</v>
      </c>
      <c r="P3494">
        <v>75</v>
      </c>
      <c r="Q3494" t="s">
        <v>7331</v>
      </c>
    </row>
    <row r="3495" spans="1:17" x14ac:dyDescent="0.3">
      <c r="A3495" t="s">
        <v>17</v>
      </c>
      <c r="B3495" t="str">
        <f>"603129"</f>
        <v>603129</v>
      </c>
      <c r="C3495" t="s">
        <v>7332</v>
      </c>
      <c r="D3495" t="s">
        <v>1069</v>
      </c>
      <c r="E3495">
        <v>-77405235</v>
      </c>
      <c r="F3495">
        <v>109512292</v>
      </c>
      <c r="G3495">
        <v>-22530263</v>
      </c>
      <c r="H3495">
        <v>11421366</v>
      </c>
      <c r="I3495">
        <v>-6239386</v>
      </c>
      <c r="J3495">
        <v>31933578</v>
      </c>
      <c r="K3495">
        <v>45106386</v>
      </c>
      <c r="P3495">
        <v>625</v>
      </c>
      <c r="Q3495" t="s">
        <v>7333</v>
      </c>
    </row>
    <row r="3496" spans="1:17" x14ac:dyDescent="0.3">
      <c r="A3496" t="s">
        <v>33</v>
      </c>
      <c r="B3496" t="str">
        <f>"002557"</f>
        <v>002557</v>
      </c>
      <c r="C3496" t="s">
        <v>7334</v>
      </c>
      <c r="D3496" t="s">
        <v>1157</v>
      </c>
      <c r="E3496">
        <v>-77770251</v>
      </c>
      <c r="F3496">
        <v>272958959</v>
      </c>
      <c r="G3496">
        <v>235820701</v>
      </c>
      <c r="H3496">
        <v>88776928</v>
      </c>
      <c r="I3496">
        <v>72980680</v>
      </c>
      <c r="J3496">
        <v>160288273</v>
      </c>
      <c r="K3496">
        <v>267328617</v>
      </c>
      <c r="L3496">
        <v>95167847</v>
      </c>
      <c r="M3496">
        <v>47231877</v>
      </c>
      <c r="N3496">
        <v>98272513</v>
      </c>
      <c r="O3496">
        <v>-33158775</v>
      </c>
      <c r="P3496">
        <v>1823</v>
      </c>
      <c r="Q3496" t="s">
        <v>7335</v>
      </c>
    </row>
    <row r="3497" spans="1:17" x14ac:dyDescent="0.3">
      <c r="A3497" t="s">
        <v>17</v>
      </c>
      <c r="B3497" t="str">
        <f>"688097"</f>
        <v>688097</v>
      </c>
      <c r="C3497" t="s">
        <v>7336</v>
      </c>
      <c r="D3497" t="s">
        <v>4171</v>
      </c>
      <c r="E3497">
        <v>-77776973</v>
      </c>
      <c r="F3497">
        <v>-255939366</v>
      </c>
      <c r="G3497">
        <v>-23998210</v>
      </c>
      <c r="P3497">
        <v>25</v>
      </c>
      <c r="Q3497" t="s">
        <v>7337</v>
      </c>
    </row>
    <row r="3498" spans="1:17" x14ac:dyDescent="0.3">
      <c r="A3498" t="s">
        <v>17</v>
      </c>
      <c r="B3498" t="str">
        <f>"603068"</f>
        <v>603068</v>
      </c>
      <c r="C3498" t="s">
        <v>7338</v>
      </c>
      <c r="D3498" t="s">
        <v>1192</v>
      </c>
      <c r="E3498">
        <v>-77847210</v>
      </c>
      <c r="F3498">
        <v>-6022076</v>
      </c>
      <c r="G3498">
        <v>6834080</v>
      </c>
      <c r="H3498">
        <v>1917366</v>
      </c>
      <c r="I3498">
        <v>69315431</v>
      </c>
      <c r="P3498">
        <v>345</v>
      </c>
      <c r="Q3498" t="s">
        <v>7339</v>
      </c>
    </row>
    <row r="3499" spans="1:17" x14ac:dyDescent="0.3">
      <c r="A3499" t="s">
        <v>33</v>
      </c>
      <c r="B3499" t="str">
        <f>"301030"</f>
        <v>301030</v>
      </c>
      <c r="C3499" t="s">
        <v>7340</v>
      </c>
      <c r="D3499" t="s">
        <v>1763</v>
      </c>
      <c r="E3499">
        <v>-77975895</v>
      </c>
      <c r="F3499">
        <v>31272670</v>
      </c>
      <c r="G3499">
        <v>-87107033</v>
      </c>
      <c r="P3499">
        <v>19</v>
      </c>
      <c r="Q3499" t="s">
        <v>7341</v>
      </c>
    </row>
    <row r="3500" spans="1:17" x14ac:dyDescent="0.3">
      <c r="A3500" t="s">
        <v>17</v>
      </c>
      <c r="B3500" t="str">
        <f>"688529"</f>
        <v>688529</v>
      </c>
      <c r="C3500" t="s">
        <v>7342</v>
      </c>
      <c r="D3500" t="s">
        <v>1895</v>
      </c>
      <c r="E3500">
        <v>-77988360</v>
      </c>
      <c r="F3500">
        <v>-162704947</v>
      </c>
      <c r="P3500">
        <v>33</v>
      </c>
      <c r="Q3500" t="s">
        <v>7343</v>
      </c>
    </row>
    <row r="3501" spans="1:17" x14ac:dyDescent="0.3">
      <c r="A3501" t="s">
        <v>17</v>
      </c>
      <c r="B3501" t="str">
        <f>"688102"</f>
        <v>688102</v>
      </c>
      <c r="C3501" t="s">
        <v>7344</v>
      </c>
      <c r="E3501">
        <v>-77992263</v>
      </c>
      <c r="P3501">
        <v>3</v>
      </c>
      <c r="Q3501" t="s">
        <v>7345</v>
      </c>
    </row>
    <row r="3502" spans="1:17" x14ac:dyDescent="0.3">
      <c r="A3502" t="s">
        <v>33</v>
      </c>
      <c r="B3502" t="str">
        <f>"300124"</f>
        <v>300124</v>
      </c>
      <c r="C3502" t="s">
        <v>7346</v>
      </c>
      <c r="D3502" t="s">
        <v>2148</v>
      </c>
      <c r="E3502">
        <v>-78016309</v>
      </c>
      <c r="F3502">
        <v>276592197</v>
      </c>
      <c r="G3502">
        <v>150465138</v>
      </c>
      <c r="H3502">
        <v>21492247</v>
      </c>
      <c r="I3502">
        <v>-94486215</v>
      </c>
      <c r="J3502">
        <v>4565160</v>
      </c>
      <c r="K3502">
        <v>10002619</v>
      </c>
      <c r="L3502">
        <v>74533894</v>
      </c>
      <c r="M3502">
        <v>-45030033</v>
      </c>
      <c r="N3502">
        <v>73027204</v>
      </c>
      <c r="O3502">
        <v>173883</v>
      </c>
      <c r="P3502">
        <v>2412</v>
      </c>
      <c r="Q3502" t="s">
        <v>7347</v>
      </c>
    </row>
    <row r="3503" spans="1:17" x14ac:dyDescent="0.3">
      <c r="A3503" t="s">
        <v>17</v>
      </c>
      <c r="B3503" t="str">
        <f>"603212"</f>
        <v>603212</v>
      </c>
      <c r="C3503" t="s">
        <v>7348</v>
      </c>
      <c r="D3503" t="s">
        <v>800</v>
      </c>
      <c r="E3503">
        <v>-78032346</v>
      </c>
      <c r="F3503">
        <v>-244454221</v>
      </c>
      <c r="G3503">
        <v>81358110</v>
      </c>
      <c r="H3503">
        <v>21191980</v>
      </c>
      <c r="P3503">
        <v>129</v>
      </c>
      <c r="Q3503" t="s">
        <v>7349</v>
      </c>
    </row>
    <row r="3504" spans="1:17" x14ac:dyDescent="0.3">
      <c r="A3504" t="s">
        <v>33</v>
      </c>
      <c r="B3504" t="str">
        <f>"301029"</f>
        <v>301029</v>
      </c>
      <c r="C3504" t="s">
        <v>7350</v>
      </c>
      <c r="D3504" t="s">
        <v>4171</v>
      </c>
      <c r="E3504">
        <v>-78059035</v>
      </c>
      <c r="F3504">
        <v>-14452355</v>
      </c>
      <c r="G3504">
        <v>-2494779</v>
      </c>
      <c r="P3504">
        <v>67</v>
      </c>
      <c r="Q3504" t="s">
        <v>7351</v>
      </c>
    </row>
    <row r="3505" spans="1:17" x14ac:dyDescent="0.3">
      <c r="A3505" t="s">
        <v>17</v>
      </c>
      <c r="B3505" t="str">
        <f>"600343"</f>
        <v>600343</v>
      </c>
      <c r="C3505" t="s">
        <v>7352</v>
      </c>
      <c r="D3505" t="s">
        <v>2671</v>
      </c>
      <c r="E3505">
        <v>-78087584</v>
      </c>
      <c r="F3505">
        <v>-156088824</v>
      </c>
      <c r="G3505">
        <v>-96633121</v>
      </c>
      <c r="H3505">
        <v>-106912179</v>
      </c>
      <c r="I3505">
        <v>-226703040</v>
      </c>
      <c r="J3505">
        <v>-106495059</v>
      </c>
      <c r="K3505">
        <v>-235903490</v>
      </c>
      <c r="L3505">
        <v>-186424458</v>
      </c>
      <c r="M3505">
        <v>-126220270</v>
      </c>
      <c r="N3505">
        <v>-145614563</v>
      </c>
      <c r="O3505">
        <v>-57339922</v>
      </c>
      <c r="P3505">
        <v>128</v>
      </c>
      <c r="Q3505" t="s">
        <v>7353</v>
      </c>
    </row>
    <row r="3506" spans="1:17" x14ac:dyDescent="0.3">
      <c r="A3506" t="s">
        <v>33</v>
      </c>
      <c r="B3506" t="str">
        <f>"300649"</f>
        <v>300649</v>
      </c>
      <c r="C3506" t="s">
        <v>7354</v>
      </c>
      <c r="D3506" t="s">
        <v>2330</v>
      </c>
      <c r="E3506">
        <v>-78130606</v>
      </c>
      <c r="F3506">
        <v>-31133971</v>
      </c>
      <c r="G3506">
        <v>-63252991</v>
      </c>
      <c r="H3506">
        <v>-23254533</v>
      </c>
      <c r="I3506">
        <v>-22751515</v>
      </c>
      <c r="J3506">
        <v>-21974730</v>
      </c>
      <c r="K3506">
        <v>-14005806</v>
      </c>
      <c r="P3506">
        <v>91</v>
      </c>
      <c r="Q3506" t="s">
        <v>7355</v>
      </c>
    </row>
    <row r="3507" spans="1:17" x14ac:dyDescent="0.3">
      <c r="A3507" t="s">
        <v>33</v>
      </c>
      <c r="B3507" t="str">
        <f>"002224"</f>
        <v>002224</v>
      </c>
      <c r="C3507" t="s">
        <v>7356</v>
      </c>
      <c r="D3507" t="s">
        <v>2369</v>
      </c>
      <c r="E3507">
        <v>-78199727</v>
      </c>
      <c r="F3507">
        <v>43798110</v>
      </c>
      <c r="G3507">
        <v>-19371742</v>
      </c>
      <c r="H3507">
        <v>4375175</v>
      </c>
      <c r="I3507">
        <v>-26473935</v>
      </c>
      <c r="J3507">
        <v>-72319452</v>
      </c>
      <c r="K3507">
        <v>-15426189</v>
      </c>
      <c r="L3507">
        <v>23214236</v>
      </c>
      <c r="M3507">
        <v>68620150</v>
      </c>
      <c r="N3507">
        <v>-114171754</v>
      </c>
      <c r="O3507">
        <v>-57175354</v>
      </c>
      <c r="P3507">
        <v>186</v>
      </c>
      <c r="Q3507" t="s">
        <v>7357</v>
      </c>
    </row>
    <row r="3508" spans="1:17" x14ac:dyDescent="0.3">
      <c r="A3508" t="s">
        <v>17</v>
      </c>
      <c r="B3508" t="str">
        <f>"688538"</f>
        <v>688538</v>
      </c>
      <c r="C3508" t="s">
        <v>7358</v>
      </c>
      <c r="D3508" t="s">
        <v>102</v>
      </c>
      <c r="E3508">
        <v>-78717569</v>
      </c>
      <c r="F3508">
        <v>-62701796</v>
      </c>
      <c r="G3508">
        <v>-101728820</v>
      </c>
      <c r="P3508">
        <v>37</v>
      </c>
      <c r="Q3508" t="s">
        <v>7359</v>
      </c>
    </row>
    <row r="3509" spans="1:17" x14ac:dyDescent="0.3">
      <c r="A3509" t="s">
        <v>33</v>
      </c>
      <c r="B3509" t="str">
        <f>"300311"</f>
        <v>300311</v>
      </c>
      <c r="C3509" t="s">
        <v>7360</v>
      </c>
      <c r="D3509" t="s">
        <v>1713</v>
      </c>
      <c r="E3509">
        <v>-78754843</v>
      </c>
      <c r="F3509">
        <v>-75733631</v>
      </c>
      <c r="G3509">
        <v>-94115241</v>
      </c>
      <c r="H3509">
        <v>-153995482</v>
      </c>
      <c r="I3509">
        <v>-126317221</v>
      </c>
      <c r="J3509">
        <v>-73751742</v>
      </c>
      <c r="K3509">
        <v>-46423018</v>
      </c>
      <c r="L3509">
        <v>-30292767</v>
      </c>
      <c r="M3509">
        <v>-20060301</v>
      </c>
      <c r="N3509">
        <v>-11677292</v>
      </c>
      <c r="O3509">
        <v>-10401756</v>
      </c>
      <c r="P3509">
        <v>161</v>
      </c>
      <c r="Q3509" t="s">
        <v>7361</v>
      </c>
    </row>
    <row r="3510" spans="1:17" x14ac:dyDescent="0.3">
      <c r="A3510" t="s">
        <v>33</v>
      </c>
      <c r="B3510" t="str">
        <f>"300226"</f>
        <v>300226</v>
      </c>
      <c r="C3510" t="s">
        <v>7362</v>
      </c>
      <c r="D3510" t="s">
        <v>807</v>
      </c>
      <c r="E3510">
        <v>-78756042</v>
      </c>
      <c r="F3510">
        <v>64855896</v>
      </c>
      <c r="G3510">
        <v>-297422677</v>
      </c>
      <c r="H3510">
        <v>308400817</v>
      </c>
      <c r="I3510">
        <v>70964116</v>
      </c>
      <c r="J3510">
        <v>-231679819</v>
      </c>
      <c r="K3510">
        <v>-47253981</v>
      </c>
      <c r="L3510">
        <v>-224678939</v>
      </c>
      <c r="M3510">
        <v>-54667910</v>
      </c>
      <c r="N3510">
        <v>-6336520</v>
      </c>
      <c r="O3510">
        <v>4309403</v>
      </c>
      <c r="P3510">
        <v>253</v>
      </c>
      <c r="Q3510" t="s">
        <v>7363</v>
      </c>
    </row>
    <row r="3511" spans="1:17" x14ac:dyDescent="0.3">
      <c r="A3511" t="s">
        <v>17</v>
      </c>
      <c r="B3511" t="str">
        <f>"688766"</f>
        <v>688766</v>
      </c>
      <c r="C3511" t="s">
        <v>7364</v>
      </c>
      <c r="D3511" t="s">
        <v>1277</v>
      </c>
      <c r="E3511">
        <v>-78827178</v>
      </c>
      <c r="G3511">
        <v>-47881502</v>
      </c>
      <c r="P3511">
        <v>42</v>
      </c>
      <c r="Q3511" t="s">
        <v>7365</v>
      </c>
    </row>
    <row r="3512" spans="1:17" x14ac:dyDescent="0.3">
      <c r="A3512" t="s">
        <v>17</v>
      </c>
      <c r="B3512" t="str">
        <f>"688109"</f>
        <v>688109</v>
      </c>
      <c r="C3512" t="s">
        <v>7366</v>
      </c>
      <c r="D3512" t="s">
        <v>807</v>
      </c>
      <c r="E3512">
        <v>-79305584</v>
      </c>
      <c r="F3512">
        <v>-36472496</v>
      </c>
      <c r="G3512">
        <v>-26837980</v>
      </c>
      <c r="P3512">
        <v>72</v>
      </c>
      <c r="Q3512" t="s">
        <v>7367</v>
      </c>
    </row>
    <row r="3513" spans="1:17" x14ac:dyDescent="0.3">
      <c r="A3513" t="s">
        <v>33</v>
      </c>
      <c r="B3513" t="str">
        <f>"300283"</f>
        <v>300283</v>
      </c>
      <c r="C3513" t="s">
        <v>7368</v>
      </c>
      <c r="D3513" t="s">
        <v>675</v>
      </c>
      <c r="E3513">
        <v>-79347374</v>
      </c>
      <c r="F3513">
        <v>5153490</v>
      </c>
      <c r="G3513">
        <v>48806686</v>
      </c>
      <c r="H3513">
        <v>43736090</v>
      </c>
      <c r="I3513">
        <v>76696612</v>
      </c>
      <c r="J3513">
        <v>-43979106</v>
      </c>
      <c r="K3513">
        <v>-19183678</v>
      </c>
      <c r="L3513">
        <v>36683430</v>
      </c>
      <c r="M3513">
        <v>-19531460</v>
      </c>
      <c r="N3513">
        <v>38365168</v>
      </c>
      <c r="O3513">
        <v>-29271857</v>
      </c>
      <c r="P3513">
        <v>58</v>
      </c>
      <c r="Q3513" t="s">
        <v>7369</v>
      </c>
    </row>
    <row r="3514" spans="1:17" x14ac:dyDescent="0.3">
      <c r="A3514" t="s">
        <v>17</v>
      </c>
      <c r="B3514" t="str">
        <f>"600576"</f>
        <v>600576</v>
      </c>
      <c r="C3514" t="s">
        <v>7370</v>
      </c>
      <c r="D3514" t="s">
        <v>314</v>
      </c>
      <c r="E3514">
        <v>-79447770</v>
      </c>
      <c r="F3514">
        <v>-30031478</v>
      </c>
      <c r="G3514">
        <v>24088272</v>
      </c>
      <c r="H3514">
        <v>-184989304</v>
      </c>
      <c r="I3514">
        <v>-172283136</v>
      </c>
      <c r="J3514">
        <v>-16504940</v>
      </c>
      <c r="K3514">
        <v>-38997870</v>
      </c>
      <c r="L3514">
        <v>-25974395</v>
      </c>
      <c r="M3514">
        <v>-15121168</v>
      </c>
      <c r="N3514">
        <v>-57119079</v>
      </c>
      <c r="O3514">
        <v>-137682406</v>
      </c>
      <c r="P3514">
        <v>85</v>
      </c>
      <c r="Q3514" t="s">
        <v>7371</v>
      </c>
    </row>
    <row r="3515" spans="1:17" x14ac:dyDescent="0.3">
      <c r="A3515" t="s">
        <v>17</v>
      </c>
      <c r="B3515" t="str">
        <f>"603183"</f>
        <v>603183</v>
      </c>
      <c r="C3515" t="s">
        <v>7372</v>
      </c>
      <c r="D3515" t="s">
        <v>2274</v>
      </c>
      <c r="E3515">
        <v>-79453760</v>
      </c>
      <c r="F3515">
        <v>-49623327</v>
      </c>
      <c r="G3515">
        <v>-28312585</v>
      </c>
      <c r="H3515">
        <v>-51432435</v>
      </c>
      <c r="I3515">
        <v>-62754355</v>
      </c>
      <c r="J3515">
        <v>-37956792</v>
      </c>
      <c r="P3515">
        <v>92</v>
      </c>
      <c r="Q3515" t="s">
        <v>7373</v>
      </c>
    </row>
    <row r="3516" spans="1:17" x14ac:dyDescent="0.3">
      <c r="A3516" t="s">
        <v>33</v>
      </c>
      <c r="B3516" t="str">
        <f>"300605"</f>
        <v>300605</v>
      </c>
      <c r="C3516" t="s">
        <v>7374</v>
      </c>
      <c r="D3516" t="s">
        <v>807</v>
      </c>
      <c r="E3516">
        <v>-79492432</v>
      </c>
      <c r="F3516">
        <v>-57179206</v>
      </c>
      <c r="G3516">
        <v>-61923630</v>
      </c>
      <c r="H3516">
        <v>-101658415</v>
      </c>
      <c r="I3516">
        <v>-4400957</v>
      </c>
      <c r="J3516">
        <v>-52483896</v>
      </c>
      <c r="K3516">
        <v>-33088592</v>
      </c>
      <c r="P3516">
        <v>93</v>
      </c>
      <c r="Q3516" t="s">
        <v>7375</v>
      </c>
    </row>
    <row r="3517" spans="1:17" x14ac:dyDescent="0.3">
      <c r="A3517" t="s">
        <v>33</v>
      </c>
      <c r="B3517" t="str">
        <f>"000598"</f>
        <v>000598</v>
      </c>
      <c r="C3517" t="s">
        <v>7376</v>
      </c>
      <c r="D3517" t="s">
        <v>932</v>
      </c>
      <c r="E3517">
        <v>-79546057</v>
      </c>
      <c r="F3517">
        <v>33450746</v>
      </c>
      <c r="G3517">
        <v>-14545788</v>
      </c>
      <c r="H3517">
        <v>294421253</v>
      </c>
      <c r="I3517">
        <v>256793539</v>
      </c>
      <c r="J3517">
        <v>234562332</v>
      </c>
      <c r="K3517">
        <v>227283642</v>
      </c>
      <c r="L3517">
        <v>349672499</v>
      </c>
      <c r="M3517">
        <v>250053487</v>
      </c>
      <c r="N3517">
        <v>249599538</v>
      </c>
      <c r="O3517">
        <v>112007521</v>
      </c>
      <c r="P3517">
        <v>444</v>
      </c>
      <c r="Q3517" t="s">
        <v>7377</v>
      </c>
    </row>
    <row r="3518" spans="1:17" x14ac:dyDescent="0.3">
      <c r="A3518" t="s">
        <v>33</v>
      </c>
      <c r="B3518" t="str">
        <f>"000712"</f>
        <v>000712</v>
      </c>
      <c r="C3518" t="s">
        <v>7378</v>
      </c>
      <c r="D3518" t="s">
        <v>52</v>
      </c>
      <c r="E3518">
        <v>-79573573</v>
      </c>
      <c r="F3518">
        <v>-1534258896</v>
      </c>
      <c r="G3518">
        <v>593582069</v>
      </c>
      <c r="H3518">
        <v>1541233194</v>
      </c>
      <c r="I3518">
        <v>1348888910</v>
      </c>
      <c r="J3518">
        <v>-856059917</v>
      </c>
      <c r="K3518">
        <v>-47772576.920000002</v>
      </c>
      <c r="L3518">
        <v>2046630964.2</v>
      </c>
      <c r="M3518">
        <v>-74940660.680000007</v>
      </c>
      <c r="N3518">
        <v>8273033.6299999999</v>
      </c>
      <c r="O3518">
        <v>5854932.8399999999</v>
      </c>
      <c r="P3518">
        <v>557</v>
      </c>
      <c r="Q3518" t="s">
        <v>7379</v>
      </c>
    </row>
    <row r="3519" spans="1:17" x14ac:dyDescent="0.3">
      <c r="A3519" t="s">
        <v>33</v>
      </c>
      <c r="B3519" t="str">
        <f>"002490"</f>
        <v>002490</v>
      </c>
      <c r="C3519" t="s">
        <v>7380</v>
      </c>
      <c r="D3519" t="s">
        <v>1132</v>
      </c>
      <c r="E3519">
        <v>-79690821</v>
      </c>
      <c r="F3519">
        <v>-198994507</v>
      </c>
      <c r="G3519">
        <v>-121768899</v>
      </c>
      <c r="H3519">
        <v>161071277</v>
      </c>
      <c r="I3519">
        <v>-161410159</v>
      </c>
      <c r="J3519">
        <v>38746116</v>
      </c>
      <c r="K3519">
        <v>41786260</v>
      </c>
      <c r="L3519">
        <v>-28074566</v>
      </c>
      <c r="M3519">
        <v>23533003</v>
      </c>
      <c r="N3519">
        <v>-121618642</v>
      </c>
      <c r="O3519">
        <v>-52241788</v>
      </c>
      <c r="P3519">
        <v>82</v>
      </c>
      <c r="Q3519" t="s">
        <v>7381</v>
      </c>
    </row>
    <row r="3520" spans="1:17" x14ac:dyDescent="0.3">
      <c r="A3520" t="s">
        <v>17</v>
      </c>
      <c r="B3520" t="str">
        <f>"603029"</f>
        <v>603029</v>
      </c>
      <c r="C3520" t="s">
        <v>7382</v>
      </c>
      <c r="D3520" t="s">
        <v>1895</v>
      </c>
      <c r="E3520">
        <v>-79894825</v>
      </c>
      <c r="F3520">
        <v>-46047761</v>
      </c>
      <c r="G3520">
        <v>-62585269</v>
      </c>
      <c r="H3520">
        <v>-28894386</v>
      </c>
      <c r="I3520">
        <v>-8001085</v>
      </c>
      <c r="J3520">
        <v>-16523620</v>
      </c>
      <c r="K3520">
        <v>15241955</v>
      </c>
      <c r="L3520">
        <v>32068207</v>
      </c>
      <c r="P3520">
        <v>62</v>
      </c>
      <c r="Q3520" t="s">
        <v>7383</v>
      </c>
    </row>
    <row r="3521" spans="1:17" x14ac:dyDescent="0.3">
      <c r="A3521" t="s">
        <v>33</v>
      </c>
      <c r="B3521" t="str">
        <f>"002334"</f>
        <v>002334</v>
      </c>
      <c r="C3521" t="s">
        <v>7384</v>
      </c>
      <c r="D3521" t="s">
        <v>2148</v>
      </c>
      <c r="E3521">
        <v>-79967847</v>
      </c>
      <c r="F3521">
        <v>-32086308</v>
      </c>
      <c r="G3521">
        <v>-55635982</v>
      </c>
      <c r="H3521">
        <v>-17220594</v>
      </c>
      <c r="I3521">
        <v>-77816162</v>
      </c>
      <c r="J3521">
        <v>-96933804</v>
      </c>
      <c r="K3521">
        <v>-88930948</v>
      </c>
      <c r="L3521">
        <v>-49298435</v>
      </c>
      <c r="M3521">
        <v>-35387026</v>
      </c>
      <c r="N3521">
        <v>12802954</v>
      </c>
      <c r="O3521">
        <v>-17441332</v>
      </c>
      <c r="P3521">
        <v>222</v>
      </c>
      <c r="Q3521" t="s">
        <v>7385</v>
      </c>
    </row>
    <row r="3522" spans="1:17" x14ac:dyDescent="0.3">
      <c r="A3522" t="s">
        <v>17</v>
      </c>
      <c r="B3522" t="str">
        <f>"688622"</f>
        <v>688622</v>
      </c>
      <c r="C3522" t="s">
        <v>7386</v>
      </c>
      <c r="D3522" t="s">
        <v>2417</v>
      </c>
      <c r="E3522">
        <v>-80054513</v>
      </c>
      <c r="P3522">
        <v>29</v>
      </c>
      <c r="Q3522" t="s">
        <v>7387</v>
      </c>
    </row>
    <row r="3523" spans="1:17" x14ac:dyDescent="0.3">
      <c r="A3523" t="s">
        <v>33</v>
      </c>
      <c r="B3523" t="str">
        <f>"300424"</f>
        <v>300424</v>
      </c>
      <c r="C3523" t="s">
        <v>7388</v>
      </c>
      <c r="D3523" t="s">
        <v>2262</v>
      </c>
      <c r="E3523">
        <v>-80533515</v>
      </c>
      <c r="F3523">
        <v>-23921384</v>
      </c>
      <c r="G3523">
        <v>-51636768</v>
      </c>
      <c r="H3523">
        <v>-22355566</v>
      </c>
      <c r="I3523">
        <v>-950104</v>
      </c>
      <c r="J3523">
        <v>-58645150</v>
      </c>
      <c r="K3523">
        <v>-50528052</v>
      </c>
      <c r="L3523">
        <v>-36345851</v>
      </c>
      <c r="M3523">
        <v>-99242214</v>
      </c>
      <c r="P3523">
        <v>133</v>
      </c>
      <c r="Q3523" t="s">
        <v>7389</v>
      </c>
    </row>
    <row r="3524" spans="1:17" x14ac:dyDescent="0.3">
      <c r="A3524" t="s">
        <v>17</v>
      </c>
      <c r="B3524" t="str">
        <f>"600300"</f>
        <v>600300</v>
      </c>
      <c r="C3524" t="s">
        <v>7390</v>
      </c>
      <c r="D3524" t="s">
        <v>1187</v>
      </c>
      <c r="E3524">
        <v>-80975747</v>
      </c>
      <c r="F3524">
        <v>-285834899</v>
      </c>
      <c r="G3524">
        <v>-70409312</v>
      </c>
      <c r="H3524">
        <v>27307139</v>
      </c>
      <c r="I3524">
        <v>-91586093</v>
      </c>
      <c r="J3524">
        <v>-110437727</v>
      </c>
      <c r="K3524">
        <v>-67806198</v>
      </c>
      <c r="L3524">
        <v>19640082</v>
      </c>
      <c r="M3524">
        <v>151784501</v>
      </c>
      <c r="N3524">
        <v>-114958508</v>
      </c>
      <c r="O3524">
        <v>-50362994</v>
      </c>
      <c r="P3524">
        <v>209</v>
      </c>
      <c r="Q3524" t="s">
        <v>7391</v>
      </c>
    </row>
    <row r="3525" spans="1:17" x14ac:dyDescent="0.3">
      <c r="A3525" t="s">
        <v>33</v>
      </c>
      <c r="B3525" t="str">
        <f>"301248"</f>
        <v>301248</v>
      </c>
      <c r="C3525" t="s">
        <v>7392</v>
      </c>
      <c r="E3525">
        <v>-81029657</v>
      </c>
      <c r="P3525">
        <v>2</v>
      </c>
      <c r="Q3525" t="s">
        <v>7393</v>
      </c>
    </row>
    <row r="3526" spans="1:17" x14ac:dyDescent="0.3">
      <c r="A3526" t="s">
        <v>17</v>
      </c>
      <c r="B3526" t="str">
        <f>"600877"</f>
        <v>600877</v>
      </c>
      <c r="C3526" t="s">
        <v>7394</v>
      </c>
      <c r="D3526" t="s">
        <v>156</v>
      </c>
      <c r="E3526">
        <v>-81080254</v>
      </c>
      <c r="F3526">
        <v>-69025527</v>
      </c>
      <c r="G3526">
        <v>-47333864</v>
      </c>
      <c r="H3526">
        <v>-21477019</v>
      </c>
      <c r="I3526">
        <v>-47268731</v>
      </c>
      <c r="J3526">
        <v>-111419703</v>
      </c>
      <c r="K3526">
        <v>-84922855</v>
      </c>
      <c r="L3526">
        <v>-37362171</v>
      </c>
      <c r="M3526">
        <v>38733709</v>
      </c>
      <c r="N3526">
        <v>-76661657</v>
      </c>
      <c r="O3526">
        <v>-50459395</v>
      </c>
      <c r="P3526">
        <v>119</v>
      </c>
      <c r="Q3526" t="s">
        <v>7395</v>
      </c>
    </row>
    <row r="3527" spans="1:17" x14ac:dyDescent="0.3">
      <c r="A3527" t="s">
        <v>33</v>
      </c>
      <c r="B3527" t="str">
        <f>"002856"</f>
        <v>002856</v>
      </c>
      <c r="C3527" t="s">
        <v>7396</v>
      </c>
      <c r="D3527" t="s">
        <v>1779</v>
      </c>
      <c r="E3527">
        <v>-81112072</v>
      </c>
      <c r="F3527">
        <v>-55408398</v>
      </c>
      <c r="G3527">
        <v>-84900754</v>
      </c>
      <c r="H3527">
        <v>17206815</v>
      </c>
      <c r="I3527">
        <v>-104835282</v>
      </c>
      <c r="J3527">
        <v>-92896493</v>
      </c>
      <c r="K3527">
        <v>-104846702</v>
      </c>
      <c r="P3527">
        <v>51</v>
      </c>
      <c r="Q3527" t="s">
        <v>7397</v>
      </c>
    </row>
    <row r="3528" spans="1:17" x14ac:dyDescent="0.3">
      <c r="A3528" t="s">
        <v>33</v>
      </c>
      <c r="B3528" t="str">
        <f>"300245"</f>
        <v>300245</v>
      </c>
      <c r="C3528" t="s">
        <v>7398</v>
      </c>
      <c r="D3528" t="s">
        <v>508</v>
      </c>
      <c r="E3528">
        <v>-81196705</v>
      </c>
      <c r="F3528">
        <v>-18114154</v>
      </c>
      <c r="G3528">
        <v>-76263573</v>
      </c>
      <c r="H3528">
        <v>-43241109</v>
      </c>
      <c r="I3528">
        <v>-26875326</v>
      </c>
      <c r="J3528">
        <v>-24543444</v>
      </c>
      <c r="K3528">
        <v>-70853889</v>
      </c>
      <c r="L3528">
        <v>-38524012</v>
      </c>
      <c r="M3528">
        <v>-48308487</v>
      </c>
      <c r="N3528">
        <v>-32207400</v>
      </c>
      <c r="O3528">
        <v>-26143630</v>
      </c>
      <c r="P3528">
        <v>128</v>
      </c>
      <c r="Q3528" t="s">
        <v>7399</v>
      </c>
    </row>
    <row r="3529" spans="1:17" x14ac:dyDescent="0.3">
      <c r="A3529" t="s">
        <v>33</v>
      </c>
      <c r="B3529" t="str">
        <f>"002679"</f>
        <v>002679</v>
      </c>
      <c r="C3529" t="s">
        <v>7400</v>
      </c>
      <c r="D3529" t="s">
        <v>3820</v>
      </c>
      <c r="E3529">
        <v>-81245341</v>
      </c>
      <c r="F3529">
        <v>-39054969</v>
      </c>
      <c r="G3529">
        <v>-16383873</v>
      </c>
      <c r="H3529">
        <v>-31366248</v>
      </c>
      <c r="I3529">
        <v>-3142939</v>
      </c>
      <c r="J3529">
        <v>-63021671</v>
      </c>
      <c r="K3529">
        <v>2773624</v>
      </c>
      <c r="L3529">
        <v>-86477856</v>
      </c>
      <c r="M3529">
        <v>-18515657</v>
      </c>
      <c r="N3529">
        <v>-320742943</v>
      </c>
      <c r="O3529">
        <v>-74893362</v>
      </c>
      <c r="P3529">
        <v>95</v>
      </c>
      <c r="Q3529" t="s">
        <v>7401</v>
      </c>
    </row>
    <row r="3530" spans="1:17" x14ac:dyDescent="0.3">
      <c r="A3530" t="s">
        <v>33</v>
      </c>
      <c r="B3530" t="str">
        <f>"200045"</f>
        <v>200045</v>
      </c>
      <c r="C3530" t="s">
        <v>7402</v>
      </c>
      <c r="E3530">
        <v>-81403182.981999993</v>
      </c>
      <c r="F3530">
        <v>-89178640.738000005</v>
      </c>
      <c r="G3530">
        <v>-92443200.0528</v>
      </c>
      <c r="H3530">
        <v>27552380.7852</v>
      </c>
      <c r="I3530">
        <v>-44097099.287</v>
      </c>
      <c r="J3530">
        <v>-209591308.74380001</v>
      </c>
      <c r="K3530">
        <v>-28393013.811999999</v>
      </c>
      <c r="L3530">
        <v>52862623.75</v>
      </c>
      <c r="M3530">
        <v>-3298380.1623999998</v>
      </c>
      <c r="N3530">
        <v>-41936930.267399997</v>
      </c>
      <c r="O3530">
        <v>10302903.612</v>
      </c>
      <c r="P3530">
        <v>6</v>
      </c>
      <c r="Q3530" t="s">
        <v>7403</v>
      </c>
    </row>
    <row r="3531" spans="1:17" x14ac:dyDescent="0.3">
      <c r="A3531" t="s">
        <v>33</v>
      </c>
      <c r="B3531" t="str">
        <f>"301051"</f>
        <v>301051</v>
      </c>
      <c r="C3531" t="s">
        <v>7404</v>
      </c>
      <c r="D3531" t="s">
        <v>226</v>
      </c>
      <c r="E3531">
        <v>-81540763</v>
      </c>
      <c r="P3531">
        <v>18</v>
      </c>
      <c r="Q3531" t="s">
        <v>7405</v>
      </c>
    </row>
    <row r="3532" spans="1:17" x14ac:dyDescent="0.3">
      <c r="A3532" t="s">
        <v>17</v>
      </c>
      <c r="B3532" t="str">
        <f>"688306"</f>
        <v>688306</v>
      </c>
      <c r="C3532" t="s">
        <v>7406</v>
      </c>
      <c r="E3532">
        <v>-81568918</v>
      </c>
      <c r="P3532">
        <v>3</v>
      </c>
      <c r="Q3532" t="s">
        <v>7407</v>
      </c>
    </row>
    <row r="3533" spans="1:17" x14ac:dyDescent="0.3">
      <c r="A3533" t="s">
        <v>17</v>
      </c>
      <c r="B3533" t="str">
        <f>"688262"</f>
        <v>688262</v>
      </c>
      <c r="C3533" t="s">
        <v>7408</v>
      </c>
      <c r="D3533" t="s">
        <v>1277</v>
      </c>
      <c r="E3533">
        <v>-81686461</v>
      </c>
      <c r="P3533">
        <v>19</v>
      </c>
      <c r="Q3533" t="s">
        <v>7409</v>
      </c>
    </row>
    <row r="3534" spans="1:17" x14ac:dyDescent="0.3">
      <c r="A3534" t="s">
        <v>17</v>
      </c>
      <c r="B3534" t="str">
        <f>"605033"</f>
        <v>605033</v>
      </c>
      <c r="C3534" t="s">
        <v>7410</v>
      </c>
      <c r="D3534" t="s">
        <v>636</v>
      </c>
      <c r="E3534">
        <v>-81768900</v>
      </c>
      <c r="F3534">
        <v>-126499569</v>
      </c>
      <c r="G3534">
        <v>-68702811</v>
      </c>
      <c r="P3534">
        <v>14</v>
      </c>
      <c r="Q3534" t="s">
        <v>7411</v>
      </c>
    </row>
    <row r="3535" spans="1:17" x14ac:dyDescent="0.3">
      <c r="A3535" t="s">
        <v>17</v>
      </c>
      <c r="B3535" t="str">
        <f>"688276"</f>
        <v>688276</v>
      </c>
      <c r="C3535" t="s">
        <v>7412</v>
      </c>
      <c r="D3535" t="s">
        <v>1321</v>
      </c>
      <c r="E3535">
        <v>-81915704</v>
      </c>
      <c r="F3535">
        <v>-79762924</v>
      </c>
      <c r="G3535">
        <v>-62025821</v>
      </c>
      <c r="P3535">
        <v>46</v>
      </c>
      <c r="Q3535" t="s">
        <v>7413</v>
      </c>
    </row>
    <row r="3536" spans="1:17" x14ac:dyDescent="0.3">
      <c r="A3536" t="s">
        <v>33</v>
      </c>
      <c r="B3536" t="str">
        <f>"000536"</f>
        <v>000536</v>
      </c>
      <c r="C3536" t="s">
        <v>7414</v>
      </c>
      <c r="D3536" t="s">
        <v>102</v>
      </c>
      <c r="E3536">
        <v>-81973768</v>
      </c>
      <c r="F3536">
        <v>41750186</v>
      </c>
      <c r="G3536">
        <v>208581486</v>
      </c>
      <c r="H3536">
        <v>-223541543</v>
      </c>
      <c r="I3536">
        <v>190664610</v>
      </c>
      <c r="J3536">
        <v>-116128722</v>
      </c>
      <c r="K3536">
        <v>492520708</v>
      </c>
      <c r="L3536">
        <v>969811972</v>
      </c>
      <c r="M3536">
        <v>-94619420</v>
      </c>
      <c r="N3536">
        <v>4690709</v>
      </c>
      <c r="O3536">
        <v>156826968</v>
      </c>
      <c r="P3536">
        <v>142</v>
      </c>
      <c r="Q3536" t="s">
        <v>7415</v>
      </c>
    </row>
    <row r="3537" spans="1:17" x14ac:dyDescent="0.3">
      <c r="A3537" t="s">
        <v>17</v>
      </c>
      <c r="B3537" t="str">
        <f>"688296"</f>
        <v>688296</v>
      </c>
      <c r="C3537" t="s">
        <v>7416</v>
      </c>
      <c r="D3537" t="s">
        <v>807</v>
      </c>
      <c r="E3537">
        <v>-82005843</v>
      </c>
      <c r="F3537">
        <v>-76493315</v>
      </c>
      <c r="G3537">
        <v>-64455231</v>
      </c>
      <c r="P3537">
        <v>24</v>
      </c>
      <c r="Q3537" t="s">
        <v>7417</v>
      </c>
    </row>
    <row r="3538" spans="1:17" x14ac:dyDescent="0.3">
      <c r="A3538" t="s">
        <v>33</v>
      </c>
      <c r="B3538" t="str">
        <f>"002079"</f>
        <v>002079</v>
      </c>
      <c r="C3538" t="s">
        <v>7418</v>
      </c>
      <c r="D3538" t="s">
        <v>1274</v>
      </c>
      <c r="E3538">
        <v>-82254641</v>
      </c>
      <c r="F3538">
        <v>6531612</v>
      </c>
      <c r="G3538">
        <v>-45416240</v>
      </c>
      <c r="H3538">
        <v>71724208</v>
      </c>
      <c r="I3538">
        <v>-40560684</v>
      </c>
      <c r="J3538">
        <v>39098892</v>
      </c>
      <c r="K3538">
        <v>65427286</v>
      </c>
      <c r="L3538">
        <v>21621750</v>
      </c>
      <c r="M3538">
        <v>9855759</v>
      </c>
      <c r="N3538">
        <v>5795943</v>
      </c>
      <c r="O3538">
        <v>1034104</v>
      </c>
      <c r="P3538">
        <v>372</v>
      </c>
      <c r="Q3538" t="s">
        <v>7419</v>
      </c>
    </row>
    <row r="3539" spans="1:17" x14ac:dyDescent="0.3">
      <c r="A3539" t="s">
        <v>17</v>
      </c>
      <c r="B3539" t="str">
        <f>"605189"</f>
        <v>605189</v>
      </c>
      <c r="C3539" t="s">
        <v>7420</v>
      </c>
      <c r="D3539" t="s">
        <v>1849</v>
      </c>
      <c r="E3539">
        <v>-82316671</v>
      </c>
      <c r="F3539">
        <v>-67084276</v>
      </c>
      <c r="G3539">
        <v>-26783307</v>
      </c>
      <c r="P3539">
        <v>44</v>
      </c>
      <c r="Q3539" t="s">
        <v>7421</v>
      </c>
    </row>
    <row r="3540" spans="1:17" x14ac:dyDescent="0.3">
      <c r="A3540" t="s">
        <v>33</v>
      </c>
      <c r="B3540" t="str">
        <f>"002392"</f>
        <v>002392</v>
      </c>
      <c r="C3540" t="s">
        <v>7422</v>
      </c>
      <c r="D3540" t="s">
        <v>5005</v>
      </c>
      <c r="E3540">
        <v>-82461000</v>
      </c>
      <c r="F3540">
        <v>-117407755</v>
      </c>
      <c r="G3540">
        <v>18388251</v>
      </c>
      <c r="H3540">
        <v>49564047</v>
      </c>
      <c r="I3540">
        <v>-97398795</v>
      </c>
      <c r="J3540">
        <v>66078555</v>
      </c>
      <c r="K3540">
        <v>-50599057</v>
      </c>
      <c r="L3540">
        <v>-23048621</v>
      </c>
      <c r="M3540">
        <v>-19452684</v>
      </c>
      <c r="N3540">
        <v>67119373</v>
      </c>
      <c r="O3540">
        <v>5024078</v>
      </c>
      <c r="P3540">
        <v>142</v>
      </c>
      <c r="Q3540" t="s">
        <v>7423</v>
      </c>
    </row>
    <row r="3541" spans="1:17" x14ac:dyDescent="0.3">
      <c r="A3541" t="s">
        <v>17</v>
      </c>
      <c r="B3541" t="str">
        <f>"688155"</f>
        <v>688155</v>
      </c>
      <c r="C3541" t="s">
        <v>7424</v>
      </c>
      <c r="D3541" t="s">
        <v>1549</v>
      </c>
      <c r="E3541">
        <v>-82553993</v>
      </c>
      <c r="F3541">
        <v>-3863069</v>
      </c>
      <c r="P3541">
        <v>101</v>
      </c>
      <c r="Q3541" t="s">
        <v>7425</v>
      </c>
    </row>
    <row r="3542" spans="1:17" x14ac:dyDescent="0.3">
      <c r="A3542" t="s">
        <v>33</v>
      </c>
      <c r="B3542" t="str">
        <f>"002521"</f>
        <v>002521</v>
      </c>
      <c r="C3542" t="s">
        <v>7426</v>
      </c>
      <c r="D3542" t="s">
        <v>1119</v>
      </c>
      <c r="E3542">
        <v>-82614226</v>
      </c>
      <c r="F3542">
        <v>113447972</v>
      </c>
      <c r="G3542">
        <v>363571859</v>
      </c>
      <c r="H3542">
        <v>134883945</v>
      </c>
      <c r="I3542">
        <v>332071015</v>
      </c>
      <c r="J3542">
        <v>-68309586</v>
      </c>
      <c r="K3542">
        <v>132622961</v>
      </c>
      <c r="L3542">
        <v>-16598301</v>
      </c>
      <c r="M3542">
        <v>-117008933</v>
      </c>
      <c r="N3542">
        <v>-186345313</v>
      </c>
      <c r="O3542">
        <v>-29502348</v>
      </c>
      <c r="P3542">
        <v>132</v>
      </c>
      <c r="Q3542" t="s">
        <v>7427</v>
      </c>
    </row>
    <row r="3543" spans="1:17" x14ac:dyDescent="0.3">
      <c r="A3543" t="s">
        <v>33</v>
      </c>
      <c r="B3543" t="str">
        <f>"200541"</f>
        <v>200541</v>
      </c>
      <c r="C3543" t="s">
        <v>7428</v>
      </c>
      <c r="E3543">
        <v>-82645336.019999996</v>
      </c>
      <c r="F3543">
        <v>57517048.129000001</v>
      </c>
      <c r="G3543">
        <v>-26274359.719500002</v>
      </c>
      <c r="H3543">
        <v>35034367.090499997</v>
      </c>
      <c r="I3543">
        <v>155625510.31400001</v>
      </c>
      <c r="J3543">
        <v>-57451475.266000003</v>
      </c>
      <c r="K3543">
        <v>223566845.71959999</v>
      </c>
      <c r="L3543">
        <v>83922550</v>
      </c>
      <c r="M3543">
        <v>102384748.31</v>
      </c>
      <c r="N3543">
        <v>66922145.743199997</v>
      </c>
      <c r="O3543">
        <v>190999333.50299999</v>
      </c>
      <c r="P3543">
        <v>119</v>
      </c>
      <c r="Q3543" t="s">
        <v>7429</v>
      </c>
    </row>
    <row r="3544" spans="1:17" x14ac:dyDescent="0.3">
      <c r="A3544" t="s">
        <v>33</v>
      </c>
      <c r="B3544" t="str">
        <f>"002653"</f>
        <v>002653</v>
      </c>
      <c r="C3544" t="s">
        <v>7430</v>
      </c>
      <c r="D3544" t="s">
        <v>590</v>
      </c>
      <c r="E3544">
        <v>-82814972</v>
      </c>
      <c r="F3544">
        <v>-8391504</v>
      </c>
      <c r="G3544">
        <v>-91287409</v>
      </c>
      <c r="H3544">
        <v>4674703</v>
      </c>
      <c r="I3544">
        <v>23773313</v>
      </c>
      <c r="J3544">
        <v>-20718189</v>
      </c>
      <c r="K3544">
        <v>-64798661</v>
      </c>
      <c r="L3544">
        <v>2542073</v>
      </c>
      <c r="M3544">
        <v>45912320</v>
      </c>
      <c r="N3544">
        <v>57241439</v>
      </c>
      <c r="O3544">
        <v>76564827</v>
      </c>
      <c r="P3544">
        <v>549</v>
      </c>
      <c r="Q3544" t="s">
        <v>7431</v>
      </c>
    </row>
    <row r="3545" spans="1:17" x14ac:dyDescent="0.3">
      <c r="A3545" t="s">
        <v>17</v>
      </c>
      <c r="B3545" t="str">
        <f>"603661"</f>
        <v>603661</v>
      </c>
      <c r="C3545" t="s">
        <v>7432</v>
      </c>
      <c r="D3545" t="s">
        <v>664</v>
      </c>
      <c r="E3545">
        <v>-82973064</v>
      </c>
      <c r="F3545">
        <v>-263947259</v>
      </c>
      <c r="G3545">
        <v>-19863033</v>
      </c>
      <c r="H3545">
        <v>-7891494</v>
      </c>
      <c r="I3545">
        <v>-68377935</v>
      </c>
      <c r="J3545">
        <v>-6064265</v>
      </c>
      <c r="P3545">
        <v>148</v>
      </c>
      <c r="Q3545" t="s">
        <v>7433</v>
      </c>
    </row>
    <row r="3546" spans="1:17" x14ac:dyDescent="0.3">
      <c r="A3546" t="s">
        <v>33</v>
      </c>
      <c r="B3546" t="str">
        <f>"002990"</f>
        <v>002990</v>
      </c>
      <c r="C3546" t="s">
        <v>7434</v>
      </c>
      <c r="D3546" t="s">
        <v>1571</v>
      </c>
      <c r="E3546">
        <v>-83314110</v>
      </c>
      <c r="F3546">
        <v>-62752388</v>
      </c>
      <c r="G3546">
        <v>-127872421</v>
      </c>
      <c r="H3546">
        <v>-69978624</v>
      </c>
      <c r="P3546">
        <v>109</v>
      </c>
      <c r="Q3546" t="s">
        <v>7435</v>
      </c>
    </row>
    <row r="3547" spans="1:17" x14ac:dyDescent="0.3">
      <c r="A3547" t="s">
        <v>33</v>
      </c>
      <c r="B3547" t="str">
        <f>"002723"</f>
        <v>002723</v>
      </c>
      <c r="C3547" t="s">
        <v>7436</v>
      </c>
      <c r="D3547" t="s">
        <v>1955</v>
      </c>
      <c r="E3547">
        <v>-83520580</v>
      </c>
      <c r="F3547">
        <v>4823455</v>
      </c>
      <c r="G3547">
        <v>11379020</v>
      </c>
      <c r="H3547">
        <v>-19183980</v>
      </c>
      <c r="I3547">
        <v>7708543</v>
      </c>
      <c r="J3547">
        <v>42046274</v>
      </c>
      <c r="K3547">
        <v>-6512833</v>
      </c>
      <c r="L3547">
        <v>21324990</v>
      </c>
      <c r="M3547">
        <v>-1940693</v>
      </c>
      <c r="N3547">
        <v>-43136531</v>
      </c>
      <c r="P3547">
        <v>92</v>
      </c>
      <c r="Q3547" t="s">
        <v>7437</v>
      </c>
    </row>
    <row r="3548" spans="1:17" x14ac:dyDescent="0.3">
      <c r="A3548" t="s">
        <v>33</v>
      </c>
      <c r="B3548" t="str">
        <f>"300732"</f>
        <v>300732</v>
      </c>
      <c r="C3548" t="s">
        <v>7438</v>
      </c>
      <c r="D3548" t="s">
        <v>4300</v>
      </c>
      <c r="E3548">
        <v>-83606180</v>
      </c>
      <c r="F3548">
        <v>-154834327</v>
      </c>
      <c r="G3548">
        <v>-123817490</v>
      </c>
      <c r="H3548">
        <v>-39910570</v>
      </c>
      <c r="I3548">
        <v>-89778261</v>
      </c>
      <c r="J3548">
        <v>-45183486</v>
      </c>
      <c r="P3548">
        <v>151</v>
      </c>
      <c r="Q3548" t="s">
        <v>7439</v>
      </c>
    </row>
    <row r="3549" spans="1:17" x14ac:dyDescent="0.3">
      <c r="A3549" t="s">
        <v>17</v>
      </c>
      <c r="B3549" t="str">
        <f>"603768"</f>
        <v>603768</v>
      </c>
      <c r="C3549" t="s">
        <v>7440</v>
      </c>
      <c r="D3549" t="s">
        <v>1419</v>
      </c>
      <c r="E3549">
        <v>-83700205</v>
      </c>
      <c r="F3549">
        <v>-126157746</v>
      </c>
      <c r="G3549">
        <v>-139224240</v>
      </c>
      <c r="H3549">
        <v>-44776211</v>
      </c>
      <c r="I3549">
        <v>18550223</v>
      </c>
      <c r="J3549">
        <v>-63804699</v>
      </c>
      <c r="K3549">
        <v>-28299520</v>
      </c>
      <c r="P3549">
        <v>58</v>
      </c>
      <c r="Q3549" t="s">
        <v>7441</v>
      </c>
    </row>
    <row r="3550" spans="1:17" x14ac:dyDescent="0.3">
      <c r="A3550" t="s">
        <v>33</v>
      </c>
      <c r="B3550" t="str">
        <f>"300256"</f>
        <v>300256</v>
      </c>
      <c r="C3550" t="s">
        <v>7442</v>
      </c>
      <c r="D3550" t="s">
        <v>226</v>
      </c>
      <c r="E3550">
        <v>-83715530</v>
      </c>
      <c r="F3550">
        <v>14896550</v>
      </c>
      <c r="G3550">
        <v>166680819</v>
      </c>
      <c r="H3550">
        <v>-282460954</v>
      </c>
      <c r="I3550">
        <v>-21273360</v>
      </c>
      <c r="J3550">
        <v>-167898004</v>
      </c>
      <c r="K3550">
        <v>7480264</v>
      </c>
      <c r="L3550">
        <v>-9720296</v>
      </c>
      <c r="M3550">
        <v>-77885551</v>
      </c>
      <c r="N3550">
        <v>41556507</v>
      </c>
      <c r="O3550">
        <v>49424829</v>
      </c>
      <c r="P3550">
        <v>206</v>
      </c>
      <c r="Q3550" t="s">
        <v>7443</v>
      </c>
    </row>
    <row r="3551" spans="1:17" x14ac:dyDescent="0.3">
      <c r="A3551" t="s">
        <v>33</v>
      </c>
      <c r="B3551" t="str">
        <f>"002829"</f>
        <v>002829</v>
      </c>
      <c r="C3551" t="s">
        <v>7444</v>
      </c>
      <c r="D3551" t="s">
        <v>2671</v>
      </c>
      <c r="E3551">
        <v>-83971140</v>
      </c>
      <c r="F3551">
        <v>-68579045</v>
      </c>
      <c r="G3551">
        <v>-42387845</v>
      </c>
      <c r="H3551">
        <v>-36373298</v>
      </c>
      <c r="I3551">
        <v>-44035399</v>
      </c>
      <c r="J3551">
        <v>-45387752</v>
      </c>
      <c r="K3551">
        <v>-2547732</v>
      </c>
      <c r="P3551">
        <v>132</v>
      </c>
      <c r="Q3551" t="s">
        <v>7445</v>
      </c>
    </row>
    <row r="3552" spans="1:17" x14ac:dyDescent="0.3">
      <c r="A3552" t="s">
        <v>17</v>
      </c>
      <c r="B3552" t="str">
        <f>"600079"</f>
        <v>600079</v>
      </c>
      <c r="C3552" t="s">
        <v>7446</v>
      </c>
      <c r="D3552" t="s">
        <v>590</v>
      </c>
      <c r="E3552">
        <v>-84015438</v>
      </c>
      <c r="F3552">
        <v>-129203041</v>
      </c>
      <c r="G3552">
        <v>-77730714</v>
      </c>
      <c r="H3552">
        <v>48935151</v>
      </c>
      <c r="I3552">
        <v>-480611055</v>
      </c>
      <c r="J3552">
        <v>-327588355</v>
      </c>
      <c r="K3552">
        <v>40286589</v>
      </c>
      <c r="L3552">
        <v>210778939</v>
      </c>
      <c r="M3552">
        <v>157808713</v>
      </c>
      <c r="N3552">
        <v>-90998106</v>
      </c>
      <c r="O3552">
        <v>-113652520</v>
      </c>
      <c r="P3552">
        <v>941</v>
      </c>
      <c r="Q3552" t="s">
        <v>7447</v>
      </c>
    </row>
    <row r="3553" spans="1:17" x14ac:dyDescent="0.3">
      <c r="A3553" t="s">
        <v>33</v>
      </c>
      <c r="B3553" t="str">
        <f>"000410"</f>
        <v>000410</v>
      </c>
      <c r="C3553" t="s">
        <v>7448</v>
      </c>
      <c r="D3553" t="s">
        <v>1910</v>
      </c>
      <c r="E3553">
        <v>-84070446</v>
      </c>
      <c r="F3553">
        <v>-113269159</v>
      </c>
      <c r="G3553">
        <v>-270944901</v>
      </c>
      <c r="H3553">
        <v>35656535</v>
      </c>
      <c r="I3553">
        <v>-356576298</v>
      </c>
      <c r="J3553">
        <v>70587277</v>
      </c>
      <c r="K3553">
        <v>-696536940</v>
      </c>
      <c r="L3553">
        <v>-542994272</v>
      </c>
      <c r="M3553">
        <v>-458313006</v>
      </c>
      <c r="N3553">
        <v>-406400515</v>
      </c>
      <c r="O3553">
        <v>-3894921</v>
      </c>
      <c r="P3553">
        <v>101</v>
      </c>
      <c r="Q3553" t="s">
        <v>7449</v>
      </c>
    </row>
    <row r="3554" spans="1:17" x14ac:dyDescent="0.3">
      <c r="A3554" t="s">
        <v>33</v>
      </c>
      <c r="B3554" t="str">
        <f>"002155"</f>
        <v>002155</v>
      </c>
      <c r="C3554" t="s">
        <v>7450</v>
      </c>
      <c r="D3554" t="s">
        <v>777</v>
      </c>
      <c r="E3554">
        <v>-84119640</v>
      </c>
      <c r="F3554">
        <v>-190510702</v>
      </c>
      <c r="G3554">
        <v>-141475943</v>
      </c>
      <c r="H3554">
        <v>-296143518</v>
      </c>
      <c r="I3554">
        <v>-5645360</v>
      </c>
      <c r="J3554">
        <v>55339300</v>
      </c>
      <c r="K3554">
        <v>-54525077</v>
      </c>
      <c r="L3554">
        <v>-32299162</v>
      </c>
      <c r="M3554">
        <v>51420563</v>
      </c>
      <c r="N3554">
        <v>178781350</v>
      </c>
      <c r="O3554">
        <v>189241105</v>
      </c>
      <c r="P3554">
        <v>219</v>
      </c>
      <c r="Q3554" t="s">
        <v>7451</v>
      </c>
    </row>
    <row r="3555" spans="1:17" x14ac:dyDescent="0.3">
      <c r="A3555" t="s">
        <v>17</v>
      </c>
      <c r="B3555" t="str">
        <f>"605069"</f>
        <v>605069</v>
      </c>
      <c r="C3555" t="s">
        <v>7452</v>
      </c>
      <c r="D3555" t="s">
        <v>2171</v>
      </c>
      <c r="E3555">
        <v>-84144704</v>
      </c>
      <c r="P3555">
        <v>16</v>
      </c>
      <c r="Q3555" t="s">
        <v>7453</v>
      </c>
    </row>
    <row r="3556" spans="1:17" x14ac:dyDescent="0.3">
      <c r="A3556" t="s">
        <v>17</v>
      </c>
      <c r="B3556" t="str">
        <f>"600611"</f>
        <v>600611</v>
      </c>
      <c r="C3556" t="s">
        <v>7454</v>
      </c>
      <c r="D3556" t="s">
        <v>1216</v>
      </c>
      <c r="E3556">
        <v>-84252124</v>
      </c>
      <c r="F3556">
        <v>207389976</v>
      </c>
      <c r="G3556">
        <v>-482785628</v>
      </c>
      <c r="H3556">
        <v>-942931868</v>
      </c>
      <c r="I3556">
        <v>110492852</v>
      </c>
      <c r="J3556">
        <v>147654125</v>
      </c>
      <c r="K3556">
        <v>120641029</v>
      </c>
      <c r="L3556">
        <v>218856134</v>
      </c>
      <c r="M3556">
        <v>-13779838</v>
      </c>
      <c r="N3556">
        <v>46711837</v>
      </c>
      <c r="O3556">
        <v>-335017837</v>
      </c>
      <c r="P3556">
        <v>243</v>
      </c>
      <c r="Q3556" t="s">
        <v>7455</v>
      </c>
    </row>
    <row r="3557" spans="1:17" x14ac:dyDescent="0.3">
      <c r="A3557" t="s">
        <v>17</v>
      </c>
      <c r="B3557" t="str">
        <f>"600790"</f>
        <v>600790</v>
      </c>
      <c r="C3557" t="s">
        <v>7456</v>
      </c>
      <c r="D3557" t="s">
        <v>394</v>
      </c>
      <c r="E3557">
        <v>-84329958</v>
      </c>
      <c r="F3557">
        <v>-48309758</v>
      </c>
      <c r="G3557">
        <v>-53688908</v>
      </c>
      <c r="H3557">
        <v>-197781924</v>
      </c>
      <c r="I3557">
        <v>-43547145</v>
      </c>
      <c r="J3557">
        <v>-144168220</v>
      </c>
      <c r="K3557">
        <v>38339942</v>
      </c>
      <c r="L3557">
        <v>-34980245</v>
      </c>
      <c r="M3557">
        <v>-34623095</v>
      </c>
      <c r="N3557">
        <v>-60648552</v>
      </c>
      <c r="O3557">
        <v>4415525</v>
      </c>
      <c r="P3557">
        <v>184</v>
      </c>
      <c r="Q3557" t="s">
        <v>7457</v>
      </c>
    </row>
    <row r="3558" spans="1:17" x14ac:dyDescent="0.3">
      <c r="A3558" t="s">
        <v>33</v>
      </c>
      <c r="B3558" t="str">
        <f>"300224"</f>
        <v>300224</v>
      </c>
      <c r="C3558" t="s">
        <v>7458</v>
      </c>
      <c r="D3558" t="s">
        <v>1559</v>
      </c>
      <c r="E3558">
        <v>-84640301</v>
      </c>
      <c r="F3558">
        <v>53893106</v>
      </c>
      <c r="G3558">
        <v>125327839</v>
      </c>
      <c r="H3558">
        <v>-79390245</v>
      </c>
      <c r="I3558">
        <v>-7511961</v>
      </c>
      <c r="J3558">
        <v>129000773</v>
      </c>
      <c r="K3558">
        <v>15103583</v>
      </c>
      <c r="L3558">
        <v>102244571</v>
      </c>
      <c r="M3558">
        <v>-1300759</v>
      </c>
      <c r="N3558">
        <v>-14649640</v>
      </c>
      <c r="O3558">
        <v>127290881</v>
      </c>
      <c r="P3558">
        <v>198</v>
      </c>
      <c r="Q3558" t="s">
        <v>7459</v>
      </c>
    </row>
    <row r="3559" spans="1:17" x14ac:dyDescent="0.3">
      <c r="A3559" t="s">
        <v>33</v>
      </c>
      <c r="B3559" t="str">
        <f>"000610"</f>
        <v>000610</v>
      </c>
      <c r="C3559" t="s">
        <v>7460</v>
      </c>
      <c r="D3559" t="s">
        <v>2043</v>
      </c>
      <c r="E3559">
        <v>-84677205</v>
      </c>
      <c r="F3559">
        <v>-90419257</v>
      </c>
      <c r="G3559">
        <v>-95668917</v>
      </c>
      <c r="H3559">
        <v>-49153645</v>
      </c>
      <c r="I3559">
        <v>-58533604</v>
      </c>
      <c r="J3559">
        <v>-67527152</v>
      </c>
      <c r="K3559">
        <v>-70886836</v>
      </c>
      <c r="L3559">
        <v>-7072197</v>
      </c>
      <c r="M3559">
        <v>-20613899</v>
      </c>
      <c r="N3559">
        <v>-22713692</v>
      </c>
      <c r="O3559">
        <v>132187792</v>
      </c>
      <c r="P3559">
        <v>152</v>
      </c>
      <c r="Q3559" t="s">
        <v>7461</v>
      </c>
    </row>
    <row r="3560" spans="1:17" x14ac:dyDescent="0.3">
      <c r="A3560" t="s">
        <v>17</v>
      </c>
      <c r="B3560" t="str">
        <f>"600463"</f>
        <v>600463</v>
      </c>
      <c r="C3560" t="s">
        <v>7462</v>
      </c>
      <c r="D3560" t="s">
        <v>1135</v>
      </c>
      <c r="E3560">
        <v>-84828138</v>
      </c>
      <c r="F3560">
        <v>-171997442</v>
      </c>
      <c r="G3560">
        <v>-146581030</v>
      </c>
      <c r="H3560">
        <v>-50465841</v>
      </c>
      <c r="I3560">
        <v>-136356686</v>
      </c>
      <c r="J3560">
        <v>9142111</v>
      </c>
      <c r="K3560">
        <v>-28563799</v>
      </c>
      <c r="L3560">
        <v>-83367373</v>
      </c>
      <c r="M3560">
        <v>-10701491</v>
      </c>
      <c r="N3560">
        <v>-115077384</v>
      </c>
      <c r="O3560">
        <v>-98429673</v>
      </c>
      <c r="P3560">
        <v>66</v>
      </c>
      <c r="Q3560" t="s">
        <v>7463</v>
      </c>
    </row>
    <row r="3561" spans="1:17" x14ac:dyDescent="0.3">
      <c r="A3561" t="s">
        <v>17</v>
      </c>
      <c r="B3561" t="str">
        <f>"600903"</f>
        <v>600903</v>
      </c>
      <c r="C3561" t="s">
        <v>7464</v>
      </c>
      <c r="D3561" t="s">
        <v>649</v>
      </c>
      <c r="E3561">
        <v>-85101856</v>
      </c>
      <c r="F3561">
        <v>-123092651</v>
      </c>
      <c r="G3561">
        <v>-127291146</v>
      </c>
      <c r="H3561">
        <v>9709870</v>
      </c>
      <c r="I3561">
        <v>-37429903</v>
      </c>
      <c r="J3561">
        <v>73222849</v>
      </c>
      <c r="P3561">
        <v>186</v>
      </c>
      <c r="Q3561" t="s">
        <v>7465</v>
      </c>
    </row>
    <row r="3562" spans="1:17" x14ac:dyDescent="0.3">
      <c r="A3562" t="s">
        <v>33</v>
      </c>
      <c r="B3562" t="str">
        <f>"300148"</f>
        <v>300148</v>
      </c>
      <c r="C3562" t="s">
        <v>7466</v>
      </c>
      <c r="D3562" t="s">
        <v>751</v>
      </c>
      <c r="E3562">
        <v>-85359543</v>
      </c>
      <c r="F3562">
        <v>-7817102</v>
      </c>
      <c r="G3562">
        <v>-34432038</v>
      </c>
      <c r="H3562">
        <v>-43812631</v>
      </c>
      <c r="I3562">
        <v>-96117646</v>
      </c>
      <c r="J3562">
        <v>-72703582</v>
      </c>
      <c r="K3562">
        <v>-34712109</v>
      </c>
      <c r="L3562">
        <v>-25962889</v>
      </c>
      <c r="M3562">
        <v>-29510332</v>
      </c>
      <c r="N3562">
        <v>-48826277</v>
      </c>
      <c r="O3562">
        <v>-36970884</v>
      </c>
      <c r="P3562">
        <v>99</v>
      </c>
      <c r="Q3562" t="s">
        <v>7467</v>
      </c>
    </row>
    <row r="3563" spans="1:17" x14ac:dyDescent="0.3">
      <c r="A3563" t="s">
        <v>33</v>
      </c>
      <c r="B3563" t="str">
        <f>"003029"</f>
        <v>003029</v>
      </c>
      <c r="C3563" t="s">
        <v>7468</v>
      </c>
      <c r="D3563" t="s">
        <v>807</v>
      </c>
      <c r="E3563">
        <v>-85371884</v>
      </c>
      <c r="F3563">
        <v>-59001127</v>
      </c>
      <c r="G3563">
        <v>-77161004</v>
      </c>
      <c r="P3563">
        <v>75</v>
      </c>
      <c r="Q3563" t="s">
        <v>7469</v>
      </c>
    </row>
    <row r="3564" spans="1:17" x14ac:dyDescent="0.3">
      <c r="A3564" t="s">
        <v>33</v>
      </c>
      <c r="B3564" t="str">
        <f>"300439"</f>
        <v>300439</v>
      </c>
      <c r="C3564" t="s">
        <v>7470</v>
      </c>
      <c r="D3564" t="s">
        <v>221</v>
      </c>
      <c r="E3564">
        <v>-85484992</v>
      </c>
      <c r="F3564">
        <v>2269937</v>
      </c>
      <c r="G3564">
        <v>90577470</v>
      </c>
      <c r="H3564">
        <v>-30582505</v>
      </c>
      <c r="I3564">
        <v>-105369396</v>
      </c>
      <c r="J3564">
        <v>-79667419</v>
      </c>
      <c r="K3564">
        <v>-61822924</v>
      </c>
      <c r="L3564">
        <v>-14596547</v>
      </c>
      <c r="M3564">
        <v>-20462482</v>
      </c>
      <c r="P3564">
        <v>209</v>
      </c>
      <c r="Q3564" t="s">
        <v>7471</v>
      </c>
    </row>
    <row r="3565" spans="1:17" x14ac:dyDescent="0.3">
      <c r="A3565" t="s">
        <v>33</v>
      </c>
      <c r="B3565" t="str">
        <f>"000534"</f>
        <v>000534</v>
      </c>
      <c r="C3565" t="s">
        <v>7472</v>
      </c>
      <c r="D3565" t="s">
        <v>756</v>
      </c>
      <c r="E3565">
        <v>-86498491</v>
      </c>
      <c r="F3565">
        <v>46101428</v>
      </c>
      <c r="G3565">
        <v>106796911</v>
      </c>
      <c r="H3565">
        <v>-194158686</v>
      </c>
      <c r="I3565">
        <v>-294465859</v>
      </c>
      <c r="J3565">
        <v>172055253</v>
      </c>
      <c r="K3565">
        <v>-192581108</v>
      </c>
      <c r="L3565">
        <v>45913036</v>
      </c>
      <c r="M3565">
        <v>197042978</v>
      </c>
      <c r="N3565">
        <v>25439452</v>
      </c>
      <c r="O3565">
        <v>-250830950</v>
      </c>
      <c r="P3565">
        <v>120</v>
      </c>
      <c r="Q3565" t="s">
        <v>7473</v>
      </c>
    </row>
    <row r="3566" spans="1:17" x14ac:dyDescent="0.3">
      <c r="A3566" t="s">
        <v>33</v>
      </c>
      <c r="B3566" t="str">
        <f>"300011"</f>
        <v>300011</v>
      </c>
      <c r="C3566" t="s">
        <v>7474</v>
      </c>
      <c r="D3566" t="s">
        <v>1703</v>
      </c>
      <c r="E3566">
        <v>-86689983</v>
      </c>
      <c r="F3566">
        <v>-87244459</v>
      </c>
      <c r="G3566">
        <v>12065239</v>
      </c>
      <c r="H3566">
        <v>-6122902</v>
      </c>
      <c r="I3566">
        <v>31434309</v>
      </c>
      <c r="J3566">
        <v>-104642393</v>
      </c>
      <c r="K3566">
        <v>-14394770</v>
      </c>
      <c r="L3566">
        <v>40926353</v>
      </c>
      <c r="M3566">
        <v>-56077806</v>
      </c>
      <c r="N3566">
        <v>-38306075</v>
      </c>
      <c r="O3566">
        <v>-23163817</v>
      </c>
      <c r="P3566">
        <v>109</v>
      </c>
      <c r="Q3566" t="s">
        <v>7475</v>
      </c>
    </row>
    <row r="3567" spans="1:17" x14ac:dyDescent="0.3">
      <c r="A3567" t="s">
        <v>33</v>
      </c>
      <c r="B3567" t="str">
        <f>"002082"</f>
        <v>002082</v>
      </c>
      <c r="C3567" t="s">
        <v>7476</v>
      </c>
      <c r="D3567" t="s">
        <v>140</v>
      </c>
      <c r="E3567">
        <v>-86915507</v>
      </c>
      <c r="F3567">
        <v>-184585298</v>
      </c>
      <c r="G3567">
        <v>-141562471</v>
      </c>
      <c r="H3567">
        <v>-32815752</v>
      </c>
      <c r="I3567">
        <v>-45546778</v>
      </c>
      <c r="J3567">
        <v>-62625490</v>
      </c>
      <c r="K3567">
        <v>-7635322</v>
      </c>
      <c r="L3567">
        <v>-1121597</v>
      </c>
      <c r="M3567">
        <v>-45974142</v>
      </c>
      <c r="N3567">
        <v>-66682243</v>
      </c>
      <c r="O3567">
        <v>-6783487</v>
      </c>
      <c r="P3567">
        <v>135</v>
      </c>
      <c r="Q3567" t="s">
        <v>7477</v>
      </c>
    </row>
    <row r="3568" spans="1:17" x14ac:dyDescent="0.3">
      <c r="A3568" t="s">
        <v>17</v>
      </c>
      <c r="B3568" t="str">
        <f>"605389"</f>
        <v>605389</v>
      </c>
      <c r="C3568" t="s">
        <v>7478</v>
      </c>
      <c r="D3568" t="s">
        <v>1213</v>
      </c>
      <c r="E3568">
        <v>-87025273</v>
      </c>
      <c r="F3568">
        <v>-26877692</v>
      </c>
      <c r="G3568">
        <v>11093974</v>
      </c>
      <c r="P3568">
        <v>64</v>
      </c>
      <c r="Q3568" t="s">
        <v>7479</v>
      </c>
    </row>
    <row r="3569" spans="1:17" x14ac:dyDescent="0.3">
      <c r="A3569" t="s">
        <v>33</v>
      </c>
      <c r="B3569" t="str">
        <f>"000419"</f>
        <v>000419</v>
      </c>
      <c r="C3569" t="s">
        <v>7480</v>
      </c>
      <c r="D3569" t="s">
        <v>526</v>
      </c>
      <c r="E3569">
        <v>-87124176</v>
      </c>
      <c r="F3569">
        <v>-173379226</v>
      </c>
      <c r="G3569">
        <v>-287563510</v>
      </c>
      <c r="H3569">
        <v>57594675</v>
      </c>
      <c r="I3569">
        <v>-303108833</v>
      </c>
      <c r="J3569">
        <v>-145273102</v>
      </c>
      <c r="K3569">
        <v>-252904228</v>
      </c>
      <c r="L3569">
        <v>-152587532</v>
      </c>
      <c r="M3569">
        <v>-145571472</v>
      </c>
      <c r="N3569">
        <v>-106695890</v>
      </c>
      <c r="O3569">
        <v>-166688300</v>
      </c>
      <c r="P3569">
        <v>115</v>
      </c>
      <c r="Q3569" t="s">
        <v>7481</v>
      </c>
    </row>
    <row r="3570" spans="1:17" x14ac:dyDescent="0.3">
      <c r="A3570" t="s">
        <v>33</v>
      </c>
      <c r="B3570" t="str">
        <f>"300839"</f>
        <v>300839</v>
      </c>
      <c r="C3570" t="s">
        <v>7482</v>
      </c>
      <c r="D3570" t="s">
        <v>732</v>
      </c>
      <c r="E3570">
        <v>-87323998</v>
      </c>
      <c r="F3570">
        <v>10056191</v>
      </c>
      <c r="G3570">
        <v>-141990023</v>
      </c>
      <c r="H3570">
        <v>-22673973</v>
      </c>
      <c r="P3570">
        <v>58</v>
      </c>
      <c r="Q3570" t="s">
        <v>7483</v>
      </c>
    </row>
    <row r="3571" spans="1:17" x14ac:dyDescent="0.3">
      <c r="A3571" t="s">
        <v>33</v>
      </c>
      <c r="B3571" t="str">
        <f>"300305"</f>
        <v>300305</v>
      </c>
      <c r="C3571" t="s">
        <v>7484</v>
      </c>
      <c r="D3571" t="s">
        <v>1734</v>
      </c>
      <c r="E3571">
        <v>-87549074</v>
      </c>
      <c r="F3571">
        <v>-19623504</v>
      </c>
      <c r="G3571">
        <v>37015199</v>
      </c>
      <c r="H3571">
        <v>-9823525</v>
      </c>
      <c r="I3571">
        <v>-10454730</v>
      </c>
      <c r="J3571">
        <v>27394855</v>
      </c>
      <c r="K3571">
        <v>52183613</v>
      </c>
      <c r="L3571">
        <v>33234757</v>
      </c>
      <c r="M3571">
        <v>-1053212</v>
      </c>
      <c r="N3571">
        <v>-1967238</v>
      </c>
      <c r="O3571">
        <v>5776589</v>
      </c>
      <c r="P3571">
        <v>147</v>
      </c>
      <c r="Q3571" t="s">
        <v>7485</v>
      </c>
    </row>
    <row r="3572" spans="1:17" x14ac:dyDescent="0.3">
      <c r="A3572" t="s">
        <v>17</v>
      </c>
      <c r="B3572" t="str">
        <f>"600165"</f>
        <v>600165</v>
      </c>
      <c r="C3572" t="s">
        <v>7486</v>
      </c>
      <c r="D3572" t="s">
        <v>418</v>
      </c>
      <c r="E3572">
        <v>-87572135</v>
      </c>
      <c r="F3572">
        <v>3876689</v>
      </c>
      <c r="G3572">
        <v>-9204500</v>
      </c>
      <c r="H3572">
        <v>-33461726</v>
      </c>
      <c r="I3572">
        <v>-7240430</v>
      </c>
      <c r="J3572">
        <v>7257743</v>
      </c>
      <c r="K3572">
        <v>-32690687</v>
      </c>
      <c r="L3572">
        <v>152781833</v>
      </c>
      <c r="M3572">
        <v>19514643</v>
      </c>
      <c r="N3572">
        <v>-23958346</v>
      </c>
      <c r="O3572">
        <v>-23024341</v>
      </c>
      <c r="P3572">
        <v>70</v>
      </c>
      <c r="Q3572" t="s">
        <v>7487</v>
      </c>
    </row>
    <row r="3573" spans="1:17" x14ac:dyDescent="0.3">
      <c r="A3573" t="s">
        <v>17</v>
      </c>
      <c r="B3573" t="str">
        <f>"603277"</f>
        <v>603277</v>
      </c>
      <c r="C3573" t="s">
        <v>7488</v>
      </c>
      <c r="D3573" t="s">
        <v>2883</v>
      </c>
      <c r="E3573">
        <v>-87678536</v>
      </c>
      <c r="F3573">
        <v>-22999295</v>
      </c>
      <c r="G3573">
        <v>-34371243</v>
      </c>
      <c r="H3573">
        <v>-54677224</v>
      </c>
      <c r="I3573">
        <v>-44695723</v>
      </c>
      <c r="J3573">
        <v>-35451547</v>
      </c>
      <c r="P3573">
        <v>136</v>
      </c>
      <c r="Q3573" t="s">
        <v>7489</v>
      </c>
    </row>
    <row r="3574" spans="1:17" x14ac:dyDescent="0.3">
      <c r="A3574" t="s">
        <v>17</v>
      </c>
      <c r="B3574" t="str">
        <f>"603871"</f>
        <v>603871</v>
      </c>
      <c r="C3574" t="s">
        <v>7490</v>
      </c>
      <c r="D3574" t="s">
        <v>272</v>
      </c>
      <c r="E3574">
        <v>-88016107</v>
      </c>
      <c r="F3574">
        <v>-95952334</v>
      </c>
      <c r="G3574">
        <v>-30062687</v>
      </c>
      <c r="H3574">
        <v>135131347</v>
      </c>
      <c r="I3574">
        <v>8106800</v>
      </c>
      <c r="J3574">
        <v>-23841748</v>
      </c>
      <c r="P3574">
        <v>324</v>
      </c>
      <c r="Q3574" t="s">
        <v>7491</v>
      </c>
    </row>
    <row r="3575" spans="1:17" x14ac:dyDescent="0.3">
      <c r="A3575" t="s">
        <v>33</v>
      </c>
      <c r="B3575" t="str">
        <f>"300577"</f>
        <v>300577</v>
      </c>
      <c r="C3575" t="s">
        <v>7492</v>
      </c>
      <c r="D3575" t="s">
        <v>1680</v>
      </c>
      <c r="E3575">
        <v>-88057902</v>
      </c>
      <c r="F3575">
        <v>-130425800</v>
      </c>
      <c r="G3575">
        <v>-49852913</v>
      </c>
      <c r="H3575">
        <v>-16713109</v>
      </c>
      <c r="I3575">
        <v>-81847261</v>
      </c>
      <c r="J3575">
        <v>24885081</v>
      </c>
      <c r="K3575">
        <v>-20226720</v>
      </c>
      <c r="P3575">
        <v>486</v>
      </c>
      <c r="Q3575" t="s">
        <v>7493</v>
      </c>
    </row>
    <row r="3576" spans="1:17" x14ac:dyDescent="0.3">
      <c r="A3576" t="s">
        <v>33</v>
      </c>
      <c r="B3576" t="str">
        <f>"002541"</f>
        <v>002541</v>
      </c>
      <c r="C3576" t="s">
        <v>7494</v>
      </c>
      <c r="D3576" t="s">
        <v>2307</v>
      </c>
      <c r="E3576">
        <v>-88126154</v>
      </c>
      <c r="F3576">
        <v>-287660032</v>
      </c>
      <c r="G3576">
        <v>15311815</v>
      </c>
      <c r="H3576">
        <v>151466666</v>
      </c>
      <c r="I3576">
        <v>495506874</v>
      </c>
      <c r="J3576">
        <v>8590220</v>
      </c>
      <c r="K3576">
        <v>125261543</v>
      </c>
      <c r="L3576">
        <v>3368396</v>
      </c>
      <c r="M3576">
        <v>-8648436</v>
      </c>
      <c r="N3576">
        <v>3795708</v>
      </c>
      <c r="O3576">
        <v>-45712921</v>
      </c>
      <c r="P3576">
        <v>443</v>
      </c>
      <c r="Q3576" t="s">
        <v>7495</v>
      </c>
    </row>
    <row r="3577" spans="1:17" x14ac:dyDescent="0.3">
      <c r="A3577" t="s">
        <v>33</v>
      </c>
      <c r="B3577" t="str">
        <f>"002247"</f>
        <v>002247</v>
      </c>
      <c r="C3577" t="s">
        <v>7496</v>
      </c>
      <c r="D3577" t="s">
        <v>1125</v>
      </c>
      <c r="E3577">
        <v>-88196820</v>
      </c>
      <c r="F3577">
        <v>-73589911</v>
      </c>
      <c r="G3577">
        <v>-87499366</v>
      </c>
      <c r="H3577">
        <v>-44397093</v>
      </c>
      <c r="I3577">
        <v>-198948342</v>
      </c>
      <c r="J3577">
        <v>-101275871</v>
      </c>
      <c r="K3577">
        <v>-23522090</v>
      </c>
      <c r="L3577">
        <v>-34851047</v>
      </c>
      <c r="M3577">
        <v>-39570959</v>
      </c>
      <c r="N3577">
        <v>-20702176</v>
      </c>
      <c r="O3577">
        <v>-26170447</v>
      </c>
      <c r="P3577">
        <v>90</v>
      </c>
      <c r="Q3577" t="s">
        <v>7497</v>
      </c>
    </row>
    <row r="3578" spans="1:17" x14ac:dyDescent="0.3">
      <c r="A3578" t="s">
        <v>17</v>
      </c>
      <c r="B3578" t="str">
        <f>"601519"</f>
        <v>601519</v>
      </c>
      <c r="C3578" t="s">
        <v>7498</v>
      </c>
      <c r="D3578" t="s">
        <v>807</v>
      </c>
      <c r="E3578">
        <v>-88239868</v>
      </c>
      <c r="F3578">
        <v>-63962204</v>
      </c>
      <c r="G3578">
        <v>-171530267</v>
      </c>
      <c r="H3578">
        <v>-118334254</v>
      </c>
      <c r="I3578">
        <v>-21913506</v>
      </c>
      <c r="J3578">
        <v>-139386417</v>
      </c>
      <c r="K3578">
        <v>-48061431</v>
      </c>
      <c r="L3578">
        <v>-306806848</v>
      </c>
      <c r="M3578">
        <v>-88226608</v>
      </c>
      <c r="N3578">
        <v>-57261496</v>
      </c>
      <c r="O3578">
        <v>-42605146</v>
      </c>
      <c r="P3578">
        <v>209</v>
      </c>
      <c r="Q3578" t="s">
        <v>7499</v>
      </c>
    </row>
    <row r="3579" spans="1:17" x14ac:dyDescent="0.3">
      <c r="A3579" t="s">
        <v>33</v>
      </c>
      <c r="B3579" t="str">
        <f>"300474"</f>
        <v>300474</v>
      </c>
      <c r="C3579" t="s">
        <v>7500</v>
      </c>
      <c r="D3579" t="s">
        <v>617</v>
      </c>
      <c r="E3579">
        <v>-88281137</v>
      </c>
      <c r="F3579">
        <v>-16839303</v>
      </c>
      <c r="G3579">
        <v>-74074053</v>
      </c>
      <c r="H3579">
        <v>-45716274</v>
      </c>
      <c r="I3579">
        <v>-24560054</v>
      </c>
      <c r="J3579">
        <v>-28094547</v>
      </c>
      <c r="K3579">
        <v>-1548930</v>
      </c>
      <c r="L3579">
        <v>-17880417</v>
      </c>
      <c r="P3579">
        <v>513</v>
      </c>
      <c r="Q3579" t="s">
        <v>7501</v>
      </c>
    </row>
    <row r="3580" spans="1:17" x14ac:dyDescent="0.3">
      <c r="A3580" t="s">
        <v>33</v>
      </c>
      <c r="B3580" t="str">
        <f>"300514"</f>
        <v>300514</v>
      </c>
      <c r="C3580" t="s">
        <v>7502</v>
      </c>
      <c r="D3580" t="s">
        <v>2128</v>
      </c>
      <c r="E3580">
        <v>-88321172</v>
      </c>
      <c r="F3580">
        <v>105972083</v>
      </c>
      <c r="G3580">
        <v>77697449</v>
      </c>
      <c r="H3580">
        <v>9378206</v>
      </c>
      <c r="I3580">
        <v>-33232568</v>
      </c>
      <c r="J3580">
        <v>-12100634</v>
      </c>
      <c r="K3580">
        <v>-25829612</v>
      </c>
      <c r="P3580">
        <v>148</v>
      </c>
      <c r="Q3580" t="s">
        <v>7503</v>
      </c>
    </row>
    <row r="3581" spans="1:17" x14ac:dyDescent="0.3">
      <c r="A3581" t="s">
        <v>33</v>
      </c>
      <c r="B3581" t="str">
        <f>"300237"</f>
        <v>300237</v>
      </c>
      <c r="C3581" t="s">
        <v>7504</v>
      </c>
      <c r="D3581" t="s">
        <v>2330</v>
      </c>
      <c r="E3581">
        <v>-88725549</v>
      </c>
      <c r="F3581">
        <v>-76320594</v>
      </c>
      <c r="G3581">
        <v>-135410631</v>
      </c>
      <c r="H3581">
        <v>-117068414</v>
      </c>
      <c r="I3581">
        <v>-182899856</v>
      </c>
      <c r="J3581">
        <v>-154082520</v>
      </c>
      <c r="K3581">
        <v>-284440217</v>
      </c>
      <c r="L3581">
        <v>-43371881</v>
      </c>
      <c r="M3581">
        <v>-1143289</v>
      </c>
      <c r="N3581">
        <v>12584778</v>
      </c>
      <c r="O3581">
        <v>-31051524</v>
      </c>
      <c r="P3581">
        <v>315</v>
      </c>
      <c r="Q3581" t="s">
        <v>7505</v>
      </c>
    </row>
    <row r="3582" spans="1:17" x14ac:dyDescent="0.3">
      <c r="A3582" t="s">
        <v>33</v>
      </c>
      <c r="B3582" t="str">
        <f>"002164"</f>
        <v>002164</v>
      </c>
      <c r="C3582" t="s">
        <v>7506</v>
      </c>
      <c r="D3582" t="s">
        <v>164</v>
      </c>
      <c r="E3582">
        <v>-88907985</v>
      </c>
      <c r="F3582">
        <v>-28859498</v>
      </c>
      <c r="G3582">
        <v>-7321470</v>
      </c>
      <c r="H3582">
        <v>15565844</v>
      </c>
      <c r="I3582">
        <v>-223742987</v>
      </c>
      <c r="J3582">
        <v>-1568058</v>
      </c>
      <c r="K3582">
        <v>9863770</v>
      </c>
      <c r="L3582">
        <v>-9765200</v>
      </c>
      <c r="M3582">
        <v>-63448835</v>
      </c>
      <c r="N3582">
        <v>13060800</v>
      </c>
      <c r="O3582">
        <v>56225139</v>
      </c>
      <c r="P3582">
        <v>187</v>
      </c>
      <c r="Q3582" t="s">
        <v>7507</v>
      </c>
    </row>
    <row r="3583" spans="1:17" x14ac:dyDescent="0.3">
      <c r="A3583" t="s">
        <v>33</v>
      </c>
      <c r="B3583" t="str">
        <f>"002178"</f>
        <v>002178</v>
      </c>
      <c r="C3583" t="s">
        <v>7508</v>
      </c>
      <c r="D3583" t="s">
        <v>807</v>
      </c>
      <c r="E3583">
        <v>-88921717</v>
      </c>
      <c r="F3583">
        <v>-63576912</v>
      </c>
      <c r="G3583">
        <v>-68646094</v>
      </c>
      <c r="H3583">
        <v>-117782265</v>
      </c>
      <c r="I3583">
        <v>-139877014</v>
      </c>
      <c r="J3583">
        <v>-83672568</v>
      </c>
      <c r="K3583">
        <v>-170582049</v>
      </c>
      <c r="L3583">
        <v>-85918676</v>
      </c>
      <c r="M3583">
        <v>-52002259</v>
      </c>
      <c r="N3583">
        <v>-72521856</v>
      </c>
      <c r="O3583">
        <v>-58906281</v>
      </c>
      <c r="P3583">
        <v>89</v>
      </c>
      <c r="Q3583" t="s">
        <v>7509</v>
      </c>
    </row>
    <row r="3584" spans="1:17" x14ac:dyDescent="0.3">
      <c r="A3584" t="s">
        <v>17</v>
      </c>
      <c r="B3584" t="str">
        <f>"600479"</f>
        <v>600479</v>
      </c>
      <c r="C3584" t="s">
        <v>7510</v>
      </c>
      <c r="D3584" t="s">
        <v>533</v>
      </c>
      <c r="E3584">
        <v>-89031315</v>
      </c>
      <c r="F3584">
        <v>55010376</v>
      </c>
      <c r="G3584">
        <v>99875419</v>
      </c>
      <c r="H3584">
        <v>48074675</v>
      </c>
      <c r="I3584">
        <v>20607772</v>
      </c>
      <c r="J3584">
        <v>48127311</v>
      </c>
      <c r="K3584">
        <v>-2066432</v>
      </c>
      <c r="L3584">
        <v>41917678</v>
      </c>
      <c r="M3584">
        <v>-25178538</v>
      </c>
      <c r="N3584">
        <v>20162048</v>
      </c>
      <c r="O3584">
        <v>-13046428</v>
      </c>
      <c r="P3584">
        <v>605</v>
      </c>
      <c r="Q3584" t="s">
        <v>7511</v>
      </c>
    </row>
    <row r="3585" spans="1:17" x14ac:dyDescent="0.3">
      <c r="A3585" t="s">
        <v>33</v>
      </c>
      <c r="B3585" t="str">
        <f>"002158"</f>
        <v>002158</v>
      </c>
      <c r="C3585" t="s">
        <v>7512</v>
      </c>
      <c r="D3585" t="s">
        <v>2883</v>
      </c>
      <c r="E3585">
        <v>-89083109</v>
      </c>
      <c r="F3585">
        <v>131780064</v>
      </c>
      <c r="G3585">
        <v>-36249754</v>
      </c>
      <c r="H3585">
        <v>53828563</v>
      </c>
      <c r="I3585">
        <v>-79544034</v>
      </c>
      <c r="J3585">
        <v>12985035</v>
      </c>
      <c r="K3585">
        <v>28915346</v>
      </c>
      <c r="L3585">
        <v>7454761</v>
      </c>
      <c r="M3585">
        <v>29213599</v>
      </c>
      <c r="N3585">
        <v>48532654</v>
      </c>
      <c r="O3585">
        <v>20660128</v>
      </c>
      <c r="P3585">
        <v>478</v>
      </c>
      <c r="Q3585" t="s">
        <v>7513</v>
      </c>
    </row>
    <row r="3586" spans="1:17" x14ac:dyDescent="0.3">
      <c r="A3586" t="s">
        <v>33</v>
      </c>
      <c r="B3586" t="str">
        <f>"002721"</f>
        <v>002721</v>
      </c>
      <c r="C3586" t="s">
        <v>7514</v>
      </c>
      <c r="D3586" t="s">
        <v>161</v>
      </c>
      <c r="E3586">
        <v>-89168255</v>
      </c>
      <c r="F3586">
        <v>96589285</v>
      </c>
      <c r="G3586">
        <v>201315708</v>
      </c>
      <c r="H3586">
        <v>-1925978014</v>
      </c>
      <c r="I3586">
        <v>433474473</v>
      </c>
      <c r="J3586">
        <v>-452919391</v>
      </c>
      <c r="K3586">
        <v>-31178382</v>
      </c>
      <c r="L3586">
        <v>-90352437</v>
      </c>
      <c r="M3586">
        <v>59817483</v>
      </c>
      <c r="N3586">
        <v>-114714876</v>
      </c>
      <c r="P3586">
        <v>89</v>
      </c>
      <c r="Q3586" t="s">
        <v>7515</v>
      </c>
    </row>
    <row r="3587" spans="1:17" x14ac:dyDescent="0.3">
      <c r="A3587" t="s">
        <v>17</v>
      </c>
      <c r="B3587" t="str">
        <f>"603898"</f>
        <v>603898</v>
      </c>
      <c r="C3587" t="s">
        <v>7516</v>
      </c>
      <c r="D3587" t="s">
        <v>5122</v>
      </c>
      <c r="E3587">
        <v>-89371147</v>
      </c>
      <c r="F3587">
        <v>-154826159</v>
      </c>
      <c r="G3587">
        <v>-162599972</v>
      </c>
      <c r="H3587">
        <v>-44611820</v>
      </c>
      <c r="I3587">
        <v>-86035513</v>
      </c>
      <c r="J3587">
        <v>-80317087</v>
      </c>
      <c r="K3587">
        <v>-27535516</v>
      </c>
      <c r="L3587">
        <v>-66114528</v>
      </c>
      <c r="M3587">
        <v>-79783895</v>
      </c>
      <c r="P3587">
        <v>835</v>
      </c>
      <c r="Q3587" t="s">
        <v>7517</v>
      </c>
    </row>
    <row r="3588" spans="1:17" x14ac:dyDescent="0.3">
      <c r="A3588" t="s">
        <v>33</v>
      </c>
      <c r="B3588" t="str">
        <f>"001267"</f>
        <v>001267</v>
      </c>
      <c r="C3588" t="s">
        <v>7518</v>
      </c>
      <c r="D3588" t="s">
        <v>2330</v>
      </c>
      <c r="E3588">
        <v>-89505141</v>
      </c>
      <c r="F3588">
        <v>-96221048</v>
      </c>
      <c r="P3588">
        <v>10</v>
      </c>
      <c r="Q3588" t="s">
        <v>7519</v>
      </c>
    </row>
    <row r="3589" spans="1:17" x14ac:dyDescent="0.3">
      <c r="A3589" t="s">
        <v>33</v>
      </c>
      <c r="B3589" t="str">
        <f>"301099"</f>
        <v>301099</v>
      </c>
      <c r="C3589" t="s">
        <v>7520</v>
      </c>
      <c r="D3589" t="s">
        <v>869</v>
      </c>
      <c r="E3589">
        <v>-89566676</v>
      </c>
      <c r="F3589">
        <v>-137683902</v>
      </c>
      <c r="P3589">
        <v>16</v>
      </c>
      <c r="Q3589" t="s">
        <v>7521</v>
      </c>
    </row>
    <row r="3590" spans="1:17" x14ac:dyDescent="0.3">
      <c r="A3590" t="s">
        <v>17</v>
      </c>
      <c r="B3590" t="str">
        <f>"600824"</f>
        <v>600824</v>
      </c>
      <c r="C3590" t="s">
        <v>7522</v>
      </c>
      <c r="D3590" t="s">
        <v>526</v>
      </c>
      <c r="E3590">
        <v>-89756067</v>
      </c>
      <c r="F3590">
        <v>-115755788</v>
      </c>
      <c r="G3590">
        <v>-36661387</v>
      </c>
      <c r="H3590">
        <v>43948441</v>
      </c>
      <c r="I3590">
        <v>30926830</v>
      </c>
      <c r="J3590">
        <v>86444689</v>
      </c>
      <c r="K3590">
        <v>109399647</v>
      </c>
      <c r="L3590">
        <v>103532687</v>
      </c>
      <c r="M3590">
        <v>151971536</v>
      </c>
      <c r="N3590">
        <v>100054351</v>
      </c>
      <c r="O3590">
        <v>95187693</v>
      </c>
      <c r="P3590">
        <v>81</v>
      </c>
      <c r="Q3590" t="s">
        <v>7523</v>
      </c>
    </row>
    <row r="3591" spans="1:17" x14ac:dyDescent="0.3">
      <c r="A3591" t="s">
        <v>33</v>
      </c>
      <c r="B3591" t="str">
        <f>"300458"</f>
        <v>300458</v>
      </c>
      <c r="C3591" t="s">
        <v>7524</v>
      </c>
      <c r="D3591" t="s">
        <v>1277</v>
      </c>
      <c r="E3591">
        <v>-89832031</v>
      </c>
      <c r="F3591">
        <v>86006247</v>
      </c>
      <c r="G3591">
        <v>-106250008</v>
      </c>
      <c r="H3591">
        <v>-2769643</v>
      </c>
      <c r="I3591">
        <v>-59687423</v>
      </c>
      <c r="J3591">
        <v>-139558309</v>
      </c>
      <c r="K3591">
        <v>-22680933</v>
      </c>
      <c r="L3591">
        <v>-58410300</v>
      </c>
      <c r="M3591">
        <v>53187900</v>
      </c>
      <c r="P3591">
        <v>561</v>
      </c>
      <c r="Q3591" t="s">
        <v>7525</v>
      </c>
    </row>
    <row r="3592" spans="1:17" x14ac:dyDescent="0.3">
      <c r="A3592" t="s">
        <v>17</v>
      </c>
      <c r="B3592" t="str">
        <f>"603477"</f>
        <v>603477</v>
      </c>
      <c r="C3592" t="s">
        <v>7526</v>
      </c>
      <c r="D3592" t="s">
        <v>4348</v>
      </c>
      <c r="E3592">
        <v>-90270422</v>
      </c>
      <c r="F3592">
        <v>73144388</v>
      </c>
      <c r="G3592">
        <v>-13537501</v>
      </c>
      <c r="H3592">
        <v>22121501</v>
      </c>
      <c r="I3592">
        <v>37945003</v>
      </c>
      <c r="J3592">
        <v>-8874305</v>
      </c>
      <c r="P3592">
        <v>134</v>
      </c>
      <c r="Q3592" t="s">
        <v>7527</v>
      </c>
    </row>
    <row r="3593" spans="1:17" x14ac:dyDescent="0.3">
      <c r="A3593" t="s">
        <v>17</v>
      </c>
      <c r="B3593" t="str">
        <f>"688226"</f>
        <v>688226</v>
      </c>
      <c r="C3593" t="s">
        <v>7528</v>
      </c>
      <c r="D3593" t="s">
        <v>1282</v>
      </c>
      <c r="E3593">
        <v>-90323943</v>
      </c>
      <c r="F3593">
        <v>-34351811</v>
      </c>
      <c r="G3593">
        <v>-11325898</v>
      </c>
      <c r="P3593">
        <v>19</v>
      </c>
      <c r="Q3593" t="s">
        <v>7529</v>
      </c>
    </row>
    <row r="3594" spans="1:17" x14ac:dyDescent="0.3">
      <c r="A3594" t="s">
        <v>33</v>
      </c>
      <c r="B3594" t="str">
        <f>"002214"</f>
        <v>002214</v>
      </c>
      <c r="C3594" t="s">
        <v>7530</v>
      </c>
      <c r="D3594" t="s">
        <v>617</v>
      </c>
      <c r="E3594">
        <v>-90337910</v>
      </c>
      <c r="F3594">
        <v>-68177659</v>
      </c>
      <c r="G3594">
        <v>216592324</v>
      </c>
      <c r="H3594">
        <v>-33365097</v>
      </c>
      <c r="I3594">
        <v>-3107065</v>
      </c>
      <c r="J3594">
        <v>12213429</v>
      </c>
      <c r="K3594">
        <v>-54626264</v>
      </c>
      <c r="L3594">
        <v>-23694689</v>
      </c>
      <c r="M3594">
        <v>-14310636</v>
      </c>
      <c r="N3594">
        <v>-14232101</v>
      </c>
      <c r="O3594">
        <v>4709210</v>
      </c>
      <c r="P3594">
        <v>511</v>
      </c>
      <c r="Q3594" t="s">
        <v>7531</v>
      </c>
    </row>
    <row r="3595" spans="1:17" x14ac:dyDescent="0.3">
      <c r="A3595" t="s">
        <v>33</v>
      </c>
      <c r="B3595" t="str">
        <f>"000931"</f>
        <v>000931</v>
      </c>
      <c r="C3595" t="s">
        <v>7532</v>
      </c>
      <c r="D3595" t="s">
        <v>590</v>
      </c>
      <c r="E3595">
        <v>-90384954</v>
      </c>
      <c r="F3595">
        <v>26668686</v>
      </c>
      <c r="G3595">
        <v>-20927363</v>
      </c>
      <c r="H3595">
        <v>42697146</v>
      </c>
      <c r="I3595">
        <v>7289164</v>
      </c>
      <c r="J3595">
        <v>8546390</v>
      </c>
      <c r="K3595">
        <v>-62747171</v>
      </c>
      <c r="L3595">
        <v>58003102</v>
      </c>
      <c r="M3595">
        <v>-400319383</v>
      </c>
      <c r="N3595">
        <v>26652951</v>
      </c>
      <c r="O3595">
        <v>14507718</v>
      </c>
      <c r="P3595">
        <v>142</v>
      </c>
      <c r="Q3595" t="s">
        <v>7533</v>
      </c>
    </row>
    <row r="3596" spans="1:17" x14ac:dyDescent="0.3">
      <c r="A3596" t="s">
        <v>33</v>
      </c>
      <c r="B3596" t="str">
        <f>"300008"</f>
        <v>300008</v>
      </c>
      <c r="C3596" t="s">
        <v>7534</v>
      </c>
      <c r="D3596" t="s">
        <v>248</v>
      </c>
      <c r="E3596">
        <v>-90928093</v>
      </c>
      <c r="F3596">
        <v>-37437895</v>
      </c>
      <c r="G3596">
        <v>-2458301</v>
      </c>
      <c r="H3596">
        <v>5285112</v>
      </c>
      <c r="I3596">
        <v>-95759274</v>
      </c>
      <c r="J3596">
        <v>-43029348</v>
      </c>
      <c r="K3596">
        <v>-94615097</v>
      </c>
      <c r="L3596">
        <v>-70541276</v>
      </c>
      <c r="M3596">
        <v>-43232221</v>
      </c>
      <c r="N3596">
        <v>-13724920</v>
      </c>
      <c r="O3596">
        <v>-40028060</v>
      </c>
      <c r="P3596">
        <v>107</v>
      </c>
      <c r="Q3596" t="s">
        <v>7535</v>
      </c>
    </row>
    <row r="3597" spans="1:17" x14ac:dyDescent="0.3">
      <c r="A3597" t="s">
        <v>33</v>
      </c>
      <c r="B3597" t="str">
        <f>"300416"</f>
        <v>300416</v>
      </c>
      <c r="C3597" t="s">
        <v>7536</v>
      </c>
      <c r="D3597" t="s">
        <v>2417</v>
      </c>
      <c r="E3597">
        <v>-90947944</v>
      </c>
      <c r="F3597">
        <v>15072682</v>
      </c>
      <c r="G3597">
        <v>-61395534</v>
      </c>
      <c r="H3597">
        <v>-75969801</v>
      </c>
      <c r="I3597">
        <v>-44169872</v>
      </c>
      <c r="J3597">
        <v>-48688293</v>
      </c>
      <c r="K3597">
        <v>-30498083</v>
      </c>
      <c r="L3597">
        <v>-20216491</v>
      </c>
      <c r="M3597">
        <v>-19761298</v>
      </c>
      <c r="P3597">
        <v>305</v>
      </c>
      <c r="Q3597" t="s">
        <v>7537</v>
      </c>
    </row>
    <row r="3598" spans="1:17" x14ac:dyDescent="0.3">
      <c r="A3598" t="s">
        <v>33</v>
      </c>
      <c r="B3598" t="str">
        <f>"300243"</f>
        <v>300243</v>
      </c>
      <c r="C3598" t="s">
        <v>7538</v>
      </c>
      <c r="D3598" t="s">
        <v>1483</v>
      </c>
      <c r="E3598">
        <v>-90964610</v>
      </c>
      <c r="F3598">
        <v>-53643922</v>
      </c>
      <c r="G3598">
        <v>-59277363</v>
      </c>
      <c r="H3598">
        <v>-1729407</v>
      </c>
      <c r="I3598">
        <v>-8871677</v>
      </c>
      <c r="J3598">
        <v>-50111406</v>
      </c>
      <c r="K3598">
        <v>12305046</v>
      </c>
      <c r="L3598">
        <v>35264058</v>
      </c>
      <c r="M3598">
        <v>-12260481</v>
      </c>
      <c r="N3598">
        <v>-37474834</v>
      </c>
      <c r="O3598">
        <v>-7330385</v>
      </c>
      <c r="P3598">
        <v>103</v>
      </c>
      <c r="Q3598" t="s">
        <v>7539</v>
      </c>
    </row>
    <row r="3599" spans="1:17" x14ac:dyDescent="0.3">
      <c r="A3599" t="s">
        <v>17</v>
      </c>
      <c r="B3599" t="str">
        <f>"600287"</f>
        <v>600287</v>
      </c>
      <c r="C3599" t="s">
        <v>7540</v>
      </c>
      <c r="D3599" t="s">
        <v>1592</v>
      </c>
      <c r="E3599">
        <v>-91022504</v>
      </c>
      <c r="F3599">
        <v>-240570464</v>
      </c>
      <c r="G3599">
        <v>-392728141</v>
      </c>
      <c r="H3599">
        <v>-43259571</v>
      </c>
      <c r="I3599">
        <v>50926327</v>
      </c>
      <c r="J3599">
        <v>2595639</v>
      </c>
      <c r="K3599">
        <v>25136499</v>
      </c>
      <c r="L3599">
        <v>34203531</v>
      </c>
      <c r="M3599">
        <v>43659672</v>
      </c>
      <c r="N3599">
        <v>129390474</v>
      </c>
      <c r="O3599">
        <v>-65203969</v>
      </c>
      <c r="P3599">
        <v>72</v>
      </c>
      <c r="Q3599" t="s">
        <v>7541</v>
      </c>
    </row>
    <row r="3600" spans="1:17" x14ac:dyDescent="0.3">
      <c r="A3600" t="s">
        <v>33</v>
      </c>
      <c r="B3600" t="str">
        <f>"300961"</f>
        <v>300961</v>
      </c>
      <c r="C3600" t="s">
        <v>7542</v>
      </c>
      <c r="D3600" t="s">
        <v>932</v>
      </c>
      <c r="E3600">
        <v>-91099589</v>
      </c>
      <c r="F3600">
        <v>-84045665</v>
      </c>
      <c r="G3600">
        <v>-14261062</v>
      </c>
      <c r="P3600">
        <v>27</v>
      </c>
      <c r="Q3600" t="s">
        <v>7543</v>
      </c>
    </row>
    <row r="3601" spans="1:17" x14ac:dyDescent="0.3">
      <c r="A3601" t="s">
        <v>33</v>
      </c>
      <c r="B3601" t="str">
        <f>"300830"</f>
        <v>300830</v>
      </c>
      <c r="C3601" t="s">
        <v>7544</v>
      </c>
      <c r="D3601" t="s">
        <v>807</v>
      </c>
      <c r="E3601">
        <v>-91158049</v>
      </c>
      <c r="F3601">
        <v>-59102043</v>
      </c>
      <c r="G3601">
        <v>-70049599</v>
      </c>
      <c r="H3601">
        <v>-52126177</v>
      </c>
      <c r="P3601">
        <v>74</v>
      </c>
      <c r="Q3601" t="s">
        <v>7545</v>
      </c>
    </row>
    <row r="3602" spans="1:17" x14ac:dyDescent="0.3">
      <c r="A3602" t="s">
        <v>33</v>
      </c>
      <c r="B3602" t="str">
        <f>"002342"</f>
        <v>002342</v>
      </c>
      <c r="C3602" t="s">
        <v>7546</v>
      </c>
      <c r="D3602" t="s">
        <v>164</v>
      </c>
      <c r="E3602">
        <v>-91488920</v>
      </c>
      <c r="F3602">
        <v>-108236079</v>
      </c>
      <c r="G3602">
        <v>-95684744</v>
      </c>
      <c r="H3602">
        <v>-45838509</v>
      </c>
      <c r="I3602">
        <v>-95482738</v>
      </c>
      <c r="J3602">
        <v>21933939</v>
      </c>
      <c r="K3602">
        <v>-48195553</v>
      </c>
      <c r="L3602">
        <v>79094717</v>
      </c>
      <c r="M3602">
        <v>99303029</v>
      </c>
      <c r="N3602">
        <v>22278547</v>
      </c>
      <c r="O3602">
        <v>-22994058</v>
      </c>
      <c r="P3602">
        <v>112</v>
      </c>
      <c r="Q3602" t="s">
        <v>7547</v>
      </c>
    </row>
    <row r="3603" spans="1:17" x14ac:dyDescent="0.3">
      <c r="A3603" t="s">
        <v>33</v>
      </c>
      <c r="B3603" t="str">
        <f>"002124"</f>
        <v>002124</v>
      </c>
      <c r="C3603" t="s">
        <v>7548</v>
      </c>
      <c r="D3603" t="s">
        <v>1637</v>
      </c>
      <c r="E3603">
        <v>-91557968</v>
      </c>
      <c r="F3603">
        <v>824409265</v>
      </c>
      <c r="G3603">
        <v>415236596</v>
      </c>
      <c r="H3603">
        <v>-44905740</v>
      </c>
      <c r="I3603">
        <v>1491836</v>
      </c>
      <c r="J3603">
        <v>-65874405</v>
      </c>
      <c r="K3603">
        <v>21424011</v>
      </c>
      <c r="L3603">
        <v>1023302</v>
      </c>
      <c r="M3603">
        <v>-37399892</v>
      </c>
      <c r="N3603">
        <v>-112015928</v>
      </c>
      <c r="O3603">
        <v>-21374719</v>
      </c>
      <c r="P3603">
        <v>922</v>
      </c>
      <c r="Q3603" t="s">
        <v>7549</v>
      </c>
    </row>
    <row r="3604" spans="1:17" x14ac:dyDescent="0.3">
      <c r="A3604" t="s">
        <v>17</v>
      </c>
      <c r="B3604" t="str">
        <f>"688707"</f>
        <v>688707</v>
      </c>
      <c r="C3604" t="s">
        <v>7550</v>
      </c>
      <c r="D3604" t="s">
        <v>795</v>
      </c>
      <c r="E3604">
        <v>-91760183</v>
      </c>
      <c r="F3604">
        <v>43192365</v>
      </c>
      <c r="P3604">
        <v>31</v>
      </c>
      <c r="Q3604" t="s">
        <v>7551</v>
      </c>
    </row>
    <row r="3605" spans="1:17" x14ac:dyDescent="0.3">
      <c r="A3605" t="s">
        <v>33</v>
      </c>
      <c r="B3605" t="str">
        <f>"301137"</f>
        <v>301137</v>
      </c>
      <c r="C3605" t="s">
        <v>7552</v>
      </c>
      <c r="E3605">
        <v>-91897006</v>
      </c>
      <c r="P3605">
        <v>3</v>
      </c>
      <c r="Q3605" t="s">
        <v>7553</v>
      </c>
    </row>
    <row r="3606" spans="1:17" x14ac:dyDescent="0.3">
      <c r="A3606" t="s">
        <v>33</v>
      </c>
      <c r="B3606" t="str">
        <f>"000803"</f>
        <v>000803</v>
      </c>
      <c r="C3606" t="s">
        <v>7554</v>
      </c>
      <c r="D3606" t="s">
        <v>245</v>
      </c>
      <c r="E3606">
        <v>-92040840</v>
      </c>
      <c r="F3606">
        <v>-53959934</v>
      </c>
      <c r="G3606">
        <v>-22648393</v>
      </c>
      <c r="H3606">
        <v>64464172</v>
      </c>
      <c r="I3606">
        <v>-24190724</v>
      </c>
      <c r="J3606">
        <v>-5204045</v>
      </c>
      <c r="K3606">
        <v>-3089884</v>
      </c>
      <c r="L3606">
        <v>-543756</v>
      </c>
      <c r="M3606">
        <v>-57736181</v>
      </c>
      <c r="N3606">
        <v>5493795</v>
      </c>
      <c r="O3606">
        <v>-12872373</v>
      </c>
      <c r="P3606">
        <v>79</v>
      </c>
      <c r="Q3606" t="s">
        <v>7555</v>
      </c>
    </row>
    <row r="3607" spans="1:17" x14ac:dyDescent="0.3">
      <c r="A3607" t="s">
        <v>17</v>
      </c>
      <c r="B3607" t="str">
        <f>"600171"</f>
        <v>600171</v>
      </c>
      <c r="C3607" t="s">
        <v>7556</v>
      </c>
      <c r="D3607" t="s">
        <v>1192</v>
      </c>
      <c r="E3607">
        <v>-92226244</v>
      </c>
      <c r="F3607">
        <v>5279845</v>
      </c>
      <c r="G3607">
        <v>21761960</v>
      </c>
      <c r="H3607">
        <v>4516527</v>
      </c>
      <c r="I3607">
        <v>-7075877</v>
      </c>
      <c r="J3607">
        <v>13279430</v>
      </c>
      <c r="K3607">
        <v>14258865</v>
      </c>
      <c r="L3607">
        <v>3612561</v>
      </c>
      <c r="M3607">
        <v>-8755934</v>
      </c>
      <c r="N3607">
        <v>-25446165</v>
      </c>
      <c r="O3607">
        <v>18198047</v>
      </c>
      <c r="P3607">
        <v>574</v>
      </c>
      <c r="Q3607" t="s">
        <v>7557</v>
      </c>
    </row>
    <row r="3608" spans="1:17" x14ac:dyDescent="0.3">
      <c r="A3608" t="s">
        <v>33</v>
      </c>
      <c r="B3608" t="str">
        <f>"300265"</f>
        <v>300265</v>
      </c>
      <c r="C3608" t="s">
        <v>7558</v>
      </c>
      <c r="D3608" t="s">
        <v>1282</v>
      </c>
      <c r="E3608">
        <v>-92255779</v>
      </c>
      <c r="F3608">
        <v>-96837941</v>
      </c>
      <c r="G3608">
        <v>-60037897</v>
      </c>
      <c r="H3608">
        <v>42493654</v>
      </c>
      <c r="I3608">
        <v>-35678579</v>
      </c>
      <c r="J3608">
        <v>-39044926</v>
      </c>
      <c r="K3608">
        <v>-49066692</v>
      </c>
      <c r="L3608">
        <v>-9701933</v>
      </c>
      <c r="M3608">
        <v>-61596991</v>
      </c>
      <c r="N3608">
        <v>-38676317</v>
      </c>
      <c r="O3608">
        <v>-74027864</v>
      </c>
      <c r="P3608">
        <v>162</v>
      </c>
      <c r="Q3608" t="s">
        <v>7559</v>
      </c>
    </row>
    <row r="3609" spans="1:17" x14ac:dyDescent="0.3">
      <c r="A3609" t="s">
        <v>33</v>
      </c>
      <c r="B3609" t="str">
        <f>"002912"</f>
        <v>002912</v>
      </c>
      <c r="C3609" t="s">
        <v>7560</v>
      </c>
      <c r="D3609" t="s">
        <v>1571</v>
      </c>
      <c r="E3609">
        <v>-92525114</v>
      </c>
      <c r="F3609">
        <v>-127908886</v>
      </c>
      <c r="G3609">
        <v>-56448800</v>
      </c>
      <c r="H3609">
        <v>-15882333</v>
      </c>
      <c r="I3609">
        <v>-85535355</v>
      </c>
      <c r="J3609">
        <v>-32914264</v>
      </c>
      <c r="P3609">
        <v>586</v>
      </c>
      <c r="Q3609" t="s">
        <v>7561</v>
      </c>
    </row>
    <row r="3610" spans="1:17" x14ac:dyDescent="0.3">
      <c r="A3610" t="s">
        <v>17</v>
      </c>
      <c r="B3610" t="str">
        <f>"600843"</f>
        <v>600843</v>
      </c>
      <c r="C3610" t="s">
        <v>7562</v>
      </c>
      <c r="D3610" t="s">
        <v>2847</v>
      </c>
      <c r="E3610">
        <v>-92532761</v>
      </c>
      <c r="F3610">
        <v>-66204905</v>
      </c>
      <c r="G3610">
        <v>33496487</v>
      </c>
      <c r="H3610">
        <v>-104148009</v>
      </c>
      <c r="I3610">
        <v>-21967006</v>
      </c>
      <c r="J3610">
        <v>-41055836</v>
      </c>
      <c r="K3610">
        <v>-54247776</v>
      </c>
      <c r="L3610">
        <v>1875214</v>
      </c>
      <c r="M3610">
        <v>-38759298</v>
      </c>
      <c r="N3610">
        <v>-37367115</v>
      </c>
      <c r="O3610">
        <v>18946353</v>
      </c>
      <c r="P3610">
        <v>78</v>
      </c>
      <c r="Q3610" t="s">
        <v>7563</v>
      </c>
    </row>
    <row r="3611" spans="1:17" x14ac:dyDescent="0.3">
      <c r="A3611" t="s">
        <v>33</v>
      </c>
      <c r="B3611" t="str">
        <f>"300912"</f>
        <v>300912</v>
      </c>
      <c r="C3611" t="s">
        <v>7564</v>
      </c>
      <c r="D3611" t="s">
        <v>1419</v>
      </c>
      <c r="E3611">
        <v>-92572312</v>
      </c>
      <c r="F3611">
        <v>-47234370</v>
      </c>
      <c r="G3611">
        <v>2262470</v>
      </c>
      <c r="P3611">
        <v>39</v>
      </c>
      <c r="Q3611" t="s">
        <v>7565</v>
      </c>
    </row>
    <row r="3612" spans="1:17" x14ac:dyDescent="0.3">
      <c r="A3612" t="s">
        <v>33</v>
      </c>
      <c r="B3612" t="str">
        <f>"002154"</f>
        <v>002154</v>
      </c>
      <c r="C3612" t="s">
        <v>7566</v>
      </c>
      <c r="D3612" t="s">
        <v>581</v>
      </c>
      <c r="E3612">
        <v>-92697835</v>
      </c>
      <c r="F3612">
        <v>20208441</v>
      </c>
      <c r="G3612">
        <v>-22127414</v>
      </c>
      <c r="H3612">
        <v>8199789</v>
      </c>
      <c r="I3612">
        <v>-2729765</v>
      </c>
      <c r="J3612">
        <v>-31117586</v>
      </c>
      <c r="K3612">
        <v>-40713006</v>
      </c>
      <c r="L3612">
        <v>28234953</v>
      </c>
      <c r="M3612">
        <v>3441507</v>
      </c>
      <c r="N3612">
        <v>-225520825</v>
      </c>
      <c r="O3612">
        <v>-32905882</v>
      </c>
      <c r="P3612">
        <v>204</v>
      </c>
      <c r="Q3612" t="s">
        <v>7567</v>
      </c>
    </row>
    <row r="3613" spans="1:17" x14ac:dyDescent="0.3">
      <c r="A3613" t="s">
        <v>33</v>
      </c>
      <c r="B3613" t="str">
        <f>"002789"</f>
        <v>002789</v>
      </c>
      <c r="C3613" t="s">
        <v>7568</v>
      </c>
      <c r="D3613" t="s">
        <v>1779</v>
      </c>
      <c r="E3613">
        <v>-92764526</v>
      </c>
      <c r="F3613">
        <v>-127755125</v>
      </c>
      <c r="G3613">
        <v>-172839185</v>
      </c>
      <c r="H3613">
        <v>112176508</v>
      </c>
      <c r="I3613">
        <v>-88931543</v>
      </c>
      <c r="J3613">
        <v>-118773093</v>
      </c>
      <c r="K3613">
        <v>-52729132</v>
      </c>
      <c r="L3613">
        <v>-127559904</v>
      </c>
      <c r="P3613">
        <v>57</v>
      </c>
      <c r="Q3613" t="s">
        <v>7569</v>
      </c>
    </row>
    <row r="3614" spans="1:17" x14ac:dyDescent="0.3">
      <c r="A3614" t="s">
        <v>33</v>
      </c>
      <c r="B3614" t="str">
        <f>"300177"</f>
        <v>300177</v>
      </c>
      <c r="C3614" t="s">
        <v>7570</v>
      </c>
      <c r="D3614" t="s">
        <v>617</v>
      </c>
      <c r="E3614">
        <v>-92908659</v>
      </c>
      <c r="F3614">
        <v>-179302847</v>
      </c>
      <c r="G3614">
        <v>-52189126</v>
      </c>
      <c r="H3614">
        <v>-131539953</v>
      </c>
      <c r="I3614">
        <v>-104794689</v>
      </c>
      <c r="J3614">
        <v>-30190310</v>
      </c>
      <c r="K3614">
        <v>-40696224</v>
      </c>
      <c r="L3614">
        <v>-89504760</v>
      </c>
      <c r="M3614">
        <v>-44436684</v>
      </c>
      <c r="N3614">
        <v>-40416515</v>
      </c>
      <c r="O3614">
        <v>-25048532</v>
      </c>
      <c r="P3614">
        <v>232</v>
      </c>
      <c r="Q3614" t="s">
        <v>7571</v>
      </c>
    </row>
    <row r="3615" spans="1:17" x14ac:dyDescent="0.3">
      <c r="A3615" t="s">
        <v>33</v>
      </c>
      <c r="B3615" t="str">
        <f>"300229"</f>
        <v>300229</v>
      </c>
      <c r="C3615" t="s">
        <v>7572</v>
      </c>
      <c r="D3615" t="s">
        <v>807</v>
      </c>
      <c r="E3615">
        <v>-92937446</v>
      </c>
      <c r="F3615">
        <v>-79374602</v>
      </c>
      <c r="G3615">
        <v>-66896358</v>
      </c>
      <c r="H3615">
        <v>-70795659</v>
      </c>
      <c r="I3615">
        <v>-98623515</v>
      </c>
      <c r="J3615">
        <v>-60925374</v>
      </c>
      <c r="K3615">
        <v>-51726476</v>
      </c>
      <c r="L3615">
        <v>-30910289</v>
      </c>
      <c r="M3615">
        <v>5183752</v>
      </c>
      <c r="N3615">
        <v>-17136292</v>
      </c>
      <c r="O3615">
        <v>-1614620</v>
      </c>
      <c r="P3615">
        <v>209</v>
      </c>
      <c r="Q3615" t="s">
        <v>7573</v>
      </c>
    </row>
    <row r="3616" spans="1:17" x14ac:dyDescent="0.3">
      <c r="A3616" t="s">
        <v>17</v>
      </c>
      <c r="B3616" t="str">
        <f>"603332"</f>
        <v>603332</v>
      </c>
      <c r="C3616" t="s">
        <v>7574</v>
      </c>
      <c r="D3616" t="s">
        <v>2145</v>
      </c>
      <c r="E3616">
        <v>-93201383</v>
      </c>
      <c r="F3616">
        <v>-64544765</v>
      </c>
      <c r="G3616">
        <v>-66200609</v>
      </c>
      <c r="H3616">
        <v>55370362</v>
      </c>
      <c r="I3616">
        <v>-59766335</v>
      </c>
      <c r="J3616">
        <v>-37018789</v>
      </c>
      <c r="P3616">
        <v>59</v>
      </c>
      <c r="Q3616" t="s">
        <v>7575</v>
      </c>
    </row>
    <row r="3617" spans="1:17" x14ac:dyDescent="0.3">
      <c r="A3617" t="s">
        <v>17</v>
      </c>
      <c r="B3617" t="str">
        <f>"688039"</f>
        <v>688039</v>
      </c>
      <c r="C3617" t="s">
        <v>7576</v>
      </c>
      <c r="D3617" t="s">
        <v>508</v>
      </c>
      <c r="E3617">
        <v>-93222534</v>
      </c>
      <c r="F3617">
        <v>-69519306</v>
      </c>
      <c r="G3617">
        <v>-80906984</v>
      </c>
      <c r="H3617">
        <v>-31953905</v>
      </c>
      <c r="P3617">
        <v>155</v>
      </c>
      <c r="Q3617" t="s">
        <v>7577</v>
      </c>
    </row>
    <row r="3618" spans="1:17" x14ac:dyDescent="0.3">
      <c r="A3618" t="s">
        <v>17</v>
      </c>
      <c r="B3618" t="str">
        <f>"688699"</f>
        <v>688699</v>
      </c>
      <c r="C3618" t="s">
        <v>7578</v>
      </c>
      <c r="D3618" t="s">
        <v>1192</v>
      </c>
      <c r="E3618">
        <v>-93224282</v>
      </c>
      <c r="F3618">
        <v>-12481127</v>
      </c>
      <c r="G3618">
        <v>-24323798</v>
      </c>
      <c r="P3618">
        <v>140</v>
      </c>
      <c r="Q3618" t="s">
        <v>7579</v>
      </c>
    </row>
    <row r="3619" spans="1:17" x14ac:dyDescent="0.3">
      <c r="A3619" t="s">
        <v>17</v>
      </c>
      <c r="B3619" t="str">
        <f>"603797"</f>
        <v>603797</v>
      </c>
      <c r="C3619" t="s">
        <v>7580</v>
      </c>
      <c r="D3619" t="s">
        <v>932</v>
      </c>
      <c r="E3619">
        <v>-93614066</v>
      </c>
      <c r="F3619">
        <v>46843399</v>
      </c>
      <c r="G3619">
        <v>105265564</v>
      </c>
      <c r="H3619">
        <v>68122580</v>
      </c>
      <c r="I3619">
        <v>40521513</v>
      </c>
      <c r="J3619">
        <v>19622690</v>
      </c>
      <c r="K3619">
        <v>20886555</v>
      </c>
      <c r="P3619">
        <v>243</v>
      </c>
      <c r="Q3619" t="s">
        <v>7581</v>
      </c>
    </row>
    <row r="3620" spans="1:17" x14ac:dyDescent="0.3">
      <c r="A3620" t="s">
        <v>17</v>
      </c>
      <c r="B3620" t="str">
        <f>"603520"</f>
        <v>603520</v>
      </c>
      <c r="C3620" t="s">
        <v>7582</v>
      </c>
      <c r="D3620" t="s">
        <v>941</v>
      </c>
      <c r="E3620">
        <v>-93672558</v>
      </c>
      <c r="F3620">
        <v>-11377019</v>
      </c>
      <c r="G3620">
        <v>10614698</v>
      </c>
      <c r="H3620">
        <v>15004830</v>
      </c>
      <c r="I3620">
        <v>-2310055</v>
      </c>
      <c r="J3620">
        <v>-39735015</v>
      </c>
      <c r="K3620">
        <v>-28106879</v>
      </c>
      <c r="L3620">
        <v>30242963</v>
      </c>
      <c r="P3620">
        <v>382</v>
      </c>
      <c r="Q3620" t="s">
        <v>7583</v>
      </c>
    </row>
    <row r="3621" spans="1:17" x14ac:dyDescent="0.3">
      <c r="A3621" t="s">
        <v>33</v>
      </c>
      <c r="B3621" t="str">
        <f>"000501"</f>
        <v>000501</v>
      </c>
      <c r="C3621" t="s">
        <v>7584</v>
      </c>
      <c r="D3621" t="s">
        <v>989</v>
      </c>
      <c r="E3621">
        <v>-93784591</v>
      </c>
      <c r="F3621">
        <v>779495263</v>
      </c>
      <c r="G3621">
        <v>-193394564</v>
      </c>
      <c r="H3621">
        <v>348640775</v>
      </c>
      <c r="I3621">
        <v>352383689</v>
      </c>
      <c r="J3621">
        <v>320778315</v>
      </c>
      <c r="K3621">
        <v>205771997</v>
      </c>
      <c r="L3621">
        <v>292483738</v>
      </c>
      <c r="M3621">
        <v>86595945</v>
      </c>
      <c r="N3621">
        <v>549256357</v>
      </c>
      <c r="O3621">
        <v>334379375</v>
      </c>
      <c r="P3621">
        <v>6225</v>
      </c>
      <c r="Q3621" t="s">
        <v>7585</v>
      </c>
    </row>
    <row r="3622" spans="1:17" x14ac:dyDescent="0.3">
      <c r="A3622" t="s">
        <v>17</v>
      </c>
      <c r="B3622" t="str">
        <f>"603569"</f>
        <v>603569</v>
      </c>
      <c r="C3622" t="s">
        <v>7586</v>
      </c>
      <c r="D3622" t="s">
        <v>556</v>
      </c>
      <c r="E3622">
        <v>-93814431</v>
      </c>
      <c r="F3622">
        <v>45901831</v>
      </c>
      <c r="G3622">
        <v>235949369</v>
      </c>
      <c r="H3622">
        <v>267096300</v>
      </c>
      <c r="I3622">
        <v>-210804432</v>
      </c>
      <c r="J3622">
        <v>-308671593</v>
      </c>
      <c r="K3622">
        <v>-58730915</v>
      </c>
      <c r="L3622">
        <v>-42033329</v>
      </c>
      <c r="P3622">
        <v>198</v>
      </c>
      <c r="Q3622" t="s">
        <v>7587</v>
      </c>
    </row>
    <row r="3623" spans="1:17" x14ac:dyDescent="0.3">
      <c r="A3623" t="s">
        <v>17</v>
      </c>
      <c r="B3623" t="str">
        <f>"603848"</f>
        <v>603848</v>
      </c>
      <c r="C3623" t="s">
        <v>7588</v>
      </c>
      <c r="D3623" t="s">
        <v>664</v>
      </c>
      <c r="E3623">
        <v>-94024317</v>
      </c>
      <c r="F3623">
        <v>-42298847</v>
      </c>
      <c r="G3623">
        <v>-196600092</v>
      </c>
      <c r="H3623">
        <v>-136543332</v>
      </c>
      <c r="I3623">
        <v>-98761311</v>
      </c>
      <c r="J3623">
        <v>26332319</v>
      </c>
      <c r="P3623">
        <v>415</v>
      </c>
      <c r="Q3623" t="s">
        <v>7589</v>
      </c>
    </row>
    <row r="3624" spans="1:17" x14ac:dyDescent="0.3">
      <c r="A3624" t="s">
        <v>33</v>
      </c>
      <c r="B3624" t="str">
        <f>"300877"</f>
        <v>300877</v>
      </c>
      <c r="C3624" t="s">
        <v>7590</v>
      </c>
      <c r="D3624" t="s">
        <v>1292</v>
      </c>
      <c r="E3624">
        <v>-94194723</v>
      </c>
      <c r="F3624">
        <v>-56667606</v>
      </c>
      <c r="G3624">
        <v>-86962331</v>
      </c>
      <c r="H3624">
        <v>-122393400</v>
      </c>
      <c r="P3624">
        <v>75</v>
      </c>
      <c r="Q3624" t="s">
        <v>7591</v>
      </c>
    </row>
    <row r="3625" spans="1:17" x14ac:dyDescent="0.3">
      <c r="A3625" t="s">
        <v>33</v>
      </c>
      <c r="B3625" t="str">
        <f>"002650"</f>
        <v>002650</v>
      </c>
      <c r="C3625" t="s">
        <v>7592</v>
      </c>
      <c r="D3625" t="s">
        <v>669</v>
      </c>
      <c r="E3625">
        <v>-94275926</v>
      </c>
      <c r="F3625">
        <v>90366752</v>
      </c>
      <c r="G3625">
        <v>116325215</v>
      </c>
      <c r="H3625">
        <v>75911780</v>
      </c>
      <c r="I3625">
        <v>-2046591</v>
      </c>
      <c r="J3625">
        <v>22439043</v>
      </c>
      <c r="K3625">
        <v>104855164</v>
      </c>
      <c r="L3625">
        <v>185699</v>
      </c>
      <c r="M3625">
        <v>1003058</v>
      </c>
      <c r="N3625">
        <v>-41766208</v>
      </c>
      <c r="O3625">
        <v>-116971930</v>
      </c>
      <c r="P3625">
        <v>207</v>
      </c>
      <c r="Q3625" t="s">
        <v>7593</v>
      </c>
    </row>
    <row r="3626" spans="1:17" x14ac:dyDescent="0.3">
      <c r="A3626" t="s">
        <v>33</v>
      </c>
      <c r="B3626" t="str">
        <f>"300757"</f>
        <v>300757</v>
      </c>
      <c r="C3626" t="s">
        <v>7594</v>
      </c>
      <c r="D3626" t="s">
        <v>4171</v>
      </c>
      <c r="E3626">
        <v>-94602550</v>
      </c>
      <c r="F3626">
        <v>-7057742</v>
      </c>
      <c r="G3626">
        <v>-88491732</v>
      </c>
      <c r="H3626">
        <v>-8880166</v>
      </c>
      <c r="I3626">
        <v>-25989908</v>
      </c>
      <c r="P3626">
        <v>76</v>
      </c>
      <c r="Q3626" t="s">
        <v>7595</v>
      </c>
    </row>
    <row r="3627" spans="1:17" x14ac:dyDescent="0.3">
      <c r="A3627" t="s">
        <v>17</v>
      </c>
      <c r="B3627" t="str">
        <f>"603908"</f>
        <v>603908</v>
      </c>
      <c r="C3627" t="s">
        <v>7596</v>
      </c>
      <c r="D3627" t="s">
        <v>1680</v>
      </c>
      <c r="E3627">
        <v>-94711061</v>
      </c>
      <c r="F3627">
        <v>-38750973</v>
      </c>
      <c r="G3627">
        <v>-42783273</v>
      </c>
      <c r="H3627">
        <v>-15657032</v>
      </c>
      <c r="I3627">
        <v>-29893141</v>
      </c>
      <c r="J3627">
        <v>3492162</v>
      </c>
      <c r="K3627">
        <v>25084828</v>
      </c>
      <c r="P3627">
        <v>114</v>
      </c>
      <c r="Q3627" t="s">
        <v>7597</v>
      </c>
    </row>
    <row r="3628" spans="1:17" x14ac:dyDescent="0.3">
      <c r="A3628" t="s">
        <v>33</v>
      </c>
      <c r="B3628" t="str">
        <f>"300681"</f>
        <v>300681</v>
      </c>
      <c r="C3628" t="s">
        <v>7598</v>
      </c>
      <c r="D3628" t="s">
        <v>603</v>
      </c>
      <c r="E3628">
        <v>-94984175</v>
      </c>
      <c r="F3628">
        <v>-22435497</v>
      </c>
      <c r="G3628">
        <v>4494358</v>
      </c>
      <c r="H3628">
        <v>75457675</v>
      </c>
      <c r="I3628">
        <v>1077827</v>
      </c>
      <c r="J3628">
        <v>5986633</v>
      </c>
      <c r="K3628">
        <v>6900638</v>
      </c>
      <c r="P3628">
        <v>89</v>
      </c>
      <c r="Q3628" t="s">
        <v>7599</v>
      </c>
    </row>
    <row r="3629" spans="1:17" x14ac:dyDescent="0.3">
      <c r="A3629" t="s">
        <v>33</v>
      </c>
      <c r="B3629" t="str">
        <f>"002593"</f>
        <v>002593</v>
      </c>
      <c r="C3629" t="s">
        <v>7600</v>
      </c>
      <c r="D3629" t="s">
        <v>2307</v>
      </c>
      <c r="E3629">
        <v>-95212358</v>
      </c>
      <c r="F3629">
        <v>-171062252</v>
      </c>
      <c r="G3629">
        <v>-99636060</v>
      </c>
      <c r="H3629">
        <v>-82110893</v>
      </c>
      <c r="I3629">
        <v>46930793</v>
      </c>
      <c r="J3629">
        <v>-90422818</v>
      </c>
      <c r="K3629">
        <v>78615740</v>
      </c>
      <c r="L3629">
        <v>-7195574</v>
      </c>
      <c r="M3629">
        <v>9979266</v>
      </c>
      <c r="N3629">
        <v>28364766</v>
      </c>
      <c r="O3629">
        <v>-79758509</v>
      </c>
      <c r="P3629">
        <v>88</v>
      </c>
      <c r="Q3629" t="s">
        <v>7601</v>
      </c>
    </row>
    <row r="3630" spans="1:17" x14ac:dyDescent="0.3">
      <c r="A3630" t="s">
        <v>17</v>
      </c>
      <c r="B3630" t="str">
        <f>"688520"</f>
        <v>688520</v>
      </c>
      <c r="C3630" t="s">
        <v>7602</v>
      </c>
      <c r="D3630" t="s">
        <v>756</v>
      </c>
      <c r="E3630">
        <v>-95350434</v>
      </c>
      <c r="F3630">
        <v>-161390990</v>
      </c>
      <c r="G3630">
        <v>-90053041</v>
      </c>
      <c r="H3630">
        <v>-70209450</v>
      </c>
      <c r="P3630">
        <v>90</v>
      </c>
      <c r="Q3630" t="s">
        <v>7603</v>
      </c>
    </row>
    <row r="3631" spans="1:17" x14ac:dyDescent="0.3">
      <c r="A3631" t="s">
        <v>33</v>
      </c>
      <c r="B3631" t="str">
        <f>"000839"</f>
        <v>000839</v>
      </c>
      <c r="C3631" t="s">
        <v>7604</v>
      </c>
      <c r="D3631" t="s">
        <v>523</v>
      </c>
      <c r="E3631">
        <v>-95483994</v>
      </c>
      <c r="F3631">
        <v>-416511225</v>
      </c>
      <c r="G3631">
        <v>-453467497</v>
      </c>
      <c r="H3631">
        <v>-155353843</v>
      </c>
      <c r="I3631">
        <v>-184403081</v>
      </c>
      <c r="J3631">
        <v>-248861391</v>
      </c>
      <c r="K3631">
        <v>-322654029</v>
      </c>
      <c r="L3631">
        <v>-57707616</v>
      </c>
      <c r="M3631">
        <v>-74743590</v>
      </c>
      <c r="N3631">
        <v>-86910745</v>
      </c>
      <c r="O3631">
        <v>-287964236</v>
      </c>
      <c r="P3631">
        <v>219</v>
      </c>
      <c r="Q3631" t="s">
        <v>7605</v>
      </c>
    </row>
    <row r="3632" spans="1:17" x14ac:dyDescent="0.3">
      <c r="A3632" t="s">
        <v>33</v>
      </c>
      <c r="B3632" t="str">
        <f>"301066"</f>
        <v>301066</v>
      </c>
      <c r="C3632" t="s">
        <v>7606</v>
      </c>
      <c r="D3632" t="s">
        <v>1680</v>
      </c>
      <c r="E3632">
        <v>-95629011</v>
      </c>
      <c r="F3632">
        <v>-78114081</v>
      </c>
      <c r="P3632">
        <v>21</v>
      </c>
      <c r="Q3632" t="s">
        <v>7607</v>
      </c>
    </row>
    <row r="3633" spans="1:17" x14ac:dyDescent="0.3">
      <c r="A3633" t="s">
        <v>33</v>
      </c>
      <c r="B3633" t="str">
        <f>"002401"</f>
        <v>002401</v>
      </c>
      <c r="C3633" t="s">
        <v>7608</v>
      </c>
      <c r="D3633" t="s">
        <v>508</v>
      </c>
      <c r="E3633">
        <v>-95765350</v>
      </c>
      <c r="F3633">
        <v>-91637066</v>
      </c>
      <c r="G3633">
        <v>-227979164</v>
      </c>
      <c r="H3633">
        <v>-164989232</v>
      </c>
      <c r="I3633">
        <v>-72146063</v>
      </c>
      <c r="J3633">
        <v>-33909758</v>
      </c>
      <c r="K3633">
        <v>200694530</v>
      </c>
      <c r="L3633">
        <v>-39561329</v>
      </c>
      <c r="M3633">
        <v>-47417001</v>
      </c>
      <c r="N3633">
        <v>-150446439</v>
      </c>
      <c r="O3633">
        <v>-20506553</v>
      </c>
      <c r="P3633">
        <v>152</v>
      </c>
      <c r="Q3633" t="s">
        <v>7609</v>
      </c>
    </row>
    <row r="3634" spans="1:17" x14ac:dyDescent="0.3">
      <c r="A3634" t="s">
        <v>33</v>
      </c>
      <c r="B3634" t="str">
        <f>"002510"</f>
        <v>002510</v>
      </c>
      <c r="C3634" t="s">
        <v>7610</v>
      </c>
      <c r="D3634" t="s">
        <v>1419</v>
      </c>
      <c r="E3634">
        <v>-96018574</v>
      </c>
      <c r="F3634">
        <v>59114749</v>
      </c>
      <c r="G3634">
        <v>-80176511</v>
      </c>
      <c r="H3634">
        <v>-25483919</v>
      </c>
      <c r="I3634">
        <v>-152282809</v>
      </c>
      <c r="J3634">
        <v>-86643750</v>
      </c>
      <c r="K3634">
        <v>-31722064</v>
      </c>
      <c r="L3634">
        <v>-21815871</v>
      </c>
      <c r="M3634">
        <v>-52088120</v>
      </c>
      <c r="N3634">
        <v>58152145</v>
      </c>
      <c r="O3634">
        <v>10451849</v>
      </c>
      <c r="P3634">
        <v>208</v>
      </c>
      <c r="Q3634" t="s">
        <v>7611</v>
      </c>
    </row>
    <row r="3635" spans="1:17" x14ac:dyDescent="0.3">
      <c r="A3635" t="s">
        <v>17</v>
      </c>
      <c r="B3635" t="str">
        <f>"600051"</f>
        <v>600051</v>
      </c>
      <c r="C3635" t="s">
        <v>7612</v>
      </c>
      <c r="D3635" t="s">
        <v>523</v>
      </c>
      <c r="E3635">
        <v>-96344452</v>
      </c>
      <c r="F3635">
        <v>-239682427</v>
      </c>
      <c r="G3635">
        <v>98388161</v>
      </c>
      <c r="H3635">
        <v>-125244241</v>
      </c>
      <c r="I3635">
        <v>-85863829</v>
      </c>
      <c r="J3635">
        <v>212725987</v>
      </c>
      <c r="K3635">
        <v>99952706</v>
      </c>
      <c r="L3635">
        <v>-107548842</v>
      </c>
      <c r="M3635">
        <v>-157213071</v>
      </c>
      <c r="N3635">
        <v>-231885849</v>
      </c>
      <c r="O3635">
        <v>-58794017</v>
      </c>
      <c r="P3635">
        <v>305</v>
      </c>
      <c r="Q3635" t="s">
        <v>7613</v>
      </c>
    </row>
    <row r="3636" spans="1:17" x14ac:dyDescent="0.3">
      <c r="A3636" t="s">
        <v>33</v>
      </c>
      <c r="B3636" t="str">
        <f>"000818"</f>
        <v>000818</v>
      </c>
      <c r="C3636" t="s">
        <v>7614</v>
      </c>
      <c r="D3636" t="s">
        <v>496</v>
      </c>
      <c r="E3636">
        <v>-96356710</v>
      </c>
      <c r="F3636">
        <v>89018375</v>
      </c>
      <c r="G3636">
        <v>-17651070</v>
      </c>
      <c r="H3636">
        <v>36789649</v>
      </c>
      <c r="I3636">
        <v>-34194257</v>
      </c>
      <c r="J3636">
        <v>19763903</v>
      </c>
      <c r="K3636">
        <v>-60391665</v>
      </c>
      <c r="L3636">
        <v>22701817</v>
      </c>
      <c r="M3636">
        <v>28120970</v>
      </c>
      <c r="N3636">
        <v>28243197</v>
      </c>
      <c r="O3636">
        <v>-17284729</v>
      </c>
      <c r="P3636">
        <v>258</v>
      </c>
      <c r="Q3636" t="s">
        <v>7615</v>
      </c>
    </row>
    <row r="3637" spans="1:17" x14ac:dyDescent="0.3">
      <c r="A3637" t="s">
        <v>33</v>
      </c>
      <c r="B3637" t="str">
        <f>"002331"</f>
        <v>002331</v>
      </c>
      <c r="C3637" t="s">
        <v>7616</v>
      </c>
      <c r="D3637" t="s">
        <v>508</v>
      </c>
      <c r="E3637">
        <v>-96385134</v>
      </c>
      <c r="F3637">
        <v>-116235264</v>
      </c>
      <c r="G3637">
        <v>-175493255</v>
      </c>
      <c r="H3637">
        <v>-136364210</v>
      </c>
      <c r="I3637">
        <v>-122148261</v>
      </c>
      <c r="J3637">
        <v>-78317764</v>
      </c>
      <c r="K3637">
        <v>-5981213</v>
      </c>
      <c r="L3637">
        <v>14754819</v>
      </c>
      <c r="M3637">
        <v>-52624305</v>
      </c>
      <c r="N3637">
        <v>-31860034</v>
      </c>
      <c r="O3637">
        <v>-67668667</v>
      </c>
      <c r="P3637">
        <v>121</v>
      </c>
      <c r="Q3637" t="s">
        <v>7617</v>
      </c>
    </row>
    <row r="3638" spans="1:17" x14ac:dyDescent="0.3">
      <c r="A3638" t="s">
        <v>17</v>
      </c>
      <c r="B3638" t="str">
        <f>"600076"</f>
        <v>600076</v>
      </c>
      <c r="C3638" t="s">
        <v>7618</v>
      </c>
      <c r="D3638" t="s">
        <v>2743</v>
      </c>
      <c r="E3638">
        <v>-96622565</v>
      </c>
      <c r="F3638">
        <v>-33558338</v>
      </c>
      <c r="G3638">
        <v>-46999543</v>
      </c>
      <c r="H3638">
        <v>90384419</v>
      </c>
      <c r="I3638">
        <v>98295555</v>
      </c>
      <c r="J3638">
        <v>40690221</v>
      </c>
      <c r="K3638">
        <v>-138417788</v>
      </c>
      <c r="L3638">
        <v>-17921121</v>
      </c>
      <c r="M3638">
        <v>-58356909</v>
      </c>
      <c r="N3638">
        <v>-8094359</v>
      </c>
      <c r="O3638">
        <v>-8017804</v>
      </c>
      <c r="P3638">
        <v>200</v>
      </c>
      <c r="Q3638" t="s">
        <v>7619</v>
      </c>
    </row>
    <row r="3639" spans="1:17" x14ac:dyDescent="0.3">
      <c r="A3639" t="s">
        <v>33</v>
      </c>
      <c r="B3639" t="str">
        <f>"300530"</f>
        <v>300530</v>
      </c>
      <c r="C3639" t="s">
        <v>7620</v>
      </c>
      <c r="D3639" t="s">
        <v>418</v>
      </c>
      <c r="E3639">
        <v>-96627419</v>
      </c>
      <c r="F3639">
        <v>-8537111</v>
      </c>
      <c r="G3639">
        <v>660362</v>
      </c>
      <c r="H3639">
        <v>-13179060</v>
      </c>
      <c r="I3639">
        <v>-1928471</v>
      </c>
      <c r="J3639">
        <v>8380583</v>
      </c>
      <c r="K3639">
        <v>382</v>
      </c>
      <c r="L3639">
        <v>585</v>
      </c>
      <c r="P3639">
        <v>64</v>
      </c>
      <c r="Q3639" t="s">
        <v>7621</v>
      </c>
    </row>
    <row r="3640" spans="1:17" x14ac:dyDescent="0.3">
      <c r="A3640" t="s">
        <v>33</v>
      </c>
      <c r="B3640" t="str">
        <f>"000670"</f>
        <v>000670</v>
      </c>
      <c r="C3640" t="s">
        <v>7622</v>
      </c>
      <c r="D3640" t="s">
        <v>1277</v>
      </c>
      <c r="E3640">
        <v>-96678209</v>
      </c>
      <c r="F3640">
        <v>-46375978</v>
      </c>
      <c r="G3640">
        <v>-4846935</v>
      </c>
      <c r="H3640">
        <v>-19415852</v>
      </c>
      <c r="I3640">
        <v>-15947325</v>
      </c>
      <c r="J3640">
        <v>71795785</v>
      </c>
      <c r="K3640">
        <v>-21307988</v>
      </c>
      <c r="L3640">
        <v>-82023639</v>
      </c>
      <c r="M3640">
        <v>-32870994</v>
      </c>
      <c r="N3640">
        <v>-26991351</v>
      </c>
      <c r="O3640">
        <v>-73144528</v>
      </c>
      <c r="P3640">
        <v>116</v>
      </c>
      <c r="Q3640" t="s">
        <v>7623</v>
      </c>
    </row>
    <row r="3641" spans="1:17" x14ac:dyDescent="0.3">
      <c r="A3641" t="s">
        <v>17</v>
      </c>
      <c r="B3641" t="str">
        <f>"603928"</f>
        <v>603928</v>
      </c>
      <c r="C3641" t="s">
        <v>7624</v>
      </c>
      <c r="D3641" t="s">
        <v>1817</v>
      </c>
      <c r="E3641">
        <v>-96873102</v>
      </c>
      <c r="F3641">
        <v>14906674</v>
      </c>
      <c r="G3641">
        <v>61243542</v>
      </c>
      <c r="H3641">
        <v>21462845</v>
      </c>
      <c r="I3641">
        <v>-29076113</v>
      </c>
      <c r="J3641">
        <v>-7453562</v>
      </c>
      <c r="K3641">
        <v>-5992035</v>
      </c>
      <c r="P3641">
        <v>102</v>
      </c>
      <c r="Q3641" t="s">
        <v>7625</v>
      </c>
    </row>
    <row r="3642" spans="1:17" x14ac:dyDescent="0.3">
      <c r="A3642" t="s">
        <v>33</v>
      </c>
      <c r="B3642" t="str">
        <f>"300098"</f>
        <v>300098</v>
      </c>
      <c r="C3642" t="s">
        <v>7626</v>
      </c>
      <c r="D3642" t="s">
        <v>807</v>
      </c>
      <c r="E3642">
        <v>-96879937</v>
      </c>
      <c r="F3642">
        <v>-92602433</v>
      </c>
      <c r="G3642">
        <v>-324083906</v>
      </c>
      <c r="H3642">
        <v>-267116407</v>
      </c>
      <c r="I3642">
        <v>-340144982</v>
      </c>
      <c r="J3642">
        <v>-152458288</v>
      </c>
      <c r="K3642">
        <v>-142439909</v>
      </c>
      <c r="L3642">
        <v>-92649760</v>
      </c>
      <c r="M3642">
        <v>-67783323</v>
      </c>
      <c r="N3642">
        <v>-48731552</v>
      </c>
      <c r="O3642">
        <v>-51430399</v>
      </c>
      <c r="P3642">
        <v>368</v>
      </c>
      <c r="Q3642" t="s">
        <v>7627</v>
      </c>
    </row>
    <row r="3643" spans="1:17" x14ac:dyDescent="0.3">
      <c r="A3643" t="s">
        <v>33</v>
      </c>
      <c r="B3643" t="str">
        <f>"300273"</f>
        <v>300273</v>
      </c>
      <c r="C3643" t="s">
        <v>7628</v>
      </c>
      <c r="D3643" t="s">
        <v>111</v>
      </c>
      <c r="E3643">
        <v>-97175961</v>
      </c>
      <c r="F3643">
        <v>-3307501</v>
      </c>
      <c r="G3643">
        <v>-94689643</v>
      </c>
      <c r="H3643">
        <v>22917879</v>
      </c>
      <c r="I3643">
        <v>-380486901</v>
      </c>
      <c r="J3643">
        <v>-195049301</v>
      </c>
      <c r="K3643">
        <v>-104581224</v>
      </c>
      <c r="L3643">
        <v>-144693520</v>
      </c>
      <c r="M3643">
        <v>-274094893</v>
      </c>
      <c r="N3643">
        <v>-97917704</v>
      </c>
      <c r="O3643">
        <v>-40462981</v>
      </c>
      <c r="P3643">
        <v>143</v>
      </c>
      <c r="Q3643" t="s">
        <v>7629</v>
      </c>
    </row>
    <row r="3644" spans="1:17" x14ac:dyDescent="0.3">
      <c r="A3644" t="s">
        <v>17</v>
      </c>
      <c r="B3644" t="str">
        <f>"603938"</f>
        <v>603938</v>
      </c>
      <c r="C3644" t="s">
        <v>7630</v>
      </c>
      <c r="D3644" t="s">
        <v>188</v>
      </c>
      <c r="E3644">
        <v>-97298822</v>
      </c>
      <c r="F3644">
        <v>-7036048</v>
      </c>
      <c r="G3644">
        <v>52157055</v>
      </c>
      <c r="H3644">
        <v>-33082790</v>
      </c>
      <c r="I3644">
        <v>39398435</v>
      </c>
      <c r="J3644">
        <v>24354557</v>
      </c>
      <c r="K3644">
        <v>-5215786</v>
      </c>
      <c r="P3644">
        <v>102</v>
      </c>
      <c r="Q3644" t="s">
        <v>7631</v>
      </c>
    </row>
    <row r="3645" spans="1:17" x14ac:dyDescent="0.3">
      <c r="A3645" t="s">
        <v>33</v>
      </c>
      <c r="B3645" t="str">
        <f>"300901"</f>
        <v>300901</v>
      </c>
      <c r="C3645" t="s">
        <v>7632</v>
      </c>
      <c r="D3645" t="s">
        <v>581</v>
      </c>
      <c r="E3645">
        <v>-97538957</v>
      </c>
      <c r="F3645">
        <v>-69545768</v>
      </c>
      <c r="P3645">
        <v>45</v>
      </c>
      <c r="Q3645" t="s">
        <v>7633</v>
      </c>
    </row>
    <row r="3646" spans="1:17" x14ac:dyDescent="0.3">
      <c r="A3646" t="s">
        <v>33</v>
      </c>
      <c r="B3646" t="str">
        <f>"300012"</f>
        <v>300012</v>
      </c>
      <c r="C3646" t="s">
        <v>7634</v>
      </c>
      <c r="D3646" t="s">
        <v>2274</v>
      </c>
      <c r="E3646">
        <v>-97876226</v>
      </c>
      <c r="F3646">
        <v>-34253373</v>
      </c>
      <c r="G3646">
        <v>-157023935</v>
      </c>
      <c r="H3646">
        <v>-26597477</v>
      </c>
      <c r="I3646">
        <v>-50355212</v>
      </c>
      <c r="J3646">
        <v>-23281659</v>
      </c>
      <c r="K3646">
        <v>-49732698</v>
      </c>
      <c r="L3646">
        <v>-357833</v>
      </c>
      <c r="M3646">
        <v>11363005</v>
      </c>
      <c r="N3646">
        <v>26086232</v>
      </c>
      <c r="O3646">
        <v>10880360</v>
      </c>
      <c r="P3646">
        <v>1300</v>
      </c>
      <c r="Q3646" t="s">
        <v>7635</v>
      </c>
    </row>
    <row r="3647" spans="1:17" x14ac:dyDescent="0.3">
      <c r="A3647" t="s">
        <v>33</v>
      </c>
      <c r="B3647" t="str">
        <f>"300564"</f>
        <v>300564</v>
      </c>
      <c r="C3647" t="s">
        <v>7636</v>
      </c>
      <c r="D3647" t="s">
        <v>4300</v>
      </c>
      <c r="E3647">
        <v>-98055897</v>
      </c>
      <c r="F3647">
        <v>-230734415</v>
      </c>
      <c r="G3647">
        <v>-209959426</v>
      </c>
      <c r="H3647">
        <v>-127277130</v>
      </c>
      <c r="P3647">
        <v>211</v>
      </c>
      <c r="Q3647" t="s">
        <v>7637</v>
      </c>
    </row>
    <row r="3648" spans="1:17" x14ac:dyDescent="0.3">
      <c r="A3648" t="s">
        <v>33</v>
      </c>
      <c r="B3648" t="str">
        <f>"002162"</f>
        <v>002162</v>
      </c>
      <c r="C3648" t="s">
        <v>7638</v>
      </c>
      <c r="D3648" t="s">
        <v>2743</v>
      </c>
      <c r="E3648">
        <v>-98177017</v>
      </c>
      <c r="F3648">
        <v>-34827114</v>
      </c>
      <c r="G3648">
        <v>-67104046</v>
      </c>
      <c r="H3648">
        <v>-10183643</v>
      </c>
      <c r="I3648">
        <v>-21282638</v>
      </c>
      <c r="J3648">
        <v>15042456</v>
      </c>
      <c r="K3648">
        <v>-4771053</v>
      </c>
      <c r="L3648">
        <v>13230661</v>
      </c>
      <c r="M3648">
        <v>27180147</v>
      </c>
      <c r="N3648">
        <v>37994490</v>
      </c>
      <c r="O3648">
        <v>-74002699</v>
      </c>
      <c r="P3648">
        <v>137</v>
      </c>
      <c r="Q3648" t="s">
        <v>7639</v>
      </c>
    </row>
    <row r="3649" spans="1:17" x14ac:dyDescent="0.3">
      <c r="A3649" t="s">
        <v>33</v>
      </c>
      <c r="B3649" t="str">
        <f>"002530"</f>
        <v>002530</v>
      </c>
      <c r="C3649" t="s">
        <v>7640</v>
      </c>
      <c r="D3649" t="s">
        <v>508</v>
      </c>
      <c r="E3649">
        <v>-98205880</v>
      </c>
      <c r="F3649">
        <v>-97049341</v>
      </c>
      <c r="G3649">
        <v>-104885435</v>
      </c>
      <c r="H3649">
        <v>-164967188</v>
      </c>
      <c r="I3649">
        <v>-107913640</v>
      </c>
      <c r="J3649">
        <v>-42394020</v>
      </c>
      <c r="K3649">
        <v>12276984</v>
      </c>
      <c r="L3649">
        <v>-26159939</v>
      </c>
      <c r="M3649">
        <v>-6642585</v>
      </c>
      <c r="N3649">
        <v>-12783695</v>
      </c>
      <c r="O3649">
        <v>7650514</v>
      </c>
      <c r="P3649">
        <v>135</v>
      </c>
      <c r="Q3649" t="s">
        <v>7641</v>
      </c>
    </row>
    <row r="3650" spans="1:17" x14ac:dyDescent="0.3">
      <c r="A3650" t="s">
        <v>33</v>
      </c>
      <c r="B3650" t="str">
        <f>"300145"</f>
        <v>300145</v>
      </c>
      <c r="C3650" t="s">
        <v>7642</v>
      </c>
      <c r="D3650" t="s">
        <v>1033</v>
      </c>
      <c r="E3650">
        <v>-98245420</v>
      </c>
      <c r="F3650">
        <v>-109142654</v>
      </c>
      <c r="G3650">
        <v>-124323612</v>
      </c>
      <c r="H3650">
        <v>11726225</v>
      </c>
      <c r="I3650">
        <v>29654838</v>
      </c>
      <c r="J3650">
        <v>-298174797</v>
      </c>
      <c r="K3650">
        <v>-88855664</v>
      </c>
      <c r="L3650">
        <v>-96414522</v>
      </c>
      <c r="M3650">
        <v>-59293988</v>
      </c>
      <c r="N3650">
        <v>-51897724</v>
      </c>
      <c r="O3650">
        <v>-15303690</v>
      </c>
      <c r="P3650">
        <v>281</v>
      </c>
      <c r="Q3650" t="s">
        <v>7643</v>
      </c>
    </row>
    <row r="3651" spans="1:17" x14ac:dyDescent="0.3">
      <c r="A3651" t="s">
        <v>17</v>
      </c>
      <c r="B3651" t="str">
        <f>"603855"</f>
        <v>603855</v>
      </c>
      <c r="C3651" t="s">
        <v>7644</v>
      </c>
      <c r="D3651" t="s">
        <v>1895</v>
      </c>
      <c r="E3651">
        <v>-98318495</v>
      </c>
      <c r="F3651">
        <v>2872579</v>
      </c>
      <c r="G3651">
        <v>-13551290</v>
      </c>
      <c r="H3651">
        <v>-51149977</v>
      </c>
      <c r="I3651">
        <v>-45668928</v>
      </c>
      <c r="J3651">
        <v>-40199028</v>
      </c>
      <c r="K3651">
        <v>-51351479</v>
      </c>
      <c r="P3651">
        <v>220</v>
      </c>
      <c r="Q3651" t="s">
        <v>7645</v>
      </c>
    </row>
    <row r="3652" spans="1:17" x14ac:dyDescent="0.3">
      <c r="A3652" t="s">
        <v>33</v>
      </c>
      <c r="B3652" t="str">
        <f>"300550"</f>
        <v>300550</v>
      </c>
      <c r="C3652" t="s">
        <v>7646</v>
      </c>
      <c r="D3652" t="s">
        <v>807</v>
      </c>
      <c r="E3652">
        <v>-98320707</v>
      </c>
      <c r="F3652">
        <v>-39788390</v>
      </c>
      <c r="G3652">
        <v>-87058501</v>
      </c>
      <c r="H3652">
        <v>-50320451</v>
      </c>
      <c r="I3652">
        <v>-44827090</v>
      </c>
      <c r="J3652">
        <v>-27180113</v>
      </c>
      <c r="K3652">
        <v>-24508149</v>
      </c>
      <c r="P3652">
        <v>123</v>
      </c>
      <c r="Q3652" t="s">
        <v>7647</v>
      </c>
    </row>
    <row r="3653" spans="1:17" x14ac:dyDescent="0.3">
      <c r="A3653" t="s">
        <v>17</v>
      </c>
      <c r="B3653" t="str">
        <f>"688379"</f>
        <v>688379</v>
      </c>
      <c r="C3653" t="s">
        <v>7648</v>
      </c>
      <c r="D3653" t="s">
        <v>164</v>
      </c>
      <c r="E3653">
        <v>-98321873</v>
      </c>
      <c r="F3653">
        <v>-151929792</v>
      </c>
      <c r="G3653">
        <v>-67621301</v>
      </c>
      <c r="H3653">
        <v>-132468068</v>
      </c>
      <c r="P3653">
        <v>36</v>
      </c>
      <c r="Q3653" t="s">
        <v>7649</v>
      </c>
    </row>
    <row r="3654" spans="1:17" x14ac:dyDescent="0.3">
      <c r="A3654" t="s">
        <v>33</v>
      </c>
      <c r="B3654" t="str">
        <f>"000650"</f>
        <v>000650</v>
      </c>
      <c r="C3654" t="s">
        <v>7650</v>
      </c>
      <c r="D3654" t="s">
        <v>533</v>
      </c>
      <c r="E3654">
        <v>-98462253</v>
      </c>
      <c r="F3654">
        <v>-2761084</v>
      </c>
      <c r="G3654">
        <v>-32536765</v>
      </c>
      <c r="H3654">
        <v>3848956</v>
      </c>
      <c r="I3654">
        <v>17152882</v>
      </c>
      <c r="J3654">
        <v>-138538473</v>
      </c>
      <c r="K3654">
        <v>71691632</v>
      </c>
      <c r="L3654">
        <v>107910129</v>
      </c>
      <c r="M3654">
        <v>44510772</v>
      </c>
      <c r="N3654">
        <v>935530</v>
      </c>
      <c r="O3654">
        <v>75007813</v>
      </c>
      <c r="P3654">
        <v>888</v>
      </c>
      <c r="Q3654" t="s">
        <v>7651</v>
      </c>
    </row>
    <row r="3655" spans="1:17" x14ac:dyDescent="0.3">
      <c r="A3655" t="s">
        <v>17</v>
      </c>
      <c r="B3655" t="str">
        <f>"600719"</f>
        <v>600719</v>
      </c>
      <c r="C3655" t="s">
        <v>7652</v>
      </c>
      <c r="D3655" t="s">
        <v>1094</v>
      </c>
      <c r="E3655">
        <v>-98496985</v>
      </c>
      <c r="F3655">
        <v>-26789753</v>
      </c>
      <c r="G3655">
        <v>-56497632</v>
      </c>
      <c r="H3655">
        <v>-35240052</v>
      </c>
      <c r="I3655">
        <v>-108480793</v>
      </c>
      <c r="J3655">
        <v>-10553039</v>
      </c>
      <c r="K3655">
        <v>-43205566</v>
      </c>
      <c r="L3655">
        <v>10264267</v>
      </c>
      <c r="M3655">
        <v>34649823</v>
      </c>
      <c r="N3655">
        <v>79416246</v>
      </c>
      <c r="O3655">
        <v>-18891798</v>
      </c>
      <c r="P3655">
        <v>68</v>
      </c>
      <c r="Q3655" t="s">
        <v>7653</v>
      </c>
    </row>
    <row r="3656" spans="1:17" x14ac:dyDescent="0.3">
      <c r="A3656" t="s">
        <v>33</v>
      </c>
      <c r="B3656" t="str">
        <f>"002879"</f>
        <v>002879</v>
      </c>
      <c r="C3656" t="s">
        <v>7654</v>
      </c>
      <c r="D3656" t="s">
        <v>1282</v>
      </c>
      <c r="E3656">
        <v>-98641865</v>
      </c>
      <c r="F3656">
        <v>-57881978</v>
      </c>
      <c r="G3656">
        <v>-64788711</v>
      </c>
      <c r="H3656">
        <v>16235729</v>
      </c>
      <c r="I3656">
        <v>-23622558</v>
      </c>
      <c r="J3656">
        <v>17302316</v>
      </c>
      <c r="K3656">
        <v>-18369142</v>
      </c>
      <c r="P3656">
        <v>266</v>
      </c>
      <c r="Q3656" t="s">
        <v>7655</v>
      </c>
    </row>
    <row r="3657" spans="1:17" x14ac:dyDescent="0.3">
      <c r="A3657" t="s">
        <v>33</v>
      </c>
      <c r="B3657" t="str">
        <f>"300253"</f>
        <v>300253</v>
      </c>
      <c r="C3657" t="s">
        <v>7656</v>
      </c>
      <c r="D3657" t="s">
        <v>807</v>
      </c>
      <c r="E3657">
        <v>-98677813</v>
      </c>
      <c r="F3657">
        <v>-198421096</v>
      </c>
      <c r="G3657">
        <v>-214082270</v>
      </c>
      <c r="H3657">
        <v>-193324234</v>
      </c>
      <c r="I3657">
        <v>-230076608</v>
      </c>
      <c r="J3657">
        <v>-128271189</v>
      </c>
      <c r="K3657">
        <v>-109396945</v>
      </c>
      <c r="L3657">
        <v>-56069487</v>
      </c>
      <c r="M3657">
        <v>-35412662</v>
      </c>
      <c r="N3657">
        <v>-32380818</v>
      </c>
      <c r="O3657">
        <v>-27668582</v>
      </c>
      <c r="P3657">
        <v>935</v>
      </c>
      <c r="Q3657" t="s">
        <v>7657</v>
      </c>
    </row>
    <row r="3658" spans="1:17" x14ac:dyDescent="0.3">
      <c r="A3658" t="s">
        <v>17</v>
      </c>
      <c r="B3658" t="str">
        <f>"600495"</f>
        <v>600495</v>
      </c>
      <c r="C3658" t="s">
        <v>7658</v>
      </c>
      <c r="D3658" t="s">
        <v>1703</v>
      </c>
      <c r="E3658">
        <v>-98774870</v>
      </c>
      <c r="F3658">
        <v>-71697118</v>
      </c>
      <c r="G3658">
        <v>-45687247</v>
      </c>
      <c r="H3658">
        <v>-59013117</v>
      </c>
      <c r="I3658">
        <v>19050086</v>
      </c>
      <c r="J3658">
        <v>8401632</v>
      </c>
      <c r="K3658">
        <v>-144266440</v>
      </c>
      <c r="L3658">
        <v>-148553544</v>
      </c>
      <c r="M3658">
        <v>-72255371</v>
      </c>
      <c r="N3658">
        <v>112866992</v>
      </c>
      <c r="O3658">
        <v>-259419464</v>
      </c>
      <c r="P3658">
        <v>122</v>
      </c>
      <c r="Q3658" t="s">
        <v>7659</v>
      </c>
    </row>
    <row r="3659" spans="1:17" x14ac:dyDescent="0.3">
      <c r="A3659" t="s">
        <v>33</v>
      </c>
      <c r="B3659" t="str">
        <f>"301127"</f>
        <v>301127</v>
      </c>
      <c r="C3659" t="s">
        <v>7660</v>
      </c>
      <c r="D3659" t="s">
        <v>932</v>
      </c>
      <c r="E3659">
        <v>-98775180</v>
      </c>
      <c r="P3659">
        <v>13</v>
      </c>
      <c r="Q3659" t="s">
        <v>7661</v>
      </c>
    </row>
    <row r="3660" spans="1:17" x14ac:dyDescent="0.3">
      <c r="A3660" t="s">
        <v>33</v>
      </c>
      <c r="B3660" t="str">
        <f>"000795"</f>
        <v>000795</v>
      </c>
      <c r="C3660" t="s">
        <v>7662</v>
      </c>
      <c r="D3660" t="s">
        <v>1559</v>
      </c>
      <c r="E3660">
        <v>-98914632</v>
      </c>
      <c r="F3660">
        <v>-32878760</v>
      </c>
      <c r="G3660">
        <v>-105552597</v>
      </c>
      <c r="H3660">
        <v>-37363273</v>
      </c>
      <c r="I3660">
        <v>29485044</v>
      </c>
      <c r="J3660">
        <v>56094792</v>
      </c>
      <c r="K3660">
        <v>-19498142</v>
      </c>
      <c r="L3660">
        <v>-163920580</v>
      </c>
      <c r="M3660">
        <v>-53323349</v>
      </c>
      <c r="N3660">
        <v>-124816572</v>
      </c>
      <c r="O3660">
        <v>-89530075</v>
      </c>
      <c r="P3660">
        <v>145</v>
      </c>
      <c r="Q3660" t="s">
        <v>7663</v>
      </c>
    </row>
    <row r="3661" spans="1:17" x14ac:dyDescent="0.3">
      <c r="A3661" t="s">
        <v>33</v>
      </c>
      <c r="B3661" t="str">
        <f>"300696"</f>
        <v>300696</v>
      </c>
      <c r="C3661" t="s">
        <v>7664</v>
      </c>
      <c r="D3661" t="s">
        <v>2262</v>
      </c>
      <c r="E3661">
        <v>-98978022</v>
      </c>
      <c r="F3661">
        <v>-13908984</v>
      </c>
      <c r="G3661">
        <v>-8986630</v>
      </c>
      <c r="H3661">
        <v>10969154</v>
      </c>
      <c r="I3661">
        <v>-11741159</v>
      </c>
      <c r="J3661">
        <v>11152076</v>
      </c>
      <c r="P3661">
        <v>222</v>
      </c>
      <c r="Q3661" t="s">
        <v>7665</v>
      </c>
    </row>
    <row r="3662" spans="1:17" x14ac:dyDescent="0.3">
      <c r="A3662" t="s">
        <v>17</v>
      </c>
      <c r="B3662" t="str">
        <f>"600630"</f>
        <v>600630</v>
      </c>
      <c r="C3662" t="s">
        <v>7666</v>
      </c>
      <c r="D3662" t="s">
        <v>581</v>
      </c>
      <c r="E3662">
        <v>-98988007</v>
      </c>
      <c r="F3662">
        <v>-13238798</v>
      </c>
      <c r="G3662">
        <v>-75011690</v>
      </c>
      <c r="H3662">
        <v>-86775549</v>
      </c>
      <c r="I3662">
        <v>-77770791</v>
      </c>
      <c r="J3662">
        <v>-111648048</v>
      </c>
      <c r="K3662">
        <v>97348727</v>
      </c>
      <c r="L3662">
        <v>54823064</v>
      </c>
      <c r="M3662">
        <v>-828262</v>
      </c>
      <c r="N3662">
        <v>63917320</v>
      </c>
      <c r="O3662">
        <v>181310026</v>
      </c>
      <c r="P3662">
        <v>110</v>
      </c>
      <c r="Q3662" t="s">
        <v>7667</v>
      </c>
    </row>
    <row r="3663" spans="1:17" x14ac:dyDescent="0.3">
      <c r="A3663" t="s">
        <v>33</v>
      </c>
      <c r="B3663" t="str">
        <f>"300825"</f>
        <v>300825</v>
      </c>
      <c r="C3663" t="s">
        <v>7668</v>
      </c>
      <c r="D3663" t="s">
        <v>2478</v>
      </c>
      <c r="E3663">
        <v>-99009660</v>
      </c>
      <c r="F3663">
        <v>-126452517</v>
      </c>
      <c r="G3663">
        <v>-154636661</v>
      </c>
      <c r="H3663">
        <v>10072536</v>
      </c>
      <c r="P3663">
        <v>92</v>
      </c>
      <c r="Q3663" t="s">
        <v>7669</v>
      </c>
    </row>
    <row r="3664" spans="1:17" x14ac:dyDescent="0.3">
      <c r="A3664" t="s">
        <v>17</v>
      </c>
      <c r="B3664" t="str">
        <f>"603895"</f>
        <v>603895</v>
      </c>
      <c r="C3664" t="s">
        <v>7670</v>
      </c>
      <c r="D3664" t="s">
        <v>1895</v>
      </c>
      <c r="E3664">
        <v>-99129670</v>
      </c>
      <c r="F3664">
        <v>-56454100</v>
      </c>
      <c r="G3664">
        <v>40000577</v>
      </c>
      <c r="H3664">
        <v>19294517</v>
      </c>
      <c r="I3664">
        <v>1800560</v>
      </c>
      <c r="J3664">
        <v>-12833169</v>
      </c>
      <c r="P3664">
        <v>65</v>
      </c>
      <c r="Q3664" t="s">
        <v>7671</v>
      </c>
    </row>
    <row r="3665" spans="1:17" x14ac:dyDescent="0.3">
      <c r="A3665" t="s">
        <v>17</v>
      </c>
      <c r="B3665" t="str">
        <f>"605318"</f>
        <v>605318</v>
      </c>
      <c r="C3665" t="s">
        <v>7672</v>
      </c>
      <c r="D3665" t="s">
        <v>2632</v>
      </c>
      <c r="E3665">
        <v>-99571697</v>
      </c>
      <c r="F3665">
        <v>-103191644</v>
      </c>
      <c r="G3665">
        <v>-39986572</v>
      </c>
      <c r="H3665">
        <v>-72956921</v>
      </c>
      <c r="P3665">
        <v>58</v>
      </c>
      <c r="Q3665" t="s">
        <v>7673</v>
      </c>
    </row>
    <row r="3666" spans="1:17" x14ac:dyDescent="0.3">
      <c r="A3666" t="s">
        <v>33</v>
      </c>
      <c r="B3666" t="str">
        <f>"002181"</f>
        <v>002181</v>
      </c>
      <c r="C3666" t="s">
        <v>7674</v>
      </c>
      <c r="D3666" t="s">
        <v>1501</v>
      </c>
      <c r="E3666">
        <v>-99862045</v>
      </c>
      <c r="F3666">
        <v>-8209118</v>
      </c>
      <c r="G3666">
        <v>-14162103</v>
      </c>
      <c r="H3666">
        <v>-94638873</v>
      </c>
      <c r="I3666">
        <v>-37597373</v>
      </c>
      <c r="J3666">
        <v>-52671150</v>
      </c>
      <c r="K3666">
        <v>-74593080</v>
      </c>
      <c r="L3666">
        <v>-42330033</v>
      </c>
      <c r="M3666">
        <v>-15881536</v>
      </c>
      <c r="N3666">
        <v>-31869668</v>
      </c>
      <c r="O3666">
        <v>8224753</v>
      </c>
      <c r="P3666">
        <v>107</v>
      </c>
      <c r="Q3666" t="s">
        <v>7675</v>
      </c>
    </row>
    <row r="3667" spans="1:17" x14ac:dyDescent="0.3">
      <c r="A3667" t="s">
        <v>33</v>
      </c>
      <c r="B3667" t="str">
        <f>"300556"</f>
        <v>300556</v>
      </c>
      <c r="C3667" t="s">
        <v>7676</v>
      </c>
      <c r="D3667" t="s">
        <v>807</v>
      </c>
      <c r="E3667">
        <v>-99998244</v>
      </c>
      <c r="F3667">
        <v>-41888678</v>
      </c>
      <c r="G3667">
        <v>-89274065</v>
      </c>
      <c r="H3667">
        <v>-68805650</v>
      </c>
      <c r="I3667">
        <v>-59545754</v>
      </c>
      <c r="J3667">
        <v>-21456138</v>
      </c>
      <c r="K3667">
        <v>-24232589</v>
      </c>
      <c r="P3667">
        <v>112</v>
      </c>
      <c r="Q3667" t="s">
        <v>7677</v>
      </c>
    </row>
    <row r="3668" spans="1:17" x14ac:dyDescent="0.3">
      <c r="A3668" t="s">
        <v>33</v>
      </c>
      <c r="B3668" t="str">
        <f>"300551"</f>
        <v>300551</v>
      </c>
      <c r="C3668" t="s">
        <v>7678</v>
      </c>
      <c r="D3668" t="s">
        <v>1571</v>
      </c>
      <c r="E3668">
        <v>-100192662</v>
      </c>
      <c r="F3668">
        <v>-60744867</v>
      </c>
      <c r="G3668">
        <v>-136934533</v>
      </c>
      <c r="H3668">
        <v>-81683284</v>
      </c>
      <c r="I3668">
        <v>-42952320</v>
      </c>
      <c r="J3668">
        <v>-51075103</v>
      </c>
      <c r="K3668">
        <v>-73724883</v>
      </c>
      <c r="P3668">
        <v>89</v>
      </c>
      <c r="Q3668" t="s">
        <v>7679</v>
      </c>
    </row>
    <row r="3669" spans="1:17" x14ac:dyDescent="0.3">
      <c r="A3669" t="s">
        <v>17</v>
      </c>
      <c r="B3669" t="str">
        <f>"603187"</f>
        <v>603187</v>
      </c>
      <c r="C3669" t="s">
        <v>7680</v>
      </c>
      <c r="D3669" t="s">
        <v>2883</v>
      </c>
      <c r="E3669">
        <v>-100344970</v>
      </c>
      <c r="F3669">
        <v>-156022925</v>
      </c>
      <c r="G3669">
        <v>-54342709</v>
      </c>
      <c r="H3669">
        <v>-19365917</v>
      </c>
      <c r="I3669">
        <v>-8559013</v>
      </c>
      <c r="P3669">
        <v>704</v>
      </c>
      <c r="Q3669" t="s">
        <v>7681</v>
      </c>
    </row>
    <row r="3670" spans="1:17" x14ac:dyDescent="0.3">
      <c r="A3670" t="s">
        <v>33</v>
      </c>
      <c r="B3670" t="str">
        <f>"300594"</f>
        <v>300594</v>
      </c>
      <c r="C3670" t="s">
        <v>7682</v>
      </c>
      <c r="D3670" t="s">
        <v>1703</v>
      </c>
      <c r="E3670">
        <v>-100458941</v>
      </c>
      <c r="F3670">
        <v>-49591797</v>
      </c>
      <c r="G3670">
        <v>-49406258</v>
      </c>
      <c r="H3670">
        <v>-69988900</v>
      </c>
      <c r="I3670">
        <v>-1943231</v>
      </c>
      <c r="P3670">
        <v>72</v>
      </c>
      <c r="Q3670" t="s">
        <v>7683</v>
      </c>
    </row>
    <row r="3671" spans="1:17" x14ac:dyDescent="0.3">
      <c r="A3671" t="s">
        <v>17</v>
      </c>
      <c r="B3671" t="str">
        <f>"603396"</f>
        <v>603396</v>
      </c>
      <c r="C3671" t="s">
        <v>7684</v>
      </c>
      <c r="D3671" t="s">
        <v>715</v>
      </c>
      <c r="E3671">
        <v>-100497075</v>
      </c>
      <c r="F3671">
        <v>-3889193</v>
      </c>
      <c r="G3671">
        <v>38046473</v>
      </c>
      <c r="H3671">
        <v>2758335</v>
      </c>
      <c r="I3671">
        <v>-77787991</v>
      </c>
      <c r="J3671">
        <v>-1287893</v>
      </c>
      <c r="P3671">
        <v>217</v>
      </c>
      <c r="Q3671" t="s">
        <v>7685</v>
      </c>
    </row>
    <row r="3672" spans="1:17" x14ac:dyDescent="0.3">
      <c r="A3672" t="s">
        <v>17</v>
      </c>
      <c r="B3672" t="str">
        <f>"605289"</f>
        <v>605289</v>
      </c>
      <c r="C3672" t="s">
        <v>7686</v>
      </c>
      <c r="D3672" t="s">
        <v>1454</v>
      </c>
      <c r="E3672">
        <v>-100609301</v>
      </c>
      <c r="F3672">
        <v>-104754521</v>
      </c>
      <c r="G3672">
        <v>-20386049</v>
      </c>
      <c r="P3672">
        <v>29</v>
      </c>
      <c r="Q3672" t="s">
        <v>7687</v>
      </c>
    </row>
    <row r="3673" spans="1:17" x14ac:dyDescent="0.3">
      <c r="A3673" t="s">
        <v>17</v>
      </c>
      <c r="B3673" t="str">
        <f>"600706"</f>
        <v>600706</v>
      </c>
      <c r="C3673" t="s">
        <v>7688</v>
      </c>
      <c r="D3673" t="s">
        <v>3669</v>
      </c>
      <c r="E3673">
        <v>-100982252</v>
      </c>
      <c r="F3673">
        <v>-77528324</v>
      </c>
      <c r="G3673">
        <v>-24736274</v>
      </c>
      <c r="H3673">
        <v>-38511154</v>
      </c>
      <c r="I3673">
        <v>-3096982</v>
      </c>
      <c r="J3673">
        <v>-10792645</v>
      </c>
      <c r="K3673">
        <v>-6701006</v>
      </c>
      <c r="L3673">
        <v>-15243396</v>
      </c>
      <c r="M3673">
        <v>-78694490</v>
      </c>
      <c r="N3673">
        <v>-152615165</v>
      </c>
      <c r="O3673">
        <v>-2624398</v>
      </c>
      <c r="P3673">
        <v>122</v>
      </c>
      <c r="Q3673" t="s">
        <v>7689</v>
      </c>
    </row>
    <row r="3674" spans="1:17" x14ac:dyDescent="0.3">
      <c r="A3674" t="s">
        <v>33</v>
      </c>
      <c r="B3674" t="str">
        <f>"002625"</f>
        <v>002625</v>
      </c>
      <c r="C3674" t="s">
        <v>7690</v>
      </c>
      <c r="D3674" t="s">
        <v>2262</v>
      </c>
      <c r="E3674">
        <v>-100993167</v>
      </c>
      <c r="F3674">
        <v>-13679198</v>
      </c>
      <c r="G3674">
        <v>-9742178</v>
      </c>
      <c r="H3674">
        <v>-5923419</v>
      </c>
      <c r="I3674">
        <v>35405808</v>
      </c>
      <c r="J3674">
        <v>24253718</v>
      </c>
      <c r="K3674">
        <v>15404716</v>
      </c>
      <c r="L3674">
        <v>16020934</v>
      </c>
      <c r="M3674">
        <v>8749807</v>
      </c>
      <c r="N3674">
        <v>1559003</v>
      </c>
      <c r="O3674">
        <v>2781282</v>
      </c>
      <c r="P3674">
        <v>259</v>
      </c>
      <c r="Q3674" t="s">
        <v>7691</v>
      </c>
    </row>
    <row r="3675" spans="1:17" x14ac:dyDescent="0.3">
      <c r="A3675" t="s">
        <v>33</v>
      </c>
      <c r="B3675" t="str">
        <f>"000652"</f>
        <v>000652</v>
      </c>
      <c r="C3675" t="s">
        <v>7692</v>
      </c>
      <c r="D3675" t="s">
        <v>523</v>
      </c>
      <c r="E3675">
        <v>-101487852</v>
      </c>
      <c r="F3675">
        <v>430157531</v>
      </c>
      <c r="G3675">
        <v>66055808</v>
      </c>
      <c r="H3675">
        <v>397275065</v>
      </c>
      <c r="I3675">
        <v>341685540</v>
      </c>
      <c r="J3675">
        <v>-102802021</v>
      </c>
      <c r="K3675">
        <v>126031777</v>
      </c>
      <c r="L3675">
        <v>607957660</v>
      </c>
      <c r="M3675">
        <v>-1613960847</v>
      </c>
      <c r="N3675">
        <v>387238101</v>
      </c>
      <c r="O3675">
        <v>470206120</v>
      </c>
      <c r="P3675">
        <v>196</v>
      </c>
      <c r="Q3675" t="s">
        <v>7693</v>
      </c>
    </row>
    <row r="3676" spans="1:17" x14ac:dyDescent="0.3">
      <c r="A3676" t="s">
        <v>17</v>
      </c>
      <c r="B3676" t="str">
        <f>"603893"</f>
        <v>603893</v>
      </c>
      <c r="C3676" t="s">
        <v>7694</v>
      </c>
      <c r="D3676" t="s">
        <v>1277</v>
      </c>
      <c r="E3676">
        <v>-101624419</v>
      </c>
      <c r="F3676">
        <v>-581486</v>
      </c>
      <c r="G3676">
        <v>4486534</v>
      </c>
      <c r="H3676">
        <v>-32811859</v>
      </c>
      <c r="P3676">
        <v>444</v>
      </c>
      <c r="Q3676" t="s">
        <v>7695</v>
      </c>
    </row>
    <row r="3677" spans="1:17" x14ac:dyDescent="0.3">
      <c r="A3677" t="s">
        <v>33</v>
      </c>
      <c r="B3677" t="str">
        <f>"000503"</f>
        <v>000503</v>
      </c>
      <c r="C3677" t="s">
        <v>7696</v>
      </c>
      <c r="D3677" t="s">
        <v>807</v>
      </c>
      <c r="E3677">
        <v>-101791800</v>
      </c>
      <c r="F3677">
        <v>-84141757</v>
      </c>
      <c r="G3677">
        <v>-54425287</v>
      </c>
      <c r="H3677">
        <v>-70685184</v>
      </c>
      <c r="I3677">
        <v>-62652760</v>
      </c>
      <c r="J3677">
        <v>-52764034</v>
      </c>
      <c r="K3677">
        <v>-319083283</v>
      </c>
      <c r="L3677">
        <v>-119743653</v>
      </c>
      <c r="M3677">
        <v>-32714251</v>
      </c>
      <c r="N3677">
        <v>-37599894</v>
      </c>
      <c r="O3677">
        <v>-30340023</v>
      </c>
      <c r="P3677">
        <v>174</v>
      </c>
      <c r="Q3677" t="s">
        <v>7697</v>
      </c>
    </row>
    <row r="3678" spans="1:17" x14ac:dyDescent="0.3">
      <c r="A3678" t="s">
        <v>33</v>
      </c>
      <c r="B3678" t="str">
        <f>"300608"</f>
        <v>300608</v>
      </c>
      <c r="C3678" t="s">
        <v>7698</v>
      </c>
      <c r="D3678" t="s">
        <v>807</v>
      </c>
      <c r="E3678">
        <v>-101873366</v>
      </c>
      <c r="F3678">
        <v>-72505457</v>
      </c>
      <c r="G3678">
        <v>-125542741</v>
      </c>
      <c r="H3678">
        <v>2273645</v>
      </c>
      <c r="I3678">
        <v>-45161556</v>
      </c>
      <c r="J3678">
        <v>-71817125</v>
      </c>
      <c r="K3678">
        <v>-67211804</v>
      </c>
      <c r="P3678">
        <v>217</v>
      </c>
      <c r="Q3678" t="s">
        <v>7699</v>
      </c>
    </row>
    <row r="3679" spans="1:17" x14ac:dyDescent="0.3">
      <c r="A3679" t="s">
        <v>17</v>
      </c>
      <c r="B3679" t="str">
        <f>"603712"</f>
        <v>603712</v>
      </c>
      <c r="C3679" t="s">
        <v>7700</v>
      </c>
      <c r="D3679" t="s">
        <v>617</v>
      </c>
      <c r="E3679">
        <v>-101944807</v>
      </c>
      <c r="F3679">
        <v>489417207</v>
      </c>
      <c r="G3679">
        <v>215239161</v>
      </c>
      <c r="H3679">
        <v>193086908</v>
      </c>
      <c r="I3679">
        <v>83723090</v>
      </c>
      <c r="J3679">
        <v>-97321143</v>
      </c>
      <c r="P3679">
        <v>325</v>
      </c>
      <c r="Q3679" t="s">
        <v>7701</v>
      </c>
    </row>
    <row r="3680" spans="1:17" x14ac:dyDescent="0.3">
      <c r="A3680" t="s">
        <v>33</v>
      </c>
      <c r="B3680" t="str">
        <f>"300444"</f>
        <v>300444</v>
      </c>
      <c r="C3680" t="s">
        <v>7702</v>
      </c>
      <c r="D3680" t="s">
        <v>298</v>
      </c>
      <c r="E3680">
        <v>-102680069</v>
      </c>
      <c r="F3680">
        <v>-39843984</v>
      </c>
      <c r="G3680">
        <v>-182732863</v>
      </c>
      <c r="H3680">
        <v>-50492302</v>
      </c>
      <c r="I3680">
        <v>-139967207</v>
      </c>
      <c r="J3680">
        <v>-45507989</v>
      </c>
      <c r="K3680">
        <v>-18473745</v>
      </c>
      <c r="L3680">
        <v>-13139173</v>
      </c>
      <c r="P3680">
        <v>101</v>
      </c>
      <c r="Q3680" t="s">
        <v>7703</v>
      </c>
    </row>
    <row r="3681" spans="1:17" x14ac:dyDescent="0.3">
      <c r="A3681" t="s">
        <v>33</v>
      </c>
      <c r="B3681" t="str">
        <f>"002362"</f>
        <v>002362</v>
      </c>
      <c r="C3681" t="s">
        <v>7704</v>
      </c>
      <c r="D3681" t="s">
        <v>807</v>
      </c>
      <c r="E3681">
        <v>-102764822</v>
      </c>
      <c r="F3681">
        <v>-79992927</v>
      </c>
      <c r="G3681">
        <v>-79433240</v>
      </c>
      <c r="H3681">
        <v>-19039535</v>
      </c>
      <c r="I3681">
        <v>-29144748</v>
      </c>
      <c r="J3681">
        <v>1274894</v>
      </c>
      <c r="K3681">
        <v>939423</v>
      </c>
      <c r="L3681">
        <v>-6920707</v>
      </c>
      <c r="M3681">
        <v>28799691</v>
      </c>
      <c r="N3681">
        <v>12724050</v>
      </c>
      <c r="O3681">
        <v>-11759087</v>
      </c>
      <c r="P3681">
        <v>197</v>
      </c>
      <c r="Q3681" t="s">
        <v>7705</v>
      </c>
    </row>
    <row r="3682" spans="1:17" x14ac:dyDescent="0.3">
      <c r="A3682" t="s">
        <v>17</v>
      </c>
      <c r="B3682" t="str">
        <f>"603903"</f>
        <v>603903</v>
      </c>
      <c r="C3682" t="s">
        <v>7706</v>
      </c>
      <c r="D3682" t="s">
        <v>932</v>
      </c>
      <c r="E3682">
        <v>-102965929</v>
      </c>
      <c r="F3682">
        <v>-63326989</v>
      </c>
      <c r="G3682">
        <v>-77296349</v>
      </c>
      <c r="H3682">
        <v>-53277683</v>
      </c>
      <c r="I3682">
        <v>-114573272</v>
      </c>
      <c r="J3682">
        <v>-48113903</v>
      </c>
      <c r="K3682">
        <v>-765858</v>
      </c>
      <c r="P3682">
        <v>119</v>
      </c>
      <c r="Q3682" t="s">
        <v>7707</v>
      </c>
    </row>
    <row r="3683" spans="1:17" x14ac:dyDescent="0.3">
      <c r="A3683" t="s">
        <v>17</v>
      </c>
      <c r="B3683" t="str">
        <f>"600073"</f>
        <v>600073</v>
      </c>
      <c r="C3683" t="s">
        <v>7708</v>
      </c>
      <c r="D3683" t="s">
        <v>740</v>
      </c>
      <c r="E3683">
        <v>-102981180</v>
      </c>
      <c r="F3683">
        <v>-252413731</v>
      </c>
      <c r="G3683">
        <v>47802850</v>
      </c>
      <c r="H3683">
        <v>-442505586</v>
      </c>
      <c r="I3683">
        <v>196734254</v>
      </c>
      <c r="J3683">
        <v>81491215</v>
      </c>
      <c r="K3683">
        <v>266705868</v>
      </c>
      <c r="L3683">
        <v>128484639</v>
      </c>
      <c r="M3683">
        <v>73309854</v>
      </c>
      <c r="N3683">
        <v>-47816020</v>
      </c>
      <c r="O3683">
        <v>41493243</v>
      </c>
      <c r="P3683">
        <v>442</v>
      </c>
      <c r="Q3683" t="s">
        <v>7709</v>
      </c>
    </row>
    <row r="3684" spans="1:17" x14ac:dyDescent="0.3">
      <c r="A3684" t="s">
        <v>17</v>
      </c>
      <c r="B3684" t="str">
        <f>"600959"</f>
        <v>600959</v>
      </c>
      <c r="C3684" t="s">
        <v>7710</v>
      </c>
      <c r="D3684" t="s">
        <v>1074</v>
      </c>
      <c r="E3684">
        <v>-103121575</v>
      </c>
      <c r="F3684">
        <v>74195582</v>
      </c>
      <c r="G3684">
        <v>388879256</v>
      </c>
      <c r="H3684">
        <v>273819233</v>
      </c>
      <c r="I3684">
        <v>394845382</v>
      </c>
      <c r="J3684">
        <v>375526535</v>
      </c>
      <c r="K3684">
        <v>205538805</v>
      </c>
      <c r="L3684">
        <v>136325923</v>
      </c>
      <c r="M3684">
        <v>128503547</v>
      </c>
      <c r="P3684">
        <v>150</v>
      </c>
      <c r="Q3684" t="s">
        <v>7711</v>
      </c>
    </row>
    <row r="3685" spans="1:17" x14ac:dyDescent="0.3">
      <c r="A3685" t="s">
        <v>33</v>
      </c>
      <c r="B3685" t="str">
        <f>"300287"</f>
        <v>300287</v>
      </c>
      <c r="C3685" t="s">
        <v>7712</v>
      </c>
      <c r="D3685" t="s">
        <v>508</v>
      </c>
      <c r="E3685">
        <v>-103179902</v>
      </c>
      <c r="F3685">
        <v>-132974851</v>
      </c>
      <c r="G3685">
        <v>-102055491</v>
      </c>
      <c r="H3685">
        <v>220411004</v>
      </c>
      <c r="I3685">
        <v>-203143118</v>
      </c>
      <c r="J3685">
        <v>-21637353</v>
      </c>
      <c r="K3685">
        <v>-150911819</v>
      </c>
      <c r="L3685">
        <v>-88766846</v>
      </c>
      <c r="M3685">
        <v>-136202200</v>
      </c>
      <c r="N3685">
        <v>-67819480</v>
      </c>
      <c r="O3685">
        <v>-94216737</v>
      </c>
      <c r="P3685">
        <v>288</v>
      </c>
      <c r="Q3685" t="s">
        <v>7713</v>
      </c>
    </row>
    <row r="3686" spans="1:17" x14ac:dyDescent="0.3">
      <c r="A3686" t="s">
        <v>33</v>
      </c>
      <c r="B3686" t="str">
        <f>"300730"</f>
        <v>300730</v>
      </c>
      <c r="C3686" t="s">
        <v>7714</v>
      </c>
      <c r="D3686" t="s">
        <v>807</v>
      </c>
      <c r="E3686">
        <v>-103197985</v>
      </c>
      <c r="F3686">
        <v>-90782666</v>
      </c>
      <c r="G3686">
        <v>-61932810</v>
      </c>
      <c r="H3686">
        <v>-68851522</v>
      </c>
      <c r="I3686">
        <v>-78888878</v>
      </c>
      <c r="J3686">
        <v>-58635118</v>
      </c>
      <c r="P3686">
        <v>98</v>
      </c>
      <c r="Q3686" t="s">
        <v>7715</v>
      </c>
    </row>
    <row r="3687" spans="1:17" x14ac:dyDescent="0.3">
      <c r="A3687" t="s">
        <v>17</v>
      </c>
      <c r="B3687" t="str">
        <f>"603800"</f>
        <v>603800</v>
      </c>
      <c r="C3687" t="s">
        <v>7716</v>
      </c>
      <c r="D3687" t="s">
        <v>1132</v>
      </c>
      <c r="E3687">
        <v>-103593035</v>
      </c>
      <c r="F3687">
        <v>-84072695</v>
      </c>
      <c r="G3687">
        <v>5865929</v>
      </c>
      <c r="H3687">
        <v>-37267062</v>
      </c>
      <c r="I3687">
        <v>-6579127</v>
      </c>
      <c r="J3687">
        <v>-17011239</v>
      </c>
      <c r="K3687">
        <v>-41216919</v>
      </c>
      <c r="L3687">
        <v>35588100</v>
      </c>
      <c r="M3687">
        <v>30188300</v>
      </c>
      <c r="P3687">
        <v>75</v>
      </c>
      <c r="Q3687" t="s">
        <v>7717</v>
      </c>
    </row>
    <row r="3688" spans="1:17" x14ac:dyDescent="0.3">
      <c r="A3688" t="s">
        <v>17</v>
      </c>
      <c r="B3688" t="str">
        <f>"688521"</f>
        <v>688521</v>
      </c>
      <c r="C3688" t="s">
        <v>7718</v>
      </c>
      <c r="D3688" t="s">
        <v>1277</v>
      </c>
      <c r="E3688">
        <v>-103821422</v>
      </c>
      <c r="F3688">
        <v>-32842625</v>
      </c>
      <c r="G3688">
        <v>-141282717</v>
      </c>
      <c r="H3688">
        <v>-90972940</v>
      </c>
      <c r="P3688">
        <v>140</v>
      </c>
      <c r="Q3688" t="s">
        <v>7719</v>
      </c>
    </row>
    <row r="3689" spans="1:17" x14ac:dyDescent="0.3">
      <c r="A3689" t="s">
        <v>17</v>
      </c>
      <c r="B3689" t="str">
        <f>"605398"</f>
        <v>605398</v>
      </c>
      <c r="C3689" t="s">
        <v>7720</v>
      </c>
      <c r="D3689" t="s">
        <v>508</v>
      </c>
      <c r="E3689">
        <v>-103935940</v>
      </c>
      <c r="F3689">
        <v>-87244774</v>
      </c>
      <c r="G3689">
        <v>-71107686</v>
      </c>
      <c r="P3689">
        <v>39</v>
      </c>
      <c r="Q3689" t="s">
        <v>7721</v>
      </c>
    </row>
    <row r="3690" spans="1:17" x14ac:dyDescent="0.3">
      <c r="A3690" t="s">
        <v>17</v>
      </c>
      <c r="B3690" t="str">
        <f>"600609"</f>
        <v>600609</v>
      </c>
      <c r="C3690" t="s">
        <v>7722</v>
      </c>
      <c r="D3690" t="s">
        <v>200</v>
      </c>
      <c r="E3690">
        <v>-104106320</v>
      </c>
      <c r="F3690">
        <v>-24385753</v>
      </c>
      <c r="G3690">
        <v>78020132</v>
      </c>
      <c r="H3690">
        <v>168115669</v>
      </c>
      <c r="I3690">
        <v>-20446461</v>
      </c>
      <c r="J3690">
        <v>6804749</v>
      </c>
      <c r="K3690">
        <v>6861378</v>
      </c>
      <c r="L3690">
        <v>-374079033</v>
      </c>
      <c r="M3690">
        <v>62644740</v>
      </c>
      <c r="N3690">
        <v>20649475</v>
      </c>
      <c r="O3690">
        <v>28192067</v>
      </c>
      <c r="P3690">
        <v>128</v>
      </c>
      <c r="Q3690" t="s">
        <v>7723</v>
      </c>
    </row>
    <row r="3691" spans="1:17" x14ac:dyDescent="0.3">
      <c r="A3691" t="s">
        <v>17</v>
      </c>
      <c r="B3691" t="str">
        <f>"600648"</f>
        <v>600648</v>
      </c>
      <c r="C3691" t="s">
        <v>7724</v>
      </c>
      <c r="D3691" t="s">
        <v>1135</v>
      </c>
      <c r="E3691">
        <v>-104482584</v>
      </c>
      <c r="F3691">
        <v>-1668088302</v>
      </c>
      <c r="G3691">
        <v>320452015</v>
      </c>
      <c r="H3691">
        <v>369964994</v>
      </c>
      <c r="I3691">
        <v>-659170034</v>
      </c>
      <c r="J3691">
        <v>-272729129</v>
      </c>
      <c r="K3691">
        <v>-30859564</v>
      </c>
      <c r="L3691">
        <v>-1243996102</v>
      </c>
      <c r="M3691">
        <v>-62102108</v>
      </c>
      <c r="N3691">
        <v>-390682637</v>
      </c>
      <c r="O3691">
        <v>-265112478</v>
      </c>
      <c r="P3691">
        <v>139</v>
      </c>
      <c r="Q3691" t="s">
        <v>7725</v>
      </c>
    </row>
    <row r="3692" spans="1:17" x14ac:dyDescent="0.3">
      <c r="A3692" t="s">
        <v>17</v>
      </c>
      <c r="B3692" t="str">
        <f>"600599"</f>
        <v>600599</v>
      </c>
      <c r="C3692" t="s">
        <v>7726</v>
      </c>
      <c r="D3692" t="s">
        <v>114</v>
      </c>
      <c r="E3692">
        <v>-104564684</v>
      </c>
      <c r="F3692">
        <v>-13249702</v>
      </c>
      <c r="G3692">
        <v>-36727174</v>
      </c>
      <c r="H3692">
        <v>-56774331</v>
      </c>
      <c r="I3692">
        <v>-158976103</v>
      </c>
      <c r="J3692">
        <v>33474726</v>
      </c>
      <c r="K3692">
        <v>-126446478</v>
      </c>
      <c r="L3692">
        <v>25543617</v>
      </c>
      <c r="M3692">
        <v>17264741</v>
      </c>
      <c r="N3692">
        <v>4750260</v>
      </c>
      <c r="O3692">
        <v>-4769183</v>
      </c>
      <c r="P3692">
        <v>54</v>
      </c>
      <c r="Q3692" t="s">
        <v>7727</v>
      </c>
    </row>
    <row r="3693" spans="1:17" x14ac:dyDescent="0.3">
      <c r="A3693" t="s">
        <v>17</v>
      </c>
      <c r="B3693" t="str">
        <f>"688151"</f>
        <v>688151</v>
      </c>
      <c r="C3693" t="s">
        <v>7728</v>
      </c>
      <c r="D3693" t="s">
        <v>967</v>
      </c>
      <c r="E3693">
        <v>-104908190</v>
      </c>
      <c r="P3693">
        <v>13</v>
      </c>
      <c r="Q3693" t="s">
        <v>7729</v>
      </c>
    </row>
    <row r="3694" spans="1:17" x14ac:dyDescent="0.3">
      <c r="A3694" t="s">
        <v>33</v>
      </c>
      <c r="B3694" t="str">
        <f>"002090"</f>
        <v>002090</v>
      </c>
      <c r="C3694" t="s">
        <v>7730</v>
      </c>
      <c r="D3694" t="s">
        <v>1182</v>
      </c>
      <c r="E3694">
        <v>-105010558</v>
      </c>
      <c r="F3694">
        <v>-40592939</v>
      </c>
      <c r="G3694">
        <v>-20024686</v>
      </c>
      <c r="H3694">
        <v>60112002</v>
      </c>
      <c r="I3694">
        <v>-160171199</v>
      </c>
      <c r="J3694">
        <v>-124121005</v>
      </c>
      <c r="K3694">
        <v>-41796740</v>
      </c>
      <c r="L3694">
        <v>-40852195</v>
      </c>
      <c r="M3694">
        <v>-35944149</v>
      </c>
      <c r="N3694">
        <v>-1278494</v>
      </c>
      <c r="O3694">
        <v>-26899229</v>
      </c>
      <c r="P3694">
        <v>229</v>
      </c>
      <c r="Q3694" t="s">
        <v>7731</v>
      </c>
    </row>
    <row r="3695" spans="1:17" x14ac:dyDescent="0.3">
      <c r="A3695" t="s">
        <v>17</v>
      </c>
      <c r="B3695" t="str">
        <f>"603680"</f>
        <v>603680</v>
      </c>
      <c r="C3695" t="s">
        <v>7732</v>
      </c>
      <c r="D3695" t="s">
        <v>1703</v>
      </c>
      <c r="E3695">
        <v>-105042466</v>
      </c>
      <c r="F3695">
        <v>-246235276</v>
      </c>
      <c r="G3695">
        <v>-43090414</v>
      </c>
      <c r="H3695">
        <v>-257514461</v>
      </c>
      <c r="I3695">
        <v>-60592000</v>
      </c>
      <c r="J3695">
        <v>-156636382</v>
      </c>
      <c r="P3695">
        <v>81</v>
      </c>
      <c r="Q3695" t="s">
        <v>7733</v>
      </c>
    </row>
    <row r="3696" spans="1:17" x14ac:dyDescent="0.3">
      <c r="A3696" t="s">
        <v>33</v>
      </c>
      <c r="B3696" t="str">
        <f>"000623"</f>
        <v>000623</v>
      </c>
      <c r="C3696" t="s">
        <v>7734</v>
      </c>
      <c r="D3696" t="s">
        <v>590</v>
      </c>
      <c r="E3696">
        <v>-105373742</v>
      </c>
      <c r="F3696">
        <v>-42604427</v>
      </c>
      <c r="G3696">
        <v>52125567</v>
      </c>
      <c r="H3696">
        <v>-18114197</v>
      </c>
      <c r="I3696">
        <v>27754749</v>
      </c>
      <c r="J3696">
        <v>11584483</v>
      </c>
      <c r="K3696">
        <v>-15118733</v>
      </c>
      <c r="L3696">
        <v>-696200</v>
      </c>
      <c r="M3696">
        <v>-36499241</v>
      </c>
      <c r="N3696">
        <v>-44342983</v>
      </c>
      <c r="O3696">
        <v>-21931837</v>
      </c>
      <c r="P3696">
        <v>671</v>
      </c>
      <c r="Q3696" t="s">
        <v>7735</v>
      </c>
    </row>
    <row r="3697" spans="1:17" x14ac:dyDescent="0.3">
      <c r="A3697" t="s">
        <v>17</v>
      </c>
      <c r="B3697" t="str">
        <f>"605117"</f>
        <v>605117</v>
      </c>
      <c r="C3697" t="s">
        <v>7736</v>
      </c>
      <c r="D3697" t="s">
        <v>1869</v>
      </c>
      <c r="E3697">
        <v>-105413999</v>
      </c>
      <c r="F3697">
        <v>51421961</v>
      </c>
      <c r="G3697">
        <v>-17041612</v>
      </c>
      <c r="P3697">
        <v>141</v>
      </c>
      <c r="Q3697" t="s">
        <v>7737</v>
      </c>
    </row>
    <row r="3698" spans="1:17" x14ac:dyDescent="0.3">
      <c r="A3698" t="s">
        <v>33</v>
      </c>
      <c r="B3698" t="str">
        <f>"002187"</f>
        <v>002187</v>
      </c>
      <c r="C3698" t="s">
        <v>7738</v>
      </c>
      <c r="D3698" t="s">
        <v>989</v>
      </c>
      <c r="E3698">
        <v>-105456100</v>
      </c>
      <c r="F3698">
        <v>7506368</v>
      </c>
      <c r="G3698">
        <v>-308902815</v>
      </c>
      <c r="H3698">
        <v>-126615918</v>
      </c>
      <c r="I3698">
        <v>-33841916</v>
      </c>
      <c r="J3698">
        <v>-131442354</v>
      </c>
      <c r="K3698">
        <v>-175296779</v>
      </c>
      <c r="L3698">
        <v>-156512224</v>
      </c>
      <c r="M3698">
        <v>-139790031</v>
      </c>
      <c r="N3698">
        <v>90005586</v>
      </c>
      <c r="O3698">
        <v>-69227249</v>
      </c>
      <c r="P3698">
        <v>147</v>
      </c>
      <c r="Q3698" t="s">
        <v>7739</v>
      </c>
    </row>
    <row r="3699" spans="1:17" x14ac:dyDescent="0.3">
      <c r="A3699" t="s">
        <v>33</v>
      </c>
      <c r="B3699" t="str">
        <f>"002322"</f>
        <v>002322</v>
      </c>
      <c r="C3699" t="s">
        <v>7740</v>
      </c>
      <c r="D3699" t="s">
        <v>807</v>
      </c>
      <c r="E3699">
        <v>-105535856</v>
      </c>
      <c r="F3699">
        <v>-60944472</v>
      </c>
      <c r="G3699">
        <v>-114463722</v>
      </c>
      <c r="H3699">
        <v>-84277440</v>
      </c>
      <c r="I3699">
        <v>-119194746</v>
      </c>
      <c r="J3699">
        <v>-52564443</v>
      </c>
      <c r="K3699">
        <v>-56365600</v>
      </c>
      <c r="L3699">
        <v>-7272737</v>
      </c>
      <c r="M3699">
        <v>45175576</v>
      </c>
      <c r="N3699">
        <v>38493459</v>
      </c>
      <c r="O3699">
        <v>485018</v>
      </c>
      <c r="P3699">
        <v>180</v>
      </c>
      <c r="Q3699" t="s">
        <v>7741</v>
      </c>
    </row>
    <row r="3700" spans="1:17" x14ac:dyDescent="0.3">
      <c r="A3700" t="s">
        <v>33</v>
      </c>
      <c r="B3700" t="str">
        <f>"300536"</f>
        <v>300536</v>
      </c>
      <c r="C3700" t="s">
        <v>7742</v>
      </c>
      <c r="D3700" t="s">
        <v>2330</v>
      </c>
      <c r="E3700">
        <v>-105713482</v>
      </c>
      <c r="F3700">
        <v>-45808560</v>
      </c>
      <c r="G3700">
        <v>-45916163</v>
      </c>
      <c r="H3700">
        <v>-20165332</v>
      </c>
      <c r="I3700">
        <v>58486550</v>
      </c>
      <c r="J3700">
        <v>21777580</v>
      </c>
      <c r="K3700">
        <v>11307787</v>
      </c>
      <c r="P3700">
        <v>63</v>
      </c>
      <c r="Q3700" t="s">
        <v>7743</v>
      </c>
    </row>
    <row r="3701" spans="1:17" x14ac:dyDescent="0.3">
      <c r="A3701" t="s">
        <v>17</v>
      </c>
      <c r="B3701" t="str">
        <f>"688186"</f>
        <v>688186</v>
      </c>
      <c r="C3701" t="s">
        <v>7744</v>
      </c>
      <c r="D3701" t="s">
        <v>253</v>
      </c>
      <c r="E3701">
        <v>-105733473</v>
      </c>
      <c r="F3701">
        <v>-105996433</v>
      </c>
      <c r="G3701">
        <v>-122279051</v>
      </c>
      <c r="H3701">
        <v>-104870148</v>
      </c>
      <c r="P3701">
        <v>110</v>
      </c>
      <c r="Q3701" t="s">
        <v>7745</v>
      </c>
    </row>
    <row r="3702" spans="1:17" x14ac:dyDescent="0.3">
      <c r="A3702" t="s">
        <v>33</v>
      </c>
      <c r="B3702" t="str">
        <f>"002132"</f>
        <v>002132</v>
      </c>
      <c r="C3702" t="s">
        <v>7746</v>
      </c>
      <c r="D3702" t="s">
        <v>164</v>
      </c>
      <c r="E3702">
        <v>-105764652</v>
      </c>
      <c r="F3702">
        <v>345965677</v>
      </c>
      <c r="G3702">
        <v>47388554</v>
      </c>
      <c r="H3702">
        <v>11685042</v>
      </c>
      <c r="I3702">
        <v>181475445</v>
      </c>
      <c r="J3702">
        <v>111160702</v>
      </c>
      <c r="K3702">
        <v>41844334</v>
      </c>
      <c r="L3702">
        <v>-37508809</v>
      </c>
      <c r="M3702">
        <v>180620418</v>
      </c>
      <c r="N3702">
        <v>18736883</v>
      </c>
      <c r="O3702">
        <v>18274519</v>
      </c>
      <c r="P3702">
        <v>127</v>
      </c>
      <c r="Q3702" t="s">
        <v>7747</v>
      </c>
    </row>
    <row r="3703" spans="1:17" x14ac:dyDescent="0.3">
      <c r="A3703" t="s">
        <v>17</v>
      </c>
      <c r="B3703" t="str">
        <f>"688509"</f>
        <v>688509</v>
      </c>
      <c r="C3703" t="s">
        <v>7748</v>
      </c>
      <c r="D3703" t="s">
        <v>508</v>
      </c>
      <c r="E3703">
        <v>-105969002</v>
      </c>
      <c r="F3703">
        <v>-167149487</v>
      </c>
      <c r="G3703">
        <v>-127134555</v>
      </c>
      <c r="P3703">
        <v>17</v>
      </c>
      <c r="Q3703" t="s">
        <v>7749</v>
      </c>
    </row>
    <row r="3704" spans="1:17" x14ac:dyDescent="0.3">
      <c r="A3704" t="s">
        <v>33</v>
      </c>
      <c r="B3704" t="str">
        <f>"300665"</f>
        <v>300665</v>
      </c>
      <c r="C3704" t="s">
        <v>7750</v>
      </c>
      <c r="D3704" t="s">
        <v>1341</v>
      </c>
      <c r="E3704">
        <v>-106247465</v>
      </c>
      <c r="F3704">
        <v>-73499841</v>
      </c>
      <c r="G3704">
        <v>-63991027</v>
      </c>
      <c r="H3704">
        <v>-30130111</v>
      </c>
      <c r="I3704">
        <v>-36638686</v>
      </c>
      <c r="J3704">
        <v>-38926152</v>
      </c>
      <c r="K3704">
        <v>-7601682</v>
      </c>
      <c r="P3704">
        <v>109</v>
      </c>
      <c r="Q3704" t="s">
        <v>7751</v>
      </c>
    </row>
    <row r="3705" spans="1:17" x14ac:dyDescent="0.3">
      <c r="A3705" t="s">
        <v>17</v>
      </c>
      <c r="B3705" t="str">
        <f>"688086"</f>
        <v>688086</v>
      </c>
      <c r="C3705" t="s">
        <v>7752</v>
      </c>
      <c r="D3705" t="s">
        <v>1571</v>
      </c>
      <c r="E3705">
        <v>-106260953</v>
      </c>
      <c r="F3705">
        <v>-24098885</v>
      </c>
      <c r="G3705">
        <v>-74971643</v>
      </c>
      <c r="H3705">
        <v>15413248</v>
      </c>
      <c r="I3705">
        <v>-51557252</v>
      </c>
      <c r="P3705">
        <v>84</v>
      </c>
      <c r="Q3705" t="s">
        <v>7753</v>
      </c>
    </row>
    <row r="3706" spans="1:17" x14ac:dyDescent="0.3">
      <c r="A3706" t="s">
        <v>33</v>
      </c>
      <c r="B3706" t="str">
        <f>"002189"</f>
        <v>002189</v>
      </c>
      <c r="C3706" t="s">
        <v>7754</v>
      </c>
      <c r="D3706" t="s">
        <v>617</v>
      </c>
      <c r="E3706">
        <v>-106302125</v>
      </c>
      <c r="F3706">
        <v>-233498042</v>
      </c>
      <c r="G3706">
        <v>2125509</v>
      </c>
      <c r="H3706">
        <v>262274667</v>
      </c>
      <c r="I3706">
        <v>13133286</v>
      </c>
      <c r="J3706">
        <v>22969075</v>
      </c>
      <c r="K3706">
        <v>22274560</v>
      </c>
      <c r="L3706">
        <v>14223373</v>
      </c>
      <c r="M3706">
        <v>-4810246</v>
      </c>
      <c r="N3706">
        <v>-178439</v>
      </c>
      <c r="O3706">
        <v>8078101</v>
      </c>
      <c r="P3706">
        <v>221</v>
      </c>
      <c r="Q3706" t="s">
        <v>7755</v>
      </c>
    </row>
    <row r="3707" spans="1:17" x14ac:dyDescent="0.3">
      <c r="A3707" t="s">
        <v>33</v>
      </c>
      <c r="B3707" t="str">
        <f>"002009"</f>
        <v>002009</v>
      </c>
      <c r="C3707" t="s">
        <v>7756</v>
      </c>
      <c r="D3707" t="s">
        <v>1895</v>
      </c>
      <c r="E3707">
        <v>-106355033</v>
      </c>
      <c r="F3707">
        <v>30374062</v>
      </c>
      <c r="G3707">
        <v>-79318403</v>
      </c>
      <c r="H3707">
        <v>-190477897</v>
      </c>
      <c r="I3707">
        <v>-1917375</v>
      </c>
      <c r="J3707">
        <v>-96315668</v>
      </c>
      <c r="K3707">
        <v>-73240879</v>
      </c>
      <c r="L3707">
        <v>122020572</v>
      </c>
      <c r="M3707">
        <v>-59554539</v>
      </c>
      <c r="N3707">
        <v>-196602186</v>
      </c>
      <c r="O3707">
        <v>-93103767</v>
      </c>
      <c r="P3707">
        <v>148</v>
      </c>
      <c r="Q3707" t="s">
        <v>7757</v>
      </c>
    </row>
    <row r="3708" spans="1:17" x14ac:dyDescent="0.3">
      <c r="A3708" t="s">
        <v>33</v>
      </c>
      <c r="B3708" t="str">
        <f>"002689"</f>
        <v>002689</v>
      </c>
      <c r="C3708" t="s">
        <v>7758</v>
      </c>
      <c r="D3708" t="s">
        <v>2528</v>
      </c>
      <c r="E3708">
        <v>-106683658</v>
      </c>
      <c r="F3708">
        <v>22970690</v>
      </c>
      <c r="G3708">
        <v>-35041827</v>
      </c>
      <c r="H3708">
        <v>16551061</v>
      </c>
      <c r="I3708">
        <v>-66817964</v>
      </c>
      <c r="J3708">
        <v>-95488610</v>
      </c>
      <c r="K3708">
        <v>-82112397</v>
      </c>
      <c r="L3708">
        <v>-139827053</v>
      </c>
      <c r="M3708">
        <v>-100928362</v>
      </c>
      <c r="N3708">
        <v>-70926591</v>
      </c>
      <c r="O3708">
        <v>-56224892</v>
      </c>
      <c r="P3708">
        <v>87</v>
      </c>
      <c r="Q3708" t="s">
        <v>7759</v>
      </c>
    </row>
    <row r="3709" spans="1:17" x14ac:dyDescent="0.3">
      <c r="A3709" t="s">
        <v>17</v>
      </c>
      <c r="B3709" t="str">
        <f>"603261"</f>
        <v>603261</v>
      </c>
      <c r="C3709" t="s">
        <v>7760</v>
      </c>
      <c r="E3709">
        <v>-106812460</v>
      </c>
      <c r="P3709">
        <v>7</v>
      </c>
      <c r="Q3709" t="s">
        <v>7761</v>
      </c>
    </row>
    <row r="3710" spans="1:17" x14ac:dyDescent="0.3">
      <c r="A3710" t="s">
        <v>33</v>
      </c>
      <c r="B3710" t="str">
        <f>"000530"</f>
        <v>000530</v>
      </c>
      <c r="C3710" t="s">
        <v>7762</v>
      </c>
      <c r="D3710" t="s">
        <v>2883</v>
      </c>
      <c r="E3710">
        <v>-106839309</v>
      </c>
      <c r="F3710">
        <v>17535067</v>
      </c>
      <c r="G3710">
        <v>-81344047</v>
      </c>
      <c r="H3710">
        <v>-94192502</v>
      </c>
      <c r="I3710">
        <v>-117217303</v>
      </c>
      <c r="J3710">
        <v>-137117776</v>
      </c>
      <c r="K3710">
        <v>-89736771</v>
      </c>
      <c r="L3710">
        <v>-128634794</v>
      </c>
      <c r="M3710">
        <v>-52200052</v>
      </c>
      <c r="N3710">
        <v>-34794402</v>
      </c>
      <c r="O3710">
        <v>-101030859</v>
      </c>
      <c r="P3710">
        <v>129</v>
      </c>
      <c r="Q3710" t="s">
        <v>7763</v>
      </c>
    </row>
    <row r="3711" spans="1:17" x14ac:dyDescent="0.3">
      <c r="A3711" t="s">
        <v>33</v>
      </c>
      <c r="B3711" t="str">
        <f>"002344"</f>
        <v>002344</v>
      </c>
      <c r="C3711" t="s">
        <v>7764</v>
      </c>
      <c r="D3711" t="s">
        <v>394</v>
      </c>
      <c r="E3711">
        <v>-106875014</v>
      </c>
      <c r="F3711">
        <v>240945404</v>
      </c>
      <c r="G3711">
        <v>9856504</v>
      </c>
      <c r="H3711">
        <v>-161113880</v>
      </c>
      <c r="I3711">
        <v>95769105</v>
      </c>
      <c r="J3711">
        <v>120620124</v>
      </c>
      <c r="K3711">
        <v>-158736931</v>
      </c>
      <c r="L3711">
        <v>-35769797</v>
      </c>
      <c r="M3711">
        <v>81949476</v>
      </c>
      <c r="N3711">
        <v>352679914</v>
      </c>
      <c r="O3711">
        <v>147058112</v>
      </c>
      <c r="P3711">
        <v>145</v>
      </c>
      <c r="Q3711" t="s">
        <v>7765</v>
      </c>
    </row>
    <row r="3712" spans="1:17" x14ac:dyDescent="0.3">
      <c r="A3712" t="s">
        <v>17</v>
      </c>
      <c r="B3712" t="str">
        <f>"603239"</f>
        <v>603239</v>
      </c>
      <c r="C3712" t="s">
        <v>7766</v>
      </c>
      <c r="D3712" t="s">
        <v>1419</v>
      </c>
      <c r="E3712">
        <v>-107026365</v>
      </c>
      <c r="F3712">
        <v>-11179636</v>
      </c>
      <c r="G3712">
        <v>-20780082</v>
      </c>
      <c r="H3712">
        <v>37938113</v>
      </c>
      <c r="I3712">
        <v>18923832</v>
      </c>
      <c r="J3712">
        <v>-17286728</v>
      </c>
      <c r="K3712">
        <v>14860602</v>
      </c>
      <c r="P3712">
        <v>166</v>
      </c>
      <c r="Q3712" t="s">
        <v>7767</v>
      </c>
    </row>
    <row r="3713" spans="1:17" x14ac:dyDescent="0.3">
      <c r="A3713" t="s">
        <v>17</v>
      </c>
      <c r="B3713" t="str">
        <f>"603313"</f>
        <v>603313</v>
      </c>
      <c r="C3713" t="s">
        <v>7768</v>
      </c>
      <c r="D3713" t="s">
        <v>664</v>
      </c>
      <c r="E3713">
        <v>-107088290</v>
      </c>
      <c r="F3713">
        <v>-115699362</v>
      </c>
      <c r="G3713">
        <v>82142225</v>
      </c>
      <c r="H3713">
        <v>120658186</v>
      </c>
      <c r="I3713">
        <v>-9640745</v>
      </c>
      <c r="J3713">
        <v>23831441</v>
      </c>
      <c r="K3713">
        <v>43048683</v>
      </c>
      <c r="P3713">
        <v>580</v>
      </c>
      <c r="Q3713" t="s">
        <v>7769</v>
      </c>
    </row>
    <row r="3714" spans="1:17" x14ac:dyDescent="0.3">
      <c r="A3714" t="s">
        <v>17</v>
      </c>
      <c r="B3714" t="str">
        <f>"688051"</f>
        <v>688051</v>
      </c>
      <c r="C3714" t="s">
        <v>7770</v>
      </c>
      <c r="D3714" t="s">
        <v>508</v>
      </c>
      <c r="E3714">
        <v>-107137288</v>
      </c>
      <c r="F3714">
        <v>-101283963</v>
      </c>
      <c r="G3714">
        <v>-93398479</v>
      </c>
      <c r="H3714">
        <v>-45153983</v>
      </c>
      <c r="P3714">
        <v>91</v>
      </c>
      <c r="Q3714" t="s">
        <v>7771</v>
      </c>
    </row>
    <row r="3715" spans="1:17" x14ac:dyDescent="0.3">
      <c r="A3715" t="s">
        <v>33</v>
      </c>
      <c r="B3715" t="str">
        <f>"000667"</f>
        <v>000667</v>
      </c>
      <c r="C3715" t="s">
        <v>7772</v>
      </c>
      <c r="D3715" t="s">
        <v>167</v>
      </c>
      <c r="E3715">
        <v>-107449486</v>
      </c>
      <c r="F3715">
        <v>510579549</v>
      </c>
      <c r="G3715">
        <v>-608583683</v>
      </c>
      <c r="H3715">
        <v>-580157408</v>
      </c>
      <c r="I3715">
        <v>206252887</v>
      </c>
      <c r="J3715">
        <v>-779340916</v>
      </c>
      <c r="K3715">
        <v>228158876</v>
      </c>
      <c r="L3715">
        <v>-251047399</v>
      </c>
      <c r="M3715">
        <v>-926053127</v>
      </c>
      <c r="N3715">
        <v>-500758349</v>
      </c>
      <c r="O3715">
        <v>-1005183373</v>
      </c>
      <c r="P3715">
        <v>169</v>
      </c>
      <c r="Q3715" t="s">
        <v>7773</v>
      </c>
    </row>
    <row r="3716" spans="1:17" x14ac:dyDescent="0.3">
      <c r="A3716" t="s">
        <v>33</v>
      </c>
      <c r="B3716" t="str">
        <f>"000671"</f>
        <v>000671</v>
      </c>
      <c r="C3716" t="s">
        <v>7774</v>
      </c>
      <c r="D3716" t="s">
        <v>167</v>
      </c>
      <c r="E3716">
        <v>-107491648</v>
      </c>
      <c r="F3716">
        <v>146578329</v>
      </c>
      <c r="G3716">
        <v>1272196750</v>
      </c>
      <c r="H3716">
        <v>-7915252526</v>
      </c>
      <c r="I3716">
        <v>2706544146</v>
      </c>
      <c r="J3716">
        <v>1530907795</v>
      </c>
      <c r="K3716">
        <v>-1160698288</v>
      </c>
      <c r="L3716">
        <v>766428735</v>
      </c>
      <c r="M3716">
        <v>-1680807230</v>
      </c>
      <c r="N3716">
        <v>-714782712</v>
      </c>
      <c r="O3716">
        <v>158065805</v>
      </c>
      <c r="P3716">
        <v>1192</v>
      </c>
      <c r="Q3716" t="s">
        <v>7775</v>
      </c>
    </row>
    <row r="3717" spans="1:17" x14ac:dyDescent="0.3">
      <c r="A3717" t="s">
        <v>33</v>
      </c>
      <c r="B3717" t="str">
        <f>"002115"</f>
        <v>002115</v>
      </c>
      <c r="C3717" t="s">
        <v>7776</v>
      </c>
      <c r="D3717" t="s">
        <v>4393</v>
      </c>
      <c r="E3717">
        <v>-107870914</v>
      </c>
      <c r="F3717">
        <v>-27253807</v>
      </c>
      <c r="G3717">
        <v>-128041604</v>
      </c>
      <c r="H3717">
        <v>8508297</v>
      </c>
      <c r="I3717">
        <v>-105608115</v>
      </c>
      <c r="J3717">
        <v>-11794637</v>
      </c>
      <c r="K3717">
        <v>-56870506</v>
      </c>
      <c r="L3717">
        <v>-87943895</v>
      </c>
      <c r="M3717">
        <v>-132495775</v>
      </c>
      <c r="N3717">
        <v>-92540324</v>
      </c>
      <c r="O3717">
        <v>-142759491</v>
      </c>
      <c r="P3717">
        <v>239</v>
      </c>
      <c r="Q3717" t="s">
        <v>7777</v>
      </c>
    </row>
    <row r="3718" spans="1:17" x14ac:dyDescent="0.3">
      <c r="A3718" t="s">
        <v>33</v>
      </c>
      <c r="B3718" t="str">
        <f>"300959"</f>
        <v>300959</v>
      </c>
      <c r="C3718" t="s">
        <v>7778</v>
      </c>
      <c r="D3718" t="s">
        <v>1566</v>
      </c>
      <c r="E3718">
        <v>-107905942</v>
      </c>
      <c r="F3718">
        <v>68027229</v>
      </c>
      <c r="G3718">
        <v>-49248173</v>
      </c>
      <c r="P3718">
        <v>31</v>
      </c>
      <c r="Q3718" t="s">
        <v>7779</v>
      </c>
    </row>
    <row r="3719" spans="1:17" x14ac:dyDescent="0.3">
      <c r="A3719" t="s">
        <v>17</v>
      </c>
      <c r="B3719" t="str">
        <f>"601208"</f>
        <v>601208</v>
      </c>
      <c r="C3719" t="s">
        <v>7780</v>
      </c>
      <c r="D3719" t="s">
        <v>1734</v>
      </c>
      <c r="E3719">
        <v>-107963188</v>
      </c>
      <c r="F3719">
        <v>-15555558</v>
      </c>
      <c r="G3719">
        <v>-57555911</v>
      </c>
      <c r="H3719">
        <v>-34639842</v>
      </c>
      <c r="I3719">
        <v>-10934014</v>
      </c>
      <c r="J3719">
        <v>-42099054</v>
      </c>
      <c r="K3719">
        <v>9833008</v>
      </c>
      <c r="L3719">
        <v>-17305983</v>
      </c>
      <c r="M3719">
        <v>41808011</v>
      </c>
      <c r="N3719">
        <v>9569671</v>
      </c>
      <c r="O3719">
        <v>103805954</v>
      </c>
      <c r="P3719">
        <v>3074</v>
      </c>
      <c r="Q3719" t="s">
        <v>7781</v>
      </c>
    </row>
    <row r="3720" spans="1:17" x14ac:dyDescent="0.3">
      <c r="A3720" t="s">
        <v>17</v>
      </c>
      <c r="B3720" t="str">
        <f>"603828"</f>
        <v>603828</v>
      </c>
      <c r="C3720" t="s">
        <v>7782</v>
      </c>
      <c r="D3720" t="s">
        <v>1779</v>
      </c>
      <c r="E3720">
        <v>-108823592</v>
      </c>
      <c r="F3720">
        <v>-189324207</v>
      </c>
      <c r="G3720">
        <v>-211548225</v>
      </c>
      <c r="H3720">
        <v>-148770734</v>
      </c>
      <c r="I3720">
        <v>-91834495</v>
      </c>
      <c r="J3720">
        <v>-86276881</v>
      </c>
      <c r="K3720">
        <v>-100966416</v>
      </c>
      <c r="L3720">
        <v>-213610218</v>
      </c>
      <c r="M3720">
        <v>-209230026</v>
      </c>
      <c r="P3720">
        <v>66</v>
      </c>
      <c r="Q3720" t="s">
        <v>7783</v>
      </c>
    </row>
    <row r="3721" spans="1:17" x14ac:dyDescent="0.3">
      <c r="A3721" t="s">
        <v>17</v>
      </c>
      <c r="B3721" t="str">
        <f>"601700"</f>
        <v>601700</v>
      </c>
      <c r="C3721" t="s">
        <v>7784</v>
      </c>
      <c r="D3721" t="s">
        <v>1282</v>
      </c>
      <c r="E3721">
        <v>-108964050</v>
      </c>
      <c r="F3721">
        <v>-223032075</v>
      </c>
      <c r="G3721">
        <v>-86030787</v>
      </c>
      <c r="H3721">
        <v>-288165558</v>
      </c>
      <c r="I3721">
        <v>-85345180</v>
      </c>
      <c r="J3721">
        <v>-49034599</v>
      </c>
      <c r="K3721">
        <v>-38968153</v>
      </c>
      <c r="L3721">
        <v>35485033</v>
      </c>
      <c r="M3721">
        <v>-194883881</v>
      </c>
      <c r="N3721">
        <v>-165284791</v>
      </c>
      <c r="O3721">
        <v>-104452160</v>
      </c>
      <c r="P3721">
        <v>126</v>
      </c>
      <c r="Q3721" t="s">
        <v>7785</v>
      </c>
    </row>
    <row r="3722" spans="1:17" x14ac:dyDescent="0.3">
      <c r="A3722" t="s">
        <v>33</v>
      </c>
      <c r="B3722" t="str">
        <f>"300261"</f>
        <v>300261</v>
      </c>
      <c r="C3722" t="s">
        <v>7786</v>
      </c>
      <c r="D3722" t="s">
        <v>636</v>
      </c>
      <c r="E3722">
        <v>-108978197</v>
      </c>
      <c r="F3722">
        <v>-17184531</v>
      </c>
      <c r="G3722">
        <v>298324893</v>
      </c>
      <c r="H3722">
        <v>100961725</v>
      </c>
      <c r="I3722">
        <v>75929154</v>
      </c>
      <c r="J3722">
        <v>42379079</v>
      </c>
      <c r="K3722">
        <v>38047257</v>
      </c>
      <c r="L3722">
        <v>-22021008</v>
      </c>
      <c r="M3722">
        <v>16339140</v>
      </c>
      <c r="N3722">
        <v>-55374086</v>
      </c>
      <c r="O3722">
        <v>23584781</v>
      </c>
      <c r="P3722">
        <v>139</v>
      </c>
      <c r="Q3722" t="s">
        <v>7787</v>
      </c>
    </row>
    <row r="3723" spans="1:17" x14ac:dyDescent="0.3">
      <c r="A3723" t="s">
        <v>33</v>
      </c>
      <c r="B3723" t="str">
        <f>"000753"</f>
        <v>000753</v>
      </c>
      <c r="C3723" t="s">
        <v>7788</v>
      </c>
      <c r="D3723" t="s">
        <v>523</v>
      </c>
      <c r="E3723">
        <v>-109127374</v>
      </c>
      <c r="F3723">
        <v>-400624581</v>
      </c>
      <c r="G3723">
        <v>46195522</v>
      </c>
      <c r="H3723">
        <v>263073085</v>
      </c>
      <c r="I3723">
        <v>-4491663</v>
      </c>
      <c r="J3723">
        <v>3334495</v>
      </c>
      <c r="K3723">
        <v>-5493681</v>
      </c>
      <c r="L3723">
        <v>-113286004</v>
      </c>
      <c r="M3723">
        <v>-249934159</v>
      </c>
      <c r="N3723">
        <v>68906373</v>
      </c>
      <c r="O3723">
        <v>-13125138</v>
      </c>
      <c r="P3723">
        <v>85</v>
      </c>
      <c r="Q3723" t="s">
        <v>7789</v>
      </c>
    </row>
    <row r="3724" spans="1:17" x14ac:dyDescent="0.3">
      <c r="A3724" t="s">
        <v>17</v>
      </c>
      <c r="B3724" t="str">
        <f>"603598"</f>
        <v>603598</v>
      </c>
      <c r="C3724" t="s">
        <v>7790</v>
      </c>
      <c r="D3724" t="s">
        <v>1125</v>
      </c>
      <c r="E3724">
        <v>-109336333</v>
      </c>
      <c r="F3724">
        <v>-91499887</v>
      </c>
      <c r="G3724">
        <v>21532120</v>
      </c>
      <c r="H3724">
        <v>-93179528</v>
      </c>
      <c r="I3724">
        <v>-16519337</v>
      </c>
      <c r="J3724">
        <v>-94554796</v>
      </c>
      <c r="K3724">
        <v>-54814300</v>
      </c>
      <c r="L3724">
        <v>-86541511</v>
      </c>
      <c r="M3724">
        <v>-78680751</v>
      </c>
      <c r="P3724">
        <v>113</v>
      </c>
      <c r="Q3724" t="s">
        <v>7791</v>
      </c>
    </row>
    <row r="3725" spans="1:17" x14ac:dyDescent="0.3">
      <c r="A3725" t="s">
        <v>33</v>
      </c>
      <c r="B3725" t="str">
        <f>"300072"</f>
        <v>300072</v>
      </c>
      <c r="C3725" t="s">
        <v>7792</v>
      </c>
      <c r="D3725" t="s">
        <v>3158</v>
      </c>
      <c r="E3725">
        <v>-109513636</v>
      </c>
      <c r="F3725">
        <v>351203794</v>
      </c>
      <c r="G3725">
        <v>-472034863</v>
      </c>
      <c r="H3725">
        <v>-80127268</v>
      </c>
      <c r="I3725">
        <v>-2408751880</v>
      </c>
      <c r="J3725">
        <v>-883408789</v>
      </c>
      <c r="K3725">
        <v>-1156771263</v>
      </c>
      <c r="L3725">
        <v>-173079704</v>
      </c>
      <c r="M3725">
        <v>-284340601</v>
      </c>
      <c r="N3725">
        <v>-57655084</v>
      </c>
      <c r="O3725">
        <v>-125696441</v>
      </c>
      <c r="P3725">
        <v>1138</v>
      </c>
      <c r="Q3725" t="s">
        <v>7793</v>
      </c>
    </row>
    <row r="3726" spans="1:17" x14ac:dyDescent="0.3">
      <c r="A3726" t="s">
        <v>17</v>
      </c>
      <c r="B3726" t="str">
        <f>"600439"</f>
        <v>600439</v>
      </c>
      <c r="C3726" t="s">
        <v>7794</v>
      </c>
      <c r="D3726" t="s">
        <v>2627</v>
      </c>
      <c r="E3726">
        <v>-109687400</v>
      </c>
      <c r="F3726">
        <v>7596193</v>
      </c>
      <c r="G3726">
        <v>-47911226</v>
      </c>
      <c r="H3726">
        <v>28772911</v>
      </c>
      <c r="I3726">
        <v>38233436</v>
      </c>
      <c r="J3726">
        <v>10807433</v>
      </c>
      <c r="K3726">
        <v>55504704</v>
      </c>
      <c r="L3726">
        <v>-54563915</v>
      </c>
      <c r="M3726">
        <v>-72782490</v>
      </c>
      <c r="N3726">
        <v>-14919878</v>
      </c>
      <c r="O3726">
        <v>-91533571</v>
      </c>
      <c r="P3726">
        <v>186</v>
      </c>
      <c r="Q3726" t="s">
        <v>7795</v>
      </c>
    </row>
    <row r="3727" spans="1:17" x14ac:dyDescent="0.3">
      <c r="A3727" t="s">
        <v>17</v>
      </c>
      <c r="B3727" t="str">
        <f>"688001"</f>
        <v>688001</v>
      </c>
      <c r="C3727" t="s">
        <v>7796</v>
      </c>
      <c r="D3727" t="s">
        <v>2417</v>
      </c>
      <c r="E3727">
        <v>-110046011</v>
      </c>
      <c r="F3727">
        <v>41347169</v>
      </c>
      <c r="G3727">
        <v>33453031</v>
      </c>
      <c r="H3727">
        <v>-131239200</v>
      </c>
      <c r="I3727">
        <v>15874000</v>
      </c>
      <c r="P3727">
        <v>169</v>
      </c>
      <c r="Q3727" t="s">
        <v>7797</v>
      </c>
    </row>
    <row r="3728" spans="1:17" x14ac:dyDescent="0.3">
      <c r="A3728" t="s">
        <v>33</v>
      </c>
      <c r="B3728" t="str">
        <f>"000812"</f>
        <v>000812</v>
      </c>
      <c r="C3728" t="s">
        <v>7798</v>
      </c>
      <c r="D3728" t="s">
        <v>1015</v>
      </c>
      <c r="E3728">
        <v>-110218280</v>
      </c>
      <c r="F3728">
        <v>-96144290</v>
      </c>
      <c r="G3728">
        <v>-58420329</v>
      </c>
      <c r="H3728">
        <v>-77807157</v>
      </c>
      <c r="I3728">
        <v>-19548883</v>
      </c>
      <c r="J3728">
        <v>8611009</v>
      </c>
      <c r="K3728">
        <v>16266798</v>
      </c>
      <c r="L3728">
        <v>-64348961</v>
      </c>
      <c r="M3728">
        <v>4134714</v>
      </c>
      <c r="N3728">
        <v>23155599</v>
      </c>
      <c r="O3728">
        <v>-55670588</v>
      </c>
      <c r="P3728">
        <v>111</v>
      </c>
      <c r="Q3728" t="s">
        <v>7799</v>
      </c>
    </row>
    <row r="3729" spans="1:17" x14ac:dyDescent="0.3">
      <c r="A3729" t="s">
        <v>17</v>
      </c>
      <c r="B3729" t="str">
        <f>"688083"</f>
        <v>688083</v>
      </c>
      <c r="C3729" t="s">
        <v>7800</v>
      </c>
      <c r="D3729" t="s">
        <v>807</v>
      </c>
      <c r="E3729">
        <v>-110477529</v>
      </c>
      <c r="F3729">
        <v>-14841273</v>
      </c>
      <c r="G3729">
        <v>-43163522</v>
      </c>
      <c r="P3729">
        <v>130</v>
      </c>
      <c r="Q3729" t="s">
        <v>7801</v>
      </c>
    </row>
    <row r="3730" spans="1:17" x14ac:dyDescent="0.3">
      <c r="A3730" t="s">
        <v>17</v>
      </c>
      <c r="B3730" t="str">
        <f>"605050"</f>
        <v>605050</v>
      </c>
      <c r="C3730" t="s">
        <v>7802</v>
      </c>
      <c r="D3730" t="s">
        <v>5270</v>
      </c>
      <c r="E3730">
        <v>-110500408</v>
      </c>
      <c r="F3730">
        <v>-328284046</v>
      </c>
      <c r="G3730">
        <v>-369471009</v>
      </c>
      <c r="P3730">
        <v>37</v>
      </c>
      <c r="Q3730" t="s">
        <v>7803</v>
      </c>
    </row>
    <row r="3731" spans="1:17" x14ac:dyDescent="0.3">
      <c r="A3731" t="s">
        <v>33</v>
      </c>
      <c r="B3731" t="str">
        <f>"002901"</f>
        <v>002901</v>
      </c>
      <c r="C3731" t="s">
        <v>7804</v>
      </c>
      <c r="D3731" t="s">
        <v>903</v>
      </c>
      <c r="E3731">
        <v>-110519785</v>
      </c>
      <c r="F3731">
        <v>52724072</v>
      </c>
      <c r="G3731">
        <v>-8235865</v>
      </c>
      <c r="H3731">
        <v>32733897</v>
      </c>
      <c r="I3731">
        <v>25921605</v>
      </c>
      <c r="J3731">
        <v>44279687</v>
      </c>
      <c r="P3731">
        <v>1702</v>
      </c>
      <c r="Q3731" t="s">
        <v>7805</v>
      </c>
    </row>
    <row r="3732" spans="1:17" x14ac:dyDescent="0.3">
      <c r="A3732" t="s">
        <v>33</v>
      </c>
      <c r="B3732" t="str">
        <f>"300853"</f>
        <v>300853</v>
      </c>
      <c r="C3732" t="s">
        <v>7806</v>
      </c>
      <c r="D3732" t="s">
        <v>1142</v>
      </c>
      <c r="E3732">
        <v>-110669805</v>
      </c>
      <c r="F3732">
        <v>-64832992</v>
      </c>
      <c r="G3732">
        <v>-68746207</v>
      </c>
      <c r="H3732">
        <v>-51965871</v>
      </c>
      <c r="P3732">
        <v>142</v>
      </c>
      <c r="Q3732" t="s">
        <v>7807</v>
      </c>
    </row>
    <row r="3733" spans="1:17" x14ac:dyDescent="0.3">
      <c r="A3733" t="s">
        <v>17</v>
      </c>
      <c r="B3733" t="str">
        <f>"605199"</f>
        <v>605199</v>
      </c>
      <c r="C3733" t="s">
        <v>7808</v>
      </c>
      <c r="D3733" t="s">
        <v>533</v>
      </c>
      <c r="E3733">
        <v>-110761280</v>
      </c>
      <c r="F3733">
        <v>-77986423</v>
      </c>
      <c r="G3733">
        <v>-92414561</v>
      </c>
      <c r="H3733">
        <v>-16073578</v>
      </c>
      <c r="P3733">
        <v>136</v>
      </c>
      <c r="Q3733" t="s">
        <v>7809</v>
      </c>
    </row>
    <row r="3734" spans="1:17" x14ac:dyDescent="0.3">
      <c r="A3734" t="s">
        <v>17</v>
      </c>
      <c r="B3734" t="str">
        <f>"600466"</f>
        <v>600466</v>
      </c>
      <c r="C3734" t="s">
        <v>7810</v>
      </c>
      <c r="D3734" t="s">
        <v>167</v>
      </c>
      <c r="E3734">
        <v>-110905734</v>
      </c>
      <c r="F3734">
        <v>1638018231</v>
      </c>
      <c r="G3734">
        <v>-3932229440</v>
      </c>
      <c r="H3734">
        <v>-2883410405</v>
      </c>
      <c r="I3734">
        <v>-2485014933</v>
      </c>
      <c r="J3734">
        <v>183859685</v>
      </c>
      <c r="K3734">
        <v>-3336123245</v>
      </c>
      <c r="L3734">
        <v>267547586</v>
      </c>
      <c r="M3734">
        <v>-20733423</v>
      </c>
      <c r="N3734">
        <v>-17298627</v>
      </c>
      <c r="O3734">
        <v>-14386075</v>
      </c>
      <c r="P3734">
        <v>844</v>
      </c>
      <c r="Q3734" t="s">
        <v>7811</v>
      </c>
    </row>
    <row r="3735" spans="1:17" x14ac:dyDescent="0.3">
      <c r="A3735" t="s">
        <v>33</v>
      </c>
      <c r="B3735" t="str">
        <f>"002586"</f>
        <v>002586</v>
      </c>
      <c r="C3735" t="s">
        <v>7812</v>
      </c>
      <c r="D3735" t="s">
        <v>1527</v>
      </c>
      <c r="E3735">
        <v>-111016610</v>
      </c>
      <c r="F3735">
        <v>-165226584</v>
      </c>
      <c r="G3735">
        <v>-176829472</v>
      </c>
      <c r="H3735">
        <v>-200005232</v>
      </c>
      <c r="I3735">
        <v>-38645298</v>
      </c>
      <c r="J3735">
        <v>-113759030</v>
      </c>
      <c r="K3735">
        <v>-30549610</v>
      </c>
      <c r="L3735">
        <v>-133574250</v>
      </c>
      <c r="M3735">
        <v>-205777481</v>
      </c>
      <c r="N3735">
        <v>-152906558</v>
      </c>
      <c r="O3735">
        <v>-96065153</v>
      </c>
      <c r="P3735">
        <v>62</v>
      </c>
      <c r="Q3735" t="s">
        <v>7813</v>
      </c>
    </row>
    <row r="3736" spans="1:17" x14ac:dyDescent="0.3">
      <c r="A3736" t="s">
        <v>33</v>
      </c>
      <c r="B3736" t="str">
        <f>"002292"</f>
        <v>002292</v>
      </c>
      <c r="C3736" t="s">
        <v>7814</v>
      </c>
      <c r="D3736" t="s">
        <v>314</v>
      </c>
      <c r="E3736">
        <v>-111126412</v>
      </c>
      <c r="F3736">
        <v>1137317</v>
      </c>
      <c r="G3736">
        <v>3195677</v>
      </c>
      <c r="H3736">
        <v>79250013</v>
      </c>
      <c r="I3736">
        <v>-2423573</v>
      </c>
      <c r="J3736">
        <v>-94073845</v>
      </c>
      <c r="K3736">
        <v>2954690</v>
      </c>
      <c r="L3736">
        <v>-97643413</v>
      </c>
      <c r="M3736">
        <v>-35855354</v>
      </c>
      <c r="N3736">
        <v>-51658401</v>
      </c>
      <c r="O3736">
        <v>-67584382</v>
      </c>
      <c r="P3736">
        <v>291</v>
      </c>
      <c r="Q3736" t="s">
        <v>7815</v>
      </c>
    </row>
    <row r="3737" spans="1:17" x14ac:dyDescent="0.3">
      <c r="A3737" t="s">
        <v>33</v>
      </c>
      <c r="B3737" t="str">
        <f>"300455"</f>
        <v>300455</v>
      </c>
      <c r="C3737" t="s">
        <v>7816</v>
      </c>
      <c r="D3737" t="s">
        <v>1571</v>
      </c>
      <c r="E3737">
        <v>-111768058</v>
      </c>
      <c r="F3737">
        <v>-76356026</v>
      </c>
      <c r="G3737">
        <v>-35517091</v>
      </c>
      <c r="H3737">
        <v>18500155</v>
      </c>
      <c r="I3737">
        <v>20154049</v>
      </c>
      <c r="J3737">
        <v>6185682</v>
      </c>
      <c r="K3737">
        <v>-35808439</v>
      </c>
      <c r="L3737">
        <v>-27658700</v>
      </c>
      <c r="P3737">
        <v>137</v>
      </c>
      <c r="Q3737" t="s">
        <v>7817</v>
      </c>
    </row>
    <row r="3738" spans="1:17" x14ac:dyDescent="0.3">
      <c r="A3738" t="s">
        <v>33</v>
      </c>
      <c r="B3738" t="str">
        <f>"300841"</f>
        <v>300841</v>
      </c>
      <c r="C3738" t="s">
        <v>7818</v>
      </c>
      <c r="D3738" t="s">
        <v>1321</v>
      </c>
      <c r="E3738">
        <v>-111805583</v>
      </c>
      <c r="F3738">
        <v>-63517522</v>
      </c>
      <c r="G3738">
        <v>3910930</v>
      </c>
      <c r="H3738">
        <v>20666302</v>
      </c>
      <c r="P3738">
        <v>314</v>
      </c>
      <c r="Q3738" t="s">
        <v>7819</v>
      </c>
    </row>
    <row r="3739" spans="1:17" x14ac:dyDescent="0.3">
      <c r="A3739" t="s">
        <v>17</v>
      </c>
      <c r="B3739" t="str">
        <f>"603060"</f>
        <v>603060</v>
      </c>
      <c r="C3739" t="s">
        <v>7820</v>
      </c>
      <c r="D3739" t="s">
        <v>2274</v>
      </c>
      <c r="E3739">
        <v>-112099956</v>
      </c>
      <c r="F3739">
        <v>-26715164</v>
      </c>
      <c r="G3739">
        <v>-34411536</v>
      </c>
      <c r="H3739">
        <v>-15667835</v>
      </c>
      <c r="I3739">
        <v>-7657688</v>
      </c>
      <c r="J3739">
        <v>19076293</v>
      </c>
      <c r="K3739">
        <v>4261735</v>
      </c>
      <c r="P3739">
        <v>507</v>
      </c>
      <c r="Q3739" t="s">
        <v>7821</v>
      </c>
    </row>
    <row r="3740" spans="1:17" x14ac:dyDescent="0.3">
      <c r="A3740" t="s">
        <v>17</v>
      </c>
      <c r="B3740" t="str">
        <f>"600622"</f>
        <v>600622</v>
      </c>
      <c r="C3740" t="s">
        <v>7822</v>
      </c>
      <c r="D3740" t="s">
        <v>167</v>
      </c>
      <c r="E3740">
        <v>-112168908</v>
      </c>
      <c r="F3740">
        <v>702524946</v>
      </c>
      <c r="G3740">
        <v>-70710468</v>
      </c>
      <c r="H3740">
        <v>42123379</v>
      </c>
      <c r="I3740">
        <v>180322901</v>
      </c>
      <c r="J3740">
        <v>-482773425</v>
      </c>
      <c r="K3740">
        <v>420935093</v>
      </c>
      <c r="L3740">
        <v>-132703844</v>
      </c>
      <c r="M3740">
        <v>-1254313194</v>
      </c>
      <c r="N3740">
        <v>-178214636</v>
      </c>
      <c r="O3740">
        <v>-324886281</v>
      </c>
      <c r="P3740">
        <v>246</v>
      </c>
      <c r="Q3740" t="s">
        <v>7823</v>
      </c>
    </row>
    <row r="3741" spans="1:17" x14ac:dyDescent="0.3">
      <c r="A3741" t="s">
        <v>17</v>
      </c>
      <c r="B3741" t="str">
        <f>"600323"</f>
        <v>600323</v>
      </c>
      <c r="C3741" t="s">
        <v>7824</v>
      </c>
      <c r="D3741" t="s">
        <v>897</v>
      </c>
      <c r="E3741">
        <v>-112243869</v>
      </c>
      <c r="F3741">
        <v>476329971</v>
      </c>
      <c r="G3741">
        <v>47302540</v>
      </c>
      <c r="H3741">
        <v>21775843</v>
      </c>
      <c r="I3741">
        <v>48674733</v>
      </c>
      <c r="J3741">
        <v>80243379</v>
      </c>
      <c r="K3741">
        <v>137300016</v>
      </c>
      <c r="L3741">
        <v>195919631</v>
      </c>
      <c r="M3741">
        <v>99001172</v>
      </c>
      <c r="N3741">
        <v>124103663</v>
      </c>
      <c r="O3741">
        <v>101898833</v>
      </c>
      <c r="P3741">
        <v>1149</v>
      </c>
      <c r="Q3741" t="s">
        <v>7825</v>
      </c>
    </row>
    <row r="3742" spans="1:17" x14ac:dyDescent="0.3">
      <c r="A3742" t="s">
        <v>17</v>
      </c>
      <c r="B3742" t="str">
        <f>"688345"</f>
        <v>688345</v>
      </c>
      <c r="C3742" t="s">
        <v>7826</v>
      </c>
      <c r="D3742" t="s">
        <v>156</v>
      </c>
      <c r="E3742">
        <v>-112488872</v>
      </c>
      <c r="F3742">
        <v>-5588691</v>
      </c>
      <c r="G3742">
        <v>12920347</v>
      </c>
      <c r="P3742">
        <v>39</v>
      </c>
      <c r="Q3742" t="s">
        <v>7827</v>
      </c>
    </row>
    <row r="3743" spans="1:17" x14ac:dyDescent="0.3">
      <c r="A3743" t="s">
        <v>33</v>
      </c>
      <c r="B3743" t="str">
        <f>"301259"</f>
        <v>301259</v>
      </c>
      <c r="C3743" t="s">
        <v>7828</v>
      </c>
      <c r="E3743">
        <v>-112822984</v>
      </c>
      <c r="P3743">
        <v>0</v>
      </c>
      <c r="Q3743" t="s">
        <v>7829</v>
      </c>
    </row>
    <row r="3744" spans="1:17" x14ac:dyDescent="0.3">
      <c r="A3744" t="s">
        <v>33</v>
      </c>
      <c r="B3744" t="str">
        <f>"002117"</f>
        <v>002117</v>
      </c>
      <c r="C3744" t="s">
        <v>7830</v>
      </c>
      <c r="D3744" t="s">
        <v>3492</v>
      </c>
      <c r="E3744">
        <v>-113232953</v>
      </c>
      <c r="F3744">
        <v>-96080492</v>
      </c>
      <c r="G3744">
        <v>-167814593</v>
      </c>
      <c r="H3744">
        <v>-139303191</v>
      </c>
      <c r="I3744">
        <v>-168200431</v>
      </c>
      <c r="J3744">
        <v>-131834977</v>
      </c>
      <c r="K3744">
        <v>-151192426</v>
      </c>
      <c r="L3744">
        <v>-86709626</v>
      </c>
      <c r="M3744">
        <v>-52147581</v>
      </c>
      <c r="N3744">
        <v>-46398108</v>
      </c>
      <c r="O3744">
        <v>-12777506</v>
      </c>
      <c r="P3744">
        <v>392</v>
      </c>
      <c r="Q3744" t="s">
        <v>7831</v>
      </c>
    </row>
    <row r="3745" spans="1:17" x14ac:dyDescent="0.3">
      <c r="A3745" t="s">
        <v>33</v>
      </c>
      <c r="B3745" t="str">
        <f>"300749"</f>
        <v>300749</v>
      </c>
      <c r="C3745" t="s">
        <v>7832</v>
      </c>
      <c r="D3745" t="s">
        <v>5122</v>
      </c>
      <c r="E3745">
        <v>-113408094</v>
      </c>
      <c r="F3745">
        <v>-85315478</v>
      </c>
      <c r="G3745">
        <v>-136069358</v>
      </c>
      <c r="H3745">
        <v>-77955811</v>
      </c>
      <c r="I3745">
        <v>-66004224</v>
      </c>
      <c r="P3745">
        <v>97</v>
      </c>
      <c r="Q3745" t="s">
        <v>7833</v>
      </c>
    </row>
    <row r="3746" spans="1:17" x14ac:dyDescent="0.3">
      <c r="A3746" t="s">
        <v>33</v>
      </c>
      <c r="B3746" t="str">
        <f>"002734"</f>
        <v>002734</v>
      </c>
      <c r="C3746" t="s">
        <v>7834</v>
      </c>
      <c r="D3746" t="s">
        <v>636</v>
      </c>
      <c r="E3746">
        <v>-113465415</v>
      </c>
      <c r="F3746">
        <v>-368442248</v>
      </c>
      <c r="G3746">
        <v>-47562156</v>
      </c>
      <c r="H3746">
        <v>-98643993</v>
      </c>
      <c r="I3746">
        <v>-45169291</v>
      </c>
      <c r="J3746">
        <v>-108881052</v>
      </c>
      <c r="K3746">
        <v>-1140555</v>
      </c>
      <c r="L3746">
        <v>-28461282</v>
      </c>
      <c r="M3746">
        <v>-2769984</v>
      </c>
      <c r="P3746">
        <v>261</v>
      </c>
      <c r="Q3746" t="s">
        <v>7835</v>
      </c>
    </row>
    <row r="3747" spans="1:17" x14ac:dyDescent="0.3">
      <c r="A3747" t="s">
        <v>33</v>
      </c>
      <c r="B3747" t="str">
        <f>"300792"</f>
        <v>300792</v>
      </c>
      <c r="C3747" t="s">
        <v>7836</v>
      </c>
      <c r="D3747" t="s">
        <v>3516</v>
      </c>
      <c r="E3747">
        <v>-113566288</v>
      </c>
      <c r="F3747">
        <v>-31095808</v>
      </c>
      <c r="G3747">
        <v>30139371</v>
      </c>
      <c r="H3747">
        <v>-40868566</v>
      </c>
      <c r="P3747">
        <v>369</v>
      </c>
      <c r="Q3747" t="s">
        <v>7837</v>
      </c>
    </row>
    <row r="3748" spans="1:17" x14ac:dyDescent="0.3">
      <c r="A3748" t="s">
        <v>33</v>
      </c>
      <c r="B3748" t="str">
        <f>"300471"</f>
        <v>300471</v>
      </c>
      <c r="C3748" t="s">
        <v>7838</v>
      </c>
      <c r="D3748" t="s">
        <v>1895</v>
      </c>
      <c r="E3748">
        <v>-113722038</v>
      </c>
      <c r="F3748">
        <v>-63061129</v>
      </c>
      <c r="G3748">
        <v>-41500008</v>
      </c>
      <c r="H3748">
        <v>-4729465</v>
      </c>
      <c r="I3748">
        <v>-225913665</v>
      </c>
      <c r="J3748">
        <v>-88715558</v>
      </c>
      <c r="K3748">
        <v>-172812472</v>
      </c>
      <c r="L3748">
        <v>-132918337</v>
      </c>
      <c r="M3748">
        <v>-103194007</v>
      </c>
      <c r="P3748">
        <v>166</v>
      </c>
      <c r="Q3748" t="s">
        <v>7839</v>
      </c>
    </row>
    <row r="3749" spans="1:17" x14ac:dyDescent="0.3">
      <c r="A3749" t="s">
        <v>33</v>
      </c>
      <c r="B3749" t="str">
        <f>"002853"</f>
        <v>002853</v>
      </c>
      <c r="C3749" t="s">
        <v>7840</v>
      </c>
      <c r="D3749" t="s">
        <v>5122</v>
      </c>
      <c r="E3749">
        <v>-113836460</v>
      </c>
      <c r="F3749">
        <v>-376062255</v>
      </c>
      <c r="G3749">
        <v>-204559223</v>
      </c>
      <c r="H3749">
        <v>-126566600</v>
      </c>
      <c r="I3749">
        <v>-71665805</v>
      </c>
      <c r="J3749">
        <v>-46796255</v>
      </c>
      <c r="K3749">
        <v>-66472485</v>
      </c>
      <c r="P3749">
        <v>379</v>
      </c>
      <c r="Q3749" t="s">
        <v>7841</v>
      </c>
    </row>
    <row r="3750" spans="1:17" x14ac:dyDescent="0.3">
      <c r="A3750" t="s">
        <v>17</v>
      </c>
      <c r="B3750" t="str">
        <f>"688608"</f>
        <v>688608</v>
      </c>
      <c r="C3750" t="s">
        <v>7842</v>
      </c>
      <c r="D3750" t="s">
        <v>1277</v>
      </c>
      <c r="E3750">
        <v>-113946374</v>
      </c>
      <c r="F3750">
        <v>26000360</v>
      </c>
      <c r="G3750">
        <v>-31627600</v>
      </c>
      <c r="H3750">
        <v>-2129800</v>
      </c>
      <c r="P3750">
        <v>123</v>
      </c>
      <c r="Q3750" t="s">
        <v>7843</v>
      </c>
    </row>
    <row r="3751" spans="1:17" x14ac:dyDescent="0.3">
      <c r="A3751" t="s">
        <v>17</v>
      </c>
      <c r="B3751" t="str">
        <f>"600644"</f>
        <v>600644</v>
      </c>
      <c r="C3751" t="s">
        <v>7844</v>
      </c>
      <c r="D3751" t="s">
        <v>245</v>
      </c>
      <c r="E3751">
        <v>-114052767</v>
      </c>
      <c r="F3751">
        <v>-23053845</v>
      </c>
      <c r="G3751">
        <v>-109864173</v>
      </c>
      <c r="H3751">
        <v>-59078893</v>
      </c>
      <c r="I3751">
        <v>-123484592</v>
      </c>
      <c r="J3751">
        <v>-74661244</v>
      </c>
      <c r="K3751">
        <v>-5146318</v>
      </c>
      <c r="L3751">
        <v>-36117744</v>
      </c>
      <c r="M3751">
        <v>20762530</v>
      </c>
      <c r="N3751">
        <v>51081813</v>
      </c>
      <c r="O3751">
        <v>53174808</v>
      </c>
      <c r="P3751">
        <v>81</v>
      </c>
      <c r="Q3751" t="s">
        <v>7845</v>
      </c>
    </row>
    <row r="3752" spans="1:17" x14ac:dyDescent="0.3">
      <c r="A3752" t="s">
        <v>33</v>
      </c>
      <c r="B3752" t="str">
        <f>"300800"</f>
        <v>300800</v>
      </c>
      <c r="C3752" t="s">
        <v>7846</v>
      </c>
      <c r="D3752" t="s">
        <v>1763</v>
      </c>
      <c r="E3752">
        <v>-114435386</v>
      </c>
      <c r="F3752">
        <v>-73123109</v>
      </c>
      <c r="G3752">
        <v>-64046141</v>
      </c>
      <c r="H3752">
        <v>-57664762</v>
      </c>
      <c r="P3752">
        <v>362</v>
      </c>
      <c r="Q3752" t="s">
        <v>7847</v>
      </c>
    </row>
    <row r="3753" spans="1:17" x14ac:dyDescent="0.3">
      <c r="A3753" t="s">
        <v>17</v>
      </c>
      <c r="B3753" t="str">
        <f>"605166"</f>
        <v>605166</v>
      </c>
      <c r="C3753" t="s">
        <v>7848</v>
      </c>
      <c r="D3753" t="s">
        <v>861</v>
      </c>
      <c r="E3753">
        <v>-114952680</v>
      </c>
      <c r="F3753">
        <v>-71564698</v>
      </c>
      <c r="G3753">
        <v>-2943046</v>
      </c>
      <c r="H3753">
        <v>-53381659</v>
      </c>
      <c r="P3753">
        <v>68</v>
      </c>
      <c r="Q3753" t="s">
        <v>7849</v>
      </c>
    </row>
    <row r="3754" spans="1:17" x14ac:dyDescent="0.3">
      <c r="A3754" t="s">
        <v>33</v>
      </c>
      <c r="B3754" t="str">
        <f>"300673"</f>
        <v>300673</v>
      </c>
      <c r="C3754" t="s">
        <v>7850</v>
      </c>
      <c r="D3754" t="s">
        <v>7056</v>
      </c>
      <c r="E3754">
        <v>-115016642</v>
      </c>
      <c r="F3754">
        <v>-31272193</v>
      </c>
      <c r="G3754">
        <v>28446019</v>
      </c>
      <c r="H3754">
        <v>6228095</v>
      </c>
      <c r="I3754">
        <v>15390606</v>
      </c>
      <c r="J3754">
        <v>36535991</v>
      </c>
      <c r="K3754">
        <v>24543246</v>
      </c>
      <c r="P3754">
        <v>512</v>
      </c>
      <c r="Q3754" t="s">
        <v>7851</v>
      </c>
    </row>
    <row r="3755" spans="1:17" x14ac:dyDescent="0.3">
      <c r="A3755" t="s">
        <v>33</v>
      </c>
      <c r="B3755" t="str">
        <f>"300386"</f>
        <v>300386</v>
      </c>
      <c r="C3755" t="s">
        <v>7852</v>
      </c>
      <c r="D3755" t="s">
        <v>1571</v>
      </c>
      <c r="E3755">
        <v>-115189204</v>
      </c>
      <c r="F3755">
        <v>-109018080</v>
      </c>
      <c r="G3755">
        <v>-75205674</v>
      </c>
      <c r="H3755">
        <v>-104878965</v>
      </c>
      <c r="I3755">
        <v>-203506174</v>
      </c>
      <c r="J3755">
        <v>-156829494</v>
      </c>
      <c r="K3755">
        <v>-125612312</v>
      </c>
      <c r="L3755">
        <v>-101058861</v>
      </c>
      <c r="M3755">
        <v>-65623938</v>
      </c>
      <c r="P3755">
        <v>188</v>
      </c>
      <c r="Q3755" t="s">
        <v>7853</v>
      </c>
    </row>
    <row r="3756" spans="1:17" x14ac:dyDescent="0.3">
      <c r="A3756" t="s">
        <v>17</v>
      </c>
      <c r="B3756" t="str">
        <f>"688005"</f>
        <v>688005</v>
      </c>
      <c r="C3756" t="s">
        <v>7854</v>
      </c>
      <c r="D3756" t="s">
        <v>795</v>
      </c>
      <c r="E3756">
        <v>-115300138</v>
      </c>
      <c r="F3756">
        <v>-238955891</v>
      </c>
      <c r="G3756">
        <v>63626020</v>
      </c>
      <c r="H3756">
        <v>25373403</v>
      </c>
      <c r="I3756">
        <v>-148791571</v>
      </c>
      <c r="P3756">
        <v>318</v>
      </c>
      <c r="Q3756" t="s">
        <v>7855</v>
      </c>
    </row>
    <row r="3757" spans="1:17" x14ac:dyDescent="0.3">
      <c r="A3757" t="s">
        <v>17</v>
      </c>
      <c r="B3757" t="str">
        <f>"603322"</f>
        <v>603322</v>
      </c>
      <c r="C3757" t="s">
        <v>7856</v>
      </c>
      <c r="D3757" t="s">
        <v>4393</v>
      </c>
      <c r="E3757">
        <v>-115990345</v>
      </c>
      <c r="F3757">
        <v>11034878</v>
      </c>
      <c r="G3757">
        <v>-145912101</v>
      </c>
      <c r="H3757">
        <v>-190131924</v>
      </c>
      <c r="I3757">
        <v>-146588498</v>
      </c>
      <c r="J3757">
        <v>-117940992</v>
      </c>
      <c r="K3757">
        <v>-80745765</v>
      </c>
      <c r="L3757">
        <v>-58248935</v>
      </c>
      <c r="P3757">
        <v>184</v>
      </c>
      <c r="Q3757" t="s">
        <v>7857</v>
      </c>
    </row>
    <row r="3758" spans="1:17" x14ac:dyDescent="0.3">
      <c r="A3758" t="s">
        <v>33</v>
      </c>
      <c r="B3758" t="str">
        <f>"301200"</f>
        <v>301200</v>
      </c>
      <c r="C3758" t="s">
        <v>7858</v>
      </c>
      <c r="E3758">
        <v>-116646471</v>
      </c>
      <c r="P3758">
        <v>13</v>
      </c>
      <c r="Q3758" t="s">
        <v>7859</v>
      </c>
    </row>
    <row r="3759" spans="1:17" x14ac:dyDescent="0.3">
      <c r="A3759" t="s">
        <v>33</v>
      </c>
      <c r="B3759" t="str">
        <f>"002724"</f>
        <v>002724</v>
      </c>
      <c r="C3759" t="s">
        <v>7860</v>
      </c>
      <c r="D3759" t="s">
        <v>499</v>
      </c>
      <c r="E3759">
        <v>-116813693</v>
      </c>
      <c r="F3759">
        <v>-81777113</v>
      </c>
      <c r="G3759">
        <v>-103324310</v>
      </c>
      <c r="H3759">
        <v>-75208853</v>
      </c>
      <c r="I3759">
        <v>-72393635</v>
      </c>
      <c r="J3759">
        <v>-52461965</v>
      </c>
      <c r="K3759">
        <v>-52678703</v>
      </c>
      <c r="L3759">
        <v>-45962337</v>
      </c>
      <c r="M3759">
        <v>-33833563</v>
      </c>
      <c r="P3759">
        <v>139</v>
      </c>
      <c r="Q3759" t="s">
        <v>7861</v>
      </c>
    </row>
    <row r="3760" spans="1:17" x14ac:dyDescent="0.3">
      <c r="A3760" t="s">
        <v>17</v>
      </c>
      <c r="B3760" t="str">
        <f>"603637"</f>
        <v>603637</v>
      </c>
      <c r="C3760" t="s">
        <v>7862</v>
      </c>
      <c r="D3760" t="s">
        <v>1461</v>
      </c>
      <c r="E3760">
        <v>-116821218</v>
      </c>
      <c r="F3760">
        <v>34579010</v>
      </c>
      <c r="G3760">
        <v>-37312213</v>
      </c>
      <c r="H3760">
        <v>71327563</v>
      </c>
      <c r="I3760">
        <v>43072415</v>
      </c>
      <c r="J3760">
        <v>5875560</v>
      </c>
      <c r="K3760">
        <v>-87871290</v>
      </c>
      <c r="P3760">
        <v>70</v>
      </c>
      <c r="Q3760" t="s">
        <v>7863</v>
      </c>
    </row>
    <row r="3761" spans="1:17" x14ac:dyDescent="0.3">
      <c r="A3761" t="s">
        <v>33</v>
      </c>
      <c r="B3761" t="str">
        <f>"002350"</f>
        <v>002350</v>
      </c>
      <c r="C3761" t="s">
        <v>7864</v>
      </c>
      <c r="D3761" t="s">
        <v>675</v>
      </c>
      <c r="E3761">
        <v>-117217252</v>
      </c>
      <c r="F3761">
        <v>-132668972</v>
      </c>
      <c r="G3761">
        <v>-62763690</v>
      </c>
      <c r="H3761">
        <v>165235955</v>
      </c>
      <c r="I3761">
        <v>-77062316</v>
      </c>
      <c r="J3761">
        <v>-82945368</v>
      </c>
      <c r="K3761">
        <v>-84375085</v>
      </c>
      <c r="L3761">
        <v>-99093969</v>
      </c>
      <c r="M3761">
        <v>-149067300</v>
      </c>
      <c r="N3761">
        <v>-50286748</v>
      </c>
      <c r="O3761">
        <v>-52634217</v>
      </c>
      <c r="P3761">
        <v>104</v>
      </c>
      <c r="Q3761" t="s">
        <v>7865</v>
      </c>
    </row>
    <row r="3762" spans="1:17" x14ac:dyDescent="0.3">
      <c r="A3762" t="s">
        <v>17</v>
      </c>
      <c r="B3762" t="str">
        <f>"603716"</f>
        <v>603716</v>
      </c>
      <c r="C3762" t="s">
        <v>7866</v>
      </c>
      <c r="D3762" t="s">
        <v>415</v>
      </c>
      <c r="E3762">
        <v>-117248728</v>
      </c>
      <c r="F3762">
        <v>-11996421</v>
      </c>
      <c r="G3762">
        <v>-79571848</v>
      </c>
      <c r="H3762">
        <v>-87951292</v>
      </c>
      <c r="I3762">
        <v>-62453578</v>
      </c>
      <c r="J3762">
        <v>-14395169</v>
      </c>
      <c r="K3762">
        <v>-14476413</v>
      </c>
      <c r="P3762">
        <v>137</v>
      </c>
      <c r="Q3762" t="s">
        <v>7867</v>
      </c>
    </row>
    <row r="3763" spans="1:17" x14ac:dyDescent="0.3">
      <c r="A3763" t="s">
        <v>17</v>
      </c>
      <c r="B3763" t="str">
        <f>"601069"</f>
        <v>601069</v>
      </c>
      <c r="C3763" t="s">
        <v>7868</v>
      </c>
      <c r="D3763" t="s">
        <v>777</v>
      </c>
      <c r="E3763">
        <v>-117398172</v>
      </c>
      <c r="F3763">
        <v>-211355033</v>
      </c>
      <c r="G3763">
        <v>-185973428</v>
      </c>
      <c r="H3763">
        <v>-14400350</v>
      </c>
      <c r="I3763">
        <v>10481450</v>
      </c>
      <c r="J3763">
        <v>125069037</v>
      </c>
      <c r="K3763">
        <v>91847097</v>
      </c>
      <c r="L3763">
        <v>11615599</v>
      </c>
      <c r="M3763">
        <v>-25771145</v>
      </c>
      <c r="P3763">
        <v>142</v>
      </c>
      <c r="Q3763" t="s">
        <v>7869</v>
      </c>
    </row>
    <row r="3764" spans="1:17" x14ac:dyDescent="0.3">
      <c r="A3764" t="s">
        <v>17</v>
      </c>
      <c r="B3764" t="str">
        <f>"603810"</f>
        <v>603810</v>
      </c>
      <c r="C3764" t="s">
        <v>7870</v>
      </c>
      <c r="D3764" t="s">
        <v>636</v>
      </c>
      <c r="E3764">
        <v>-117559973</v>
      </c>
      <c r="F3764">
        <v>-47489649</v>
      </c>
      <c r="G3764">
        <v>71976061</v>
      </c>
      <c r="H3764">
        <v>18578068</v>
      </c>
      <c r="I3764">
        <v>-9397600</v>
      </c>
      <c r="P3764">
        <v>79</v>
      </c>
      <c r="Q3764" t="s">
        <v>7871</v>
      </c>
    </row>
    <row r="3765" spans="1:17" x14ac:dyDescent="0.3">
      <c r="A3765" t="s">
        <v>33</v>
      </c>
      <c r="B3765" t="str">
        <f>"300788"</f>
        <v>300788</v>
      </c>
      <c r="C3765" t="s">
        <v>7872</v>
      </c>
      <c r="D3765" t="s">
        <v>1501</v>
      </c>
      <c r="E3765">
        <v>-117580202</v>
      </c>
      <c r="F3765">
        <v>-5212902</v>
      </c>
      <c r="G3765">
        <v>-66653410</v>
      </c>
      <c r="H3765">
        <v>-34339400</v>
      </c>
      <c r="I3765">
        <v>53157900</v>
      </c>
      <c r="P3765">
        <v>347</v>
      </c>
      <c r="Q3765" t="s">
        <v>7873</v>
      </c>
    </row>
    <row r="3766" spans="1:17" x14ac:dyDescent="0.3">
      <c r="A3766" t="s">
        <v>33</v>
      </c>
      <c r="B3766" t="str">
        <f>"002523"</f>
        <v>002523</v>
      </c>
      <c r="C3766" t="s">
        <v>7874</v>
      </c>
      <c r="D3766" t="s">
        <v>1132</v>
      </c>
      <c r="E3766">
        <v>-117598039</v>
      </c>
      <c r="F3766">
        <v>-181882247</v>
      </c>
      <c r="G3766">
        <v>-95701202</v>
      </c>
      <c r="H3766">
        <v>-18937258</v>
      </c>
      <c r="I3766">
        <v>-136427141</v>
      </c>
      <c r="J3766">
        <v>-51584238</v>
      </c>
      <c r="K3766">
        <v>-41174671</v>
      </c>
      <c r="L3766">
        <v>32193920</v>
      </c>
      <c r="M3766">
        <v>-20019605</v>
      </c>
      <c r="N3766">
        <v>-31680511</v>
      </c>
      <c r="O3766">
        <v>-22312122</v>
      </c>
      <c r="P3766">
        <v>53</v>
      </c>
      <c r="Q3766" t="s">
        <v>7875</v>
      </c>
    </row>
    <row r="3767" spans="1:17" x14ac:dyDescent="0.3">
      <c r="A3767" t="s">
        <v>33</v>
      </c>
      <c r="B3767" t="str">
        <f>"300989"</f>
        <v>300989</v>
      </c>
      <c r="C3767" t="s">
        <v>7876</v>
      </c>
      <c r="D3767" t="s">
        <v>4300</v>
      </c>
      <c r="E3767">
        <v>-117716541</v>
      </c>
      <c r="F3767">
        <v>-126066411</v>
      </c>
      <c r="G3767">
        <v>-68633654</v>
      </c>
      <c r="P3767">
        <v>32</v>
      </c>
      <c r="Q3767" t="s">
        <v>7877</v>
      </c>
    </row>
    <row r="3768" spans="1:17" x14ac:dyDescent="0.3">
      <c r="A3768" t="s">
        <v>17</v>
      </c>
      <c r="B3768" t="str">
        <f>"603955"</f>
        <v>603955</v>
      </c>
      <c r="C3768" t="s">
        <v>7878</v>
      </c>
      <c r="D3768" t="s">
        <v>2330</v>
      </c>
      <c r="E3768">
        <v>-118187387</v>
      </c>
      <c r="F3768">
        <v>14082826</v>
      </c>
      <c r="G3768">
        <v>-253557005</v>
      </c>
      <c r="H3768">
        <v>-127124299</v>
      </c>
      <c r="I3768">
        <v>-84525410</v>
      </c>
      <c r="J3768">
        <v>-108245744</v>
      </c>
      <c r="K3768">
        <v>50051635</v>
      </c>
      <c r="P3768">
        <v>60</v>
      </c>
      <c r="Q3768" t="s">
        <v>7879</v>
      </c>
    </row>
    <row r="3769" spans="1:17" x14ac:dyDescent="0.3">
      <c r="A3769" t="s">
        <v>33</v>
      </c>
      <c r="B3769" t="str">
        <f>"300983"</f>
        <v>300983</v>
      </c>
      <c r="C3769" t="s">
        <v>7880</v>
      </c>
      <c r="D3769" t="s">
        <v>4300</v>
      </c>
      <c r="E3769">
        <v>-118386683</v>
      </c>
      <c r="F3769">
        <v>-158041854</v>
      </c>
      <c r="G3769">
        <v>-105023563</v>
      </c>
      <c r="P3769">
        <v>34</v>
      </c>
      <c r="Q3769" t="s">
        <v>7881</v>
      </c>
    </row>
    <row r="3770" spans="1:17" x14ac:dyDescent="0.3">
      <c r="A3770" t="s">
        <v>33</v>
      </c>
      <c r="B3770" t="str">
        <f>"300365"</f>
        <v>300365</v>
      </c>
      <c r="C3770" t="s">
        <v>7882</v>
      </c>
      <c r="D3770" t="s">
        <v>807</v>
      </c>
      <c r="E3770">
        <v>-118711586</v>
      </c>
      <c r="F3770">
        <v>-192056886</v>
      </c>
      <c r="G3770">
        <v>-57978063</v>
      </c>
      <c r="H3770">
        <v>-127908492</v>
      </c>
      <c r="I3770">
        <v>-116608492</v>
      </c>
      <c r="J3770">
        <v>-63076237</v>
      </c>
      <c r="K3770">
        <v>-48559764</v>
      </c>
      <c r="L3770">
        <v>-43531454</v>
      </c>
      <c r="M3770">
        <v>-2565562</v>
      </c>
      <c r="N3770">
        <v>-19677871</v>
      </c>
      <c r="P3770">
        <v>334</v>
      </c>
      <c r="Q3770" t="s">
        <v>7883</v>
      </c>
    </row>
    <row r="3771" spans="1:17" x14ac:dyDescent="0.3">
      <c r="A3771" t="s">
        <v>33</v>
      </c>
      <c r="B3771" t="str">
        <f>"300894"</f>
        <v>300894</v>
      </c>
      <c r="C3771" t="s">
        <v>7884</v>
      </c>
      <c r="D3771" t="s">
        <v>1852</v>
      </c>
      <c r="E3771">
        <v>-118906751</v>
      </c>
      <c r="F3771">
        <v>-50800781</v>
      </c>
      <c r="G3771">
        <v>-95186197</v>
      </c>
      <c r="P3771">
        <v>230</v>
      </c>
      <c r="Q3771" t="s">
        <v>7885</v>
      </c>
    </row>
    <row r="3772" spans="1:17" x14ac:dyDescent="0.3">
      <c r="A3772" t="s">
        <v>33</v>
      </c>
      <c r="B3772" t="str">
        <f>"000837"</f>
        <v>000837</v>
      </c>
      <c r="C3772" t="s">
        <v>7886</v>
      </c>
      <c r="D3772" t="s">
        <v>1910</v>
      </c>
      <c r="E3772">
        <v>-119240325</v>
      </c>
      <c r="F3772">
        <v>5980341</v>
      </c>
      <c r="G3772">
        <v>-76899730</v>
      </c>
      <c r="H3772">
        <v>-62549680</v>
      </c>
      <c r="I3772">
        <v>-138768046</v>
      </c>
      <c r="J3772">
        <v>-29815260</v>
      </c>
      <c r="K3772">
        <v>-93462456</v>
      </c>
      <c r="L3772">
        <v>-123310192</v>
      </c>
      <c r="M3772">
        <v>-20996198</v>
      </c>
      <c r="N3772">
        <v>-32235483</v>
      </c>
      <c r="O3772">
        <v>-107972952</v>
      </c>
      <c r="P3772">
        <v>129</v>
      </c>
      <c r="Q3772" t="s">
        <v>7887</v>
      </c>
    </row>
    <row r="3773" spans="1:17" x14ac:dyDescent="0.3">
      <c r="A3773" t="s">
        <v>33</v>
      </c>
      <c r="B3773" t="str">
        <f>"002639"</f>
        <v>002639</v>
      </c>
      <c r="C3773" t="s">
        <v>7888</v>
      </c>
      <c r="D3773" t="s">
        <v>2883</v>
      </c>
      <c r="E3773">
        <v>-119300295</v>
      </c>
      <c r="F3773">
        <v>-14939843</v>
      </c>
      <c r="G3773">
        <v>-126500887</v>
      </c>
      <c r="H3773">
        <v>-38424511</v>
      </c>
      <c r="I3773">
        <v>-145555804</v>
      </c>
      <c r="J3773">
        <v>-121937100</v>
      </c>
      <c r="K3773">
        <v>-50587362</v>
      </c>
      <c r="L3773">
        <v>-80420464</v>
      </c>
      <c r="M3773">
        <v>2107038</v>
      </c>
      <c r="N3773">
        <v>-9063975</v>
      </c>
      <c r="O3773">
        <v>-20130535</v>
      </c>
      <c r="P3773">
        <v>228</v>
      </c>
      <c r="Q3773" t="s">
        <v>7889</v>
      </c>
    </row>
    <row r="3774" spans="1:17" x14ac:dyDescent="0.3">
      <c r="A3774" t="s">
        <v>33</v>
      </c>
      <c r="B3774" t="str">
        <f>"301015"</f>
        <v>301015</v>
      </c>
      <c r="C3774" t="s">
        <v>7890</v>
      </c>
      <c r="D3774" t="s">
        <v>415</v>
      </c>
      <c r="E3774">
        <v>-119317380</v>
      </c>
      <c r="F3774">
        <v>-117539543</v>
      </c>
      <c r="G3774">
        <v>-545977048</v>
      </c>
      <c r="P3774">
        <v>45</v>
      </c>
      <c r="Q3774" t="s">
        <v>7891</v>
      </c>
    </row>
    <row r="3775" spans="1:17" x14ac:dyDescent="0.3">
      <c r="A3775" t="s">
        <v>33</v>
      </c>
      <c r="B3775" t="str">
        <f>"300953"</f>
        <v>300953</v>
      </c>
      <c r="C3775" t="s">
        <v>7892</v>
      </c>
      <c r="D3775" t="s">
        <v>164</v>
      </c>
      <c r="E3775">
        <v>-119493921</v>
      </c>
      <c r="F3775">
        <v>-36187304</v>
      </c>
      <c r="G3775">
        <v>-21623600</v>
      </c>
      <c r="P3775">
        <v>84</v>
      </c>
      <c r="Q3775" t="s">
        <v>7893</v>
      </c>
    </row>
    <row r="3776" spans="1:17" x14ac:dyDescent="0.3">
      <c r="A3776" t="s">
        <v>33</v>
      </c>
      <c r="B3776" t="str">
        <f>"300376"</f>
        <v>300376</v>
      </c>
      <c r="C3776" t="s">
        <v>7894</v>
      </c>
      <c r="D3776" t="s">
        <v>2956</v>
      </c>
      <c r="E3776">
        <v>-119561061</v>
      </c>
      <c r="F3776">
        <v>86070090</v>
      </c>
      <c r="G3776">
        <v>77136236</v>
      </c>
      <c r="H3776">
        <v>-556989274</v>
      </c>
      <c r="I3776">
        <v>-75575926</v>
      </c>
      <c r="J3776">
        <v>-1094296787</v>
      </c>
      <c r="K3776">
        <v>64985433</v>
      </c>
      <c r="L3776">
        <v>-3348202</v>
      </c>
      <c r="M3776">
        <v>-159116129</v>
      </c>
      <c r="N3776">
        <v>-49272388</v>
      </c>
      <c r="P3776">
        <v>849</v>
      </c>
      <c r="Q3776" t="s">
        <v>7895</v>
      </c>
    </row>
    <row r="3777" spans="1:17" x14ac:dyDescent="0.3">
      <c r="A3777" t="s">
        <v>33</v>
      </c>
      <c r="B3777" t="str">
        <f>"000852"</f>
        <v>000852</v>
      </c>
      <c r="C3777" t="s">
        <v>7896</v>
      </c>
      <c r="D3777" t="s">
        <v>1132</v>
      </c>
      <c r="E3777">
        <v>-119763053</v>
      </c>
      <c r="F3777">
        <v>-106251047</v>
      </c>
      <c r="G3777">
        <v>122693624</v>
      </c>
      <c r="H3777">
        <v>-545900418</v>
      </c>
      <c r="I3777">
        <v>-222414176</v>
      </c>
      <c r="J3777">
        <v>-269906613</v>
      </c>
      <c r="K3777">
        <v>-80085536</v>
      </c>
      <c r="L3777">
        <v>-150454541</v>
      </c>
      <c r="M3777">
        <v>-51724458</v>
      </c>
      <c r="N3777">
        <v>-102764557</v>
      </c>
      <c r="O3777">
        <v>-30067669</v>
      </c>
      <c r="P3777">
        <v>155</v>
      </c>
      <c r="Q3777" t="s">
        <v>7897</v>
      </c>
    </row>
    <row r="3778" spans="1:17" x14ac:dyDescent="0.3">
      <c r="A3778" t="s">
        <v>33</v>
      </c>
      <c r="B3778" t="str">
        <f>"002849"</f>
        <v>002849</v>
      </c>
      <c r="C3778" t="s">
        <v>7898</v>
      </c>
      <c r="D3778" t="s">
        <v>2417</v>
      </c>
      <c r="E3778">
        <v>-119838130</v>
      </c>
      <c r="F3778">
        <v>-108025211</v>
      </c>
      <c r="G3778">
        <v>-81064615</v>
      </c>
      <c r="H3778">
        <v>-107503009</v>
      </c>
      <c r="I3778">
        <v>-92806336</v>
      </c>
      <c r="J3778">
        <v>-69598687</v>
      </c>
      <c r="K3778">
        <v>-35791525</v>
      </c>
      <c r="P3778">
        <v>177</v>
      </c>
      <c r="Q3778" t="s">
        <v>7899</v>
      </c>
    </row>
    <row r="3779" spans="1:17" x14ac:dyDescent="0.3">
      <c r="A3779" t="s">
        <v>33</v>
      </c>
      <c r="B3779" t="str">
        <f>"300440"</f>
        <v>300440</v>
      </c>
      <c r="C3779" t="s">
        <v>7900</v>
      </c>
      <c r="D3779" t="s">
        <v>508</v>
      </c>
      <c r="E3779">
        <v>-119968815</v>
      </c>
      <c r="F3779">
        <v>-105441222</v>
      </c>
      <c r="G3779">
        <v>51914858</v>
      </c>
      <c r="H3779">
        <v>-56262936</v>
      </c>
      <c r="I3779">
        <v>-71570578</v>
      </c>
      <c r="J3779">
        <v>-45347289</v>
      </c>
      <c r="K3779">
        <v>1656013</v>
      </c>
      <c r="L3779">
        <v>-57688503</v>
      </c>
      <c r="M3779">
        <v>-19750193</v>
      </c>
      <c r="P3779">
        <v>151</v>
      </c>
      <c r="Q3779" t="s">
        <v>7901</v>
      </c>
    </row>
    <row r="3780" spans="1:17" x14ac:dyDescent="0.3">
      <c r="A3780" t="s">
        <v>33</v>
      </c>
      <c r="B3780" t="str">
        <f>"300087"</f>
        <v>300087</v>
      </c>
      <c r="C3780" t="s">
        <v>7902</v>
      </c>
      <c r="D3780" t="s">
        <v>1990</v>
      </c>
      <c r="E3780">
        <v>-119969802</v>
      </c>
      <c r="F3780">
        <v>-123298090</v>
      </c>
      <c r="G3780">
        <v>-180646692</v>
      </c>
      <c r="H3780">
        <v>-136509464</v>
      </c>
      <c r="I3780">
        <v>-142246253</v>
      </c>
      <c r="J3780">
        <v>-93930445</v>
      </c>
      <c r="K3780">
        <v>-2434396</v>
      </c>
      <c r="L3780">
        <v>12669947</v>
      </c>
      <c r="M3780">
        <v>11803361</v>
      </c>
      <c r="N3780">
        <v>-33173315</v>
      </c>
      <c r="O3780">
        <v>25540876</v>
      </c>
      <c r="P3780">
        <v>231</v>
      </c>
      <c r="Q3780" t="s">
        <v>7903</v>
      </c>
    </row>
    <row r="3781" spans="1:17" x14ac:dyDescent="0.3">
      <c r="A3781" t="s">
        <v>33</v>
      </c>
      <c r="B3781" t="str">
        <f>"300625"</f>
        <v>300625</v>
      </c>
      <c r="C3781" t="s">
        <v>7904</v>
      </c>
      <c r="D3781" t="s">
        <v>1955</v>
      </c>
      <c r="E3781">
        <v>-120266135</v>
      </c>
      <c r="F3781">
        <v>-151123771</v>
      </c>
      <c r="G3781">
        <v>-61718191</v>
      </c>
      <c r="H3781">
        <v>-56911455</v>
      </c>
      <c r="I3781">
        <v>-23142802</v>
      </c>
      <c r="J3781">
        <v>-44015355</v>
      </c>
      <c r="K3781">
        <v>-6569419</v>
      </c>
      <c r="P3781">
        <v>137</v>
      </c>
      <c r="Q3781" t="s">
        <v>7905</v>
      </c>
    </row>
    <row r="3782" spans="1:17" x14ac:dyDescent="0.3">
      <c r="A3782" t="s">
        <v>17</v>
      </c>
      <c r="B3782" t="str">
        <f>"600626"</f>
        <v>600626</v>
      </c>
      <c r="C3782" t="s">
        <v>7906</v>
      </c>
      <c r="D3782" t="s">
        <v>200</v>
      </c>
      <c r="E3782">
        <v>-120372693</v>
      </c>
      <c r="F3782">
        <v>-143739459</v>
      </c>
      <c r="G3782">
        <v>-226765860</v>
      </c>
      <c r="H3782">
        <v>-260527781</v>
      </c>
      <c r="I3782">
        <v>-286415502</v>
      </c>
      <c r="J3782">
        <v>-58457006</v>
      </c>
      <c r="K3782">
        <v>-67252897</v>
      </c>
      <c r="L3782">
        <v>-8988963</v>
      </c>
      <c r="M3782">
        <v>-362203617</v>
      </c>
      <c r="N3782">
        <v>-212270541</v>
      </c>
      <c r="O3782">
        <v>-45386492</v>
      </c>
      <c r="P3782">
        <v>93</v>
      </c>
      <c r="Q3782" t="s">
        <v>7907</v>
      </c>
    </row>
    <row r="3783" spans="1:17" x14ac:dyDescent="0.3">
      <c r="A3783" t="s">
        <v>17</v>
      </c>
      <c r="B3783" t="str">
        <f>"600976"</f>
        <v>600976</v>
      </c>
      <c r="C3783" t="s">
        <v>7908</v>
      </c>
      <c r="D3783" t="s">
        <v>533</v>
      </c>
      <c r="E3783">
        <v>-120835997</v>
      </c>
      <c r="F3783">
        <v>39228688</v>
      </c>
      <c r="G3783">
        <v>-10280908</v>
      </c>
      <c r="H3783">
        <v>-17280434</v>
      </c>
      <c r="I3783">
        <v>-26689510</v>
      </c>
      <c r="J3783">
        <v>-84167613</v>
      </c>
      <c r="K3783">
        <v>-11359774</v>
      </c>
      <c r="L3783">
        <v>35504053</v>
      </c>
      <c r="M3783">
        <v>31552918</v>
      </c>
      <c r="N3783">
        <v>-11772620</v>
      </c>
      <c r="O3783">
        <v>11330630</v>
      </c>
      <c r="P3783">
        <v>249</v>
      </c>
      <c r="Q3783" t="s">
        <v>7909</v>
      </c>
    </row>
    <row r="3784" spans="1:17" x14ac:dyDescent="0.3">
      <c r="A3784" t="s">
        <v>17</v>
      </c>
      <c r="B3784" t="str">
        <f>"688107"</f>
        <v>688107</v>
      </c>
      <c r="C3784" t="s">
        <v>7910</v>
      </c>
      <c r="D3784" t="s">
        <v>1277</v>
      </c>
      <c r="E3784">
        <v>-120838822</v>
      </c>
      <c r="P3784">
        <v>31</v>
      </c>
      <c r="Q3784" t="s">
        <v>7911</v>
      </c>
    </row>
    <row r="3785" spans="1:17" x14ac:dyDescent="0.3">
      <c r="A3785" t="s">
        <v>17</v>
      </c>
      <c r="B3785" t="str">
        <f>"600960"</f>
        <v>600960</v>
      </c>
      <c r="C3785" t="s">
        <v>7912</v>
      </c>
      <c r="D3785" t="s">
        <v>858</v>
      </c>
      <c r="E3785">
        <v>-121114306</v>
      </c>
      <c r="F3785">
        <v>26687599</v>
      </c>
      <c r="G3785">
        <v>-44910859</v>
      </c>
      <c r="H3785">
        <v>142801419</v>
      </c>
      <c r="I3785">
        <v>-82958425</v>
      </c>
      <c r="J3785">
        <v>-21406780</v>
      </c>
      <c r="K3785">
        <v>48113629</v>
      </c>
      <c r="L3785">
        <v>29855263</v>
      </c>
      <c r="M3785">
        <v>-13109234</v>
      </c>
      <c r="N3785">
        <v>17406544</v>
      </c>
      <c r="O3785">
        <v>80613224</v>
      </c>
      <c r="P3785">
        <v>91</v>
      </c>
      <c r="Q3785" t="s">
        <v>7913</v>
      </c>
    </row>
    <row r="3786" spans="1:17" x14ac:dyDescent="0.3">
      <c r="A3786" t="s">
        <v>33</v>
      </c>
      <c r="B3786" t="str">
        <f>"000524"</f>
        <v>000524</v>
      </c>
      <c r="C3786" t="s">
        <v>7914</v>
      </c>
      <c r="D3786" t="s">
        <v>4691</v>
      </c>
      <c r="E3786">
        <v>-121339051</v>
      </c>
      <c r="F3786">
        <v>-118036642</v>
      </c>
      <c r="G3786">
        <v>-340792279</v>
      </c>
      <c r="H3786">
        <v>-17028653</v>
      </c>
      <c r="I3786">
        <v>-71011603</v>
      </c>
      <c r="J3786">
        <v>-26614483</v>
      </c>
      <c r="K3786">
        <v>3797512</v>
      </c>
      <c r="L3786">
        <v>6485544</v>
      </c>
      <c r="M3786">
        <v>-5519298</v>
      </c>
      <c r="N3786">
        <v>6584665</v>
      </c>
      <c r="O3786">
        <v>15905930</v>
      </c>
      <c r="P3786">
        <v>156</v>
      </c>
      <c r="Q3786" t="s">
        <v>7915</v>
      </c>
    </row>
    <row r="3787" spans="1:17" x14ac:dyDescent="0.3">
      <c r="A3787" t="s">
        <v>17</v>
      </c>
      <c r="B3787" t="str">
        <f>"603383"</f>
        <v>603383</v>
      </c>
      <c r="C3787" t="s">
        <v>7916</v>
      </c>
      <c r="D3787" t="s">
        <v>807</v>
      </c>
      <c r="E3787">
        <v>-121549647</v>
      </c>
      <c r="F3787">
        <v>-78807413</v>
      </c>
      <c r="G3787">
        <v>-67506191</v>
      </c>
      <c r="H3787">
        <v>-67581182</v>
      </c>
      <c r="I3787">
        <v>-38549810</v>
      </c>
      <c r="J3787">
        <v>-24211800</v>
      </c>
      <c r="K3787">
        <v>-32900300</v>
      </c>
      <c r="P3787">
        <v>190</v>
      </c>
      <c r="Q3787" t="s">
        <v>7917</v>
      </c>
    </row>
    <row r="3788" spans="1:17" x14ac:dyDescent="0.3">
      <c r="A3788" t="s">
        <v>33</v>
      </c>
      <c r="B3788" t="str">
        <f>"300516"</f>
        <v>300516</v>
      </c>
      <c r="C3788" t="s">
        <v>7918</v>
      </c>
      <c r="D3788" t="s">
        <v>499</v>
      </c>
      <c r="E3788">
        <v>-121715551</v>
      </c>
      <c r="F3788">
        <v>-144417481</v>
      </c>
      <c r="G3788">
        <v>-33224533</v>
      </c>
      <c r="H3788">
        <v>-69691656</v>
      </c>
      <c r="I3788">
        <v>4222832</v>
      </c>
      <c r="J3788">
        <v>-105804025</v>
      </c>
      <c r="K3788">
        <v>-60336622</v>
      </c>
      <c r="L3788">
        <v>-39255543</v>
      </c>
      <c r="P3788">
        <v>118</v>
      </c>
      <c r="Q3788" t="s">
        <v>7919</v>
      </c>
    </row>
    <row r="3789" spans="1:17" x14ac:dyDescent="0.3">
      <c r="A3789" t="s">
        <v>33</v>
      </c>
      <c r="B3789" t="str">
        <f>"000636"</f>
        <v>000636</v>
      </c>
      <c r="C3789" t="s">
        <v>7920</v>
      </c>
      <c r="D3789" t="s">
        <v>869</v>
      </c>
      <c r="E3789">
        <v>-122063274</v>
      </c>
      <c r="F3789">
        <v>158277203</v>
      </c>
      <c r="G3789">
        <v>220596206</v>
      </c>
      <c r="H3789">
        <v>142680975</v>
      </c>
      <c r="I3789">
        <v>83265622</v>
      </c>
      <c r="J3789">
        <v>-31284380</v>
      </c>
      <c r="K3789">
        <v>85838826</v>
      </c>
      <c r="L3789">
        <v>-101190721</v>
      </c>
      <c r="M3789">
        <v>-32940477</v>
      </c>
      <c r="N3789">
        <v>-20602564</v>
      </c>
      <c r="O3789">
        <v>7578123</v>
      </c>
      <c r="P3789">
        <v>896</v>
      </c>
      <c r="Q3789" t="s">
        <v>7921</v>
      </c>
    </row>
    <row r="3790" spans="1:17" x14ac:dyDescent="0.3">
      <c r="A3790" t="s">
        <v>33</v>
      </c>
      <c r="B3790" t="str">
        <f>"000006"</f>
        <v>000006</v>
      </c>
      <c r="C3790" t="s">
        <v>7922</v>
      </c>
      <c r="D3790" t="s">
        <v>167</v>
      </c>
      <c r="E3790">
        <v>-122293478</v>
      </c>
      <c r="F3790">
        <v>309582993</v>
      </c>
      <c r="G3790">
        <v>-247987933</v>
      </c>
      <c r="H3790">
        <v>-167534670</v>
      </c>
      <c r="I3790">
        <v>-149788858</v>
      </c>
      <c r="J3790">
        <v>32610957</v>
      </c>
      <c r="K3790">
        <v>524404697</v>
      </c>
      <c r="L3790">
        <v>-739415098</v>
      </c>
      <c r="M3790">
        <v>-91132535</v>
      </c>
      <c r="N3790">
        <v>177001644</v>
      </c>
      <c r="O3790">
        <v>91181064</v>
      </c>
      <c r="P3790">
        <v>424</v>
      </c>
      <c r="Q3790" t="s">
        <v>7923</v>
      </c>
    </row>
    <row r="3791" spans="1:17" x14ac:dyDescent="0.3">
      <c r="A3791" t="s">
        <v>33</v>
      </c>
      <c r="B3791" t="str">
        <f>"002204"</f>
        <v>002204</v>
      </c>
      <c r="C3791" t="s">
        <v>7924</v>
      </c>
      <c r="D3791" t="s">
        <v>1132</v>
      </c>
      <c r="E3791">
        <v>-122324598</v>
      </c>
      <c r="F3791">
        <v>144263281</v>
      </c>
      <c r="G3791">
        <v>-235960488</v>
      </c>
      <c r="H3791">
        <v>-179205723</v>
      </c>
      <c r="I3791">
        <v>-334986602</v>
      </c>
      <c r="J3791">
        <v>-355314622</v>
      </c>
      <c r="K3791">
        <v>-172814896</v>
      </c>
      <c r="L3791">
        <v>-13204904</v>
      </c>
      <c r="M3791">
        <v>-86353669</v>
      </c>
      <c r="N3791">
        <v>89223226</v>
      </c>
      <c r="O3791">
        <v>224990446</v>
      </c>
      <c r="P3791">
        <v>137</v>
      </c>
      <c r="Q3791" t="s">
        <v>7925</v>
      </c>
    </row>
    <row r="3792" spans="1:17" x14ac:dyDescent="0.3">
      <c r="A3792" t="s">
        <v>33</v>
      </c>
      <c r="B3792" t="str">
        <f>"002746"</f>
        <v>002746</v>
      </c>
      <c r="C3792" t="s">
        <v>7926</v>
      </c>
      <c r="D3792" t="s">
        <v>1285</v>
      </c>
      <c r="E3792">
        <v>-122558361</v>
      </c>
      <c r="F3792">
        <v>56836868</v>
      </c>
      <c r="G3792">
        <v>159948620</v>
      </c>
      <c r="H3792">
        <v>120454651</v>
      </c>
      <c r="I3792">
        <v>-2694761</v>
      </c>
      <c r="J3792">
        <v>15583755</v>
      </c>
      <c r="K3792">
        <v>-22268852</v>
      </c>
      <c r="L3792">
        <v>23512322</v>
      </c>
      <c r="M3792">
        <v>4397487</v>
      </c>
      <c r="P3792">
        <v>457</v>
      </c>
      <c r="Q3792" t="s">
        <v>7927</v>
      </c>
    </row>
    <row r="3793" spans="1:17" x14ac:dyDescent="0.3">
      <c r="A3793" t="s">
        <v>33</v>
      </c>
      <c r="B3793" t="str">
        <f>"002902"</f>
        <v>002902</v>
      </c>
      <c r="C3793" t="s">
        <v>7928</v>
      </c>
      <c r="D3793" t="s">
        <v>461</v>
      </c>
      <c r="E3793">
        <v>-122622763</v>
      </c>
      <c r="F3793">
        <v>-36091173</v>
      </c>
      <c r="G3793">
        <v>88512110</v>
      </c>
      <c r="H3793">
        <v>73873096</v>
      </c>
      <c r="I3793">
        <v>-21497831</v>
      </c>
      <c r="J3793">
        <v>-30643948</v>
      </c>
      <c r="P3793">
        <v>216</v>
      </c>
      <c r="Q3793" t="s">
        <v>7929</v>
      </c>
    </row>
    <row r="3794" spans="1:17" x14ac:dyDescent="0.3">
      <c r="A3794" t="s">
        <v>17</v>
      </c>
      <c r="B3794" t="str">
        <f>"600826"</f>
        <v>600826</v>
      </c>
      <c r="C3794" t="s">
        <v>7930</v>
      </c>
      <c r="D3794" t="s">
        <v>2458</v>
      </c>
      <c r="E3794">
        <v>-122659712</v>
      </c>
      <c r="F3794">
        <v>-871633</v>
      </c>
      <c r="G3794">
        <v>-29057193</v>
      </c>
      <c r="H3794">
        <v>-88321678</v>
      </c>
      <c r="I3794">
        <v>-119363200</v>
      </c>
      <c r="J3794">
        <v>3887425</v>
      </c>
      <c r="K3794">
        <v>-11320883</v>
      </c>
      <c r="L3794">
        <v>6739711</v>
      </c>
      <c r="M3794">
        <v>-19526231</v>
      </c>
      <c r="N3794">
        <v>-14052977</v>
      </c>
      <c r="O3794">
        <v>-29306245</v>
      </c>
      <c r="P3794">
        <v>145</v>
      </c>
      <c r="Q3794" t="s">
        <v>7931</v>
      </c>
    </row>
    <row r="3795" spans="1:17" x14ac:dyDescent="0.3">
      <c r="A3795" t="s">
        <v>17</v>
      </c>
      <c r="B3795" t="str">
        <f>"688669"</f>
        <v>688669</v>
      </c>
      <c r="C3795" t="s">
        <v>7932</v>
      </c>
      <c r="D3795" t="s">
        <v>1556</v>
      </c>
      <c r="E3795">
        <v>-122660185</v>
      </c>
      <c r="F3795">
        <v>-95527522</v>
      </c>
      <c r="G3795">
        <v>4451968</v>
      </c>
      <c r="J3795">
        <v>-42704363</v>
      </c>
      <c r="P3795">
        <v>36</v>
      </c>
      <c r="Q3795" t="s">
        <v>7933</v>
      </c>
    </row>
    <row r="3796" spans="1:17" x14ac:dyDescent="0.3">
      <c r="A3796" t="s">
        <v>33</v>
      </c>
      <c r="B3796" t="str">
        <f>"301166"</f>
        <v>301166</v>
      </c>
      <c r="C3796" t="s">
        <v>7934</v>
      </c>
      <c r="D3796" t="s">
        <v>756</v>
      </c>
      <c r="E3796">
        <v>-122932770</v>
      </c>
      <c r="P3796">
        <v>21</v>
      </c>
      <c r="Q3796" t="s">
        <v>7935</v>
      </c>
    </row>
    <row r="3797" spans="1:17" x14ac:dyDescent="0.3">
      <c r="A3797" t="s">
        <v>17</v>
      </c>
      <c r="B3797" t="str">
        <f>"603017"</f>
        <v>603017</v>
      </c>
      <c r="C3797" t="s">
        <v>7936</v>
      </c>
      <c r="D3797" t="s">
        <v>4300</v>
      </c>
      <c r="E3797">
        <v>-123079012</v>
      </c>
      <c r="F3797">
        <v>-190841450</v>
      </c>
      <c r="G3797">
        <v>-169563168</v>
      </c>
      <c r="H3797">
        <v>-157376537</v>
      </c>
      <c r="I3797">
        <v>-178695862</v>
      </c>
      <c r="J3797">
        <v>-77743782</v>
      </c>
      <c r="K3797">
        <v>-309719994</v>
      </c>
      <c r="L3797">
        <v>-103169600</v>
      </c>
      <c r="M3797">
        <v>-70763484</v>
      </c>
      <c r="P3797">
        <v>121</v>
      </c>
      <c r="Q3797" t="s">
        <v>7937</v>
      </c>
    </row>
    <row r="3798" spans="1:17" x14ac:dyDescent="0.3">
      <c r="A3798" t="s">
        <v>33</v>
      </c>
      <c r="B3798" t="str">
        <f>"300075"</f>
        <v>300075</v>
      </c>
      <c r="C3798" t="s">
        <v>7938</v>
      </c>
      <c r="D3798" t="s">
        <v>807</v>
      </c>
      <c r="E3798">
        <v>-123484508</v>
      </c>
      <c r="F3798">
        <v>-145075310</v>
      </c>
      <c r="G3798">
        <v>-68035754</v>
      </c>
      <c r="H3798">
        <v>-111171038</v>
      </c>
      <c r="I3798">
        <v>-130672107</v>
      </c>
      <c r="J3798">
        <v>-122060854</v>
      </c>
      <c r="K3798">
        <v>-67239514</v>
      </c>
      <c r="L3798">
        <v>-21489713</v>
      </c>
      <c r="M3798">
        <v>-60561766</v>
      </c>
      <c r="N3798">
        <v>-22060544</v>
      </c>
      <c r="O3798">
        <v>-22938153</v>
      </c>
      <c r="P3798">
        <v>258</v>
      </c>
      <c r="Q3798" t="s">
        <v>7939</v>
      </c>
    </row>
    <row r="3799" spans="1:17" x14ac:dyDescent="0.3">
      <c r="A3799" t="s">
        <v>17</v>
      </c>
      <c r="B3799" t="str">
        <f>"600128"</f>
        <v>600128</v>
      </c>
      <c r="C3799" t="s">
        <v>7940</v>
      </c>
      <c r="D3799" t="s">
        <v>1592</v>
      </c>
      <c r="E3799">
        <v>-123826895</v>
      </c>
      <c r="F3799">
        <v>-271882611</v>
      </c>
      <c r="G3799">
        <v>-55251181</v>
      </c>
      <c r="H3799">
        <v>-9706337</v>
      </c>
      <c r="I3799">
        <v>-146009737</v>
      </c>
      <c r="J3799">
        <v>-106329297</v>
      </c>
      <c r="K3799">
        <v>-7329818</v>
      </c>
      <c r="L3799">
        <v>52000039</v>
      </c>
      <c r="M3799">
        <v>-191303541</v>
      </c>
      <c r="N3799">
        <v>10794250</v>
      </c>
      <c r="O3799">
        <v>21062570</v>
      </c>
      <c r="P3799">
        <v>77</v>
      </c>
      <c r="Q3799" t="s">
        <v>7941</v>
      </c>
    </row>
    <row r="3800" spans="1:17" x14ac:dyDescent="0.3">
      <c r="A3800" t="s">
        <v>17</v>
      </c>
      <c r="B3800" t="str">
        <f>"600400"</f>
        <v>600400</v>
      </c>
      <c r="C3800" t="s">
        <v>7942</v>
      </c>
      <c r="D3800" t="s">
        <v>581</v>
      </c>
      <c r="E3800">
        <v>-123841908</v>
      </c>
      <c r="F3800">
        <v>-116012114</v>
      </c>
      <c r="G3800">
        <v>83586971</v>
      </c>
      <c r="H3800">
        <v>-96989419</v>
      </c>
      <c r="I3800">
        <v>-85014472</v>
      </c>
      <c r="J3800">
        <v>-1087534829</v>
      </c>
      <c r="K3800">
        <v>64424751</v>
      </c>
      <c r="L3800">
        <v>105042884</v>
      </c>
      <c r="M3800">
        <v>-227593870</v>
      </c>
      <c r="N3800">
        <v>135505900</v>
      </c>
      <c r="O3800">
        <v>-27638709</v>
      </c>
      <c r="P3800">
        <v>165</v>
      </c>
      <c r="Q3800" t="s">
        <v>7943</v>
      </c>
    </row>
    <row r="3801" spans="1:17" x14ac:dyDescent="0.3">
      <c r="A3801" t="s">
        <v>33</v>
      </c>
      <c r="B3801" t="str">
        <f>"300870"</f>
        <v>300870</v>
      </c>
      <c r="C3801" t="s">
        <v>7944</v>
      </c>
      <c r="D3801" t="s">
        <v>2956</v>
      </c>
      <c r="E3801">
        <v>-123882793</v>
      </c>
      <c r="F3801">
        <v>26610156</v>
      </c>
      <c r="G3801">
        <v>38569035</v>
      </c>
      <c r="P3801">
        <v>131</v>
      </c>
      <c r="Q3801" t="s">
        <v>7945</v>
      </c>
    </row>
    <row r="3802" spans="1:17" x14ac:dyDescent="0.3">
      <c r="A3802" t="s">
        <v>17</v>
      </c>
      <c r="B3802" t="str">
        <f>"603216"</f>
        <v>603216</v>
      </c>
      <c r="C3802" t="s">
        <v>7946</v>
      </c>
      <c r="D3802" t="s">
        <v>5122</v>
      </c>
      <c r="E3802">
        <v>-124136766</v>
      </c>
      <c r="P3802">
        <v>22</v>
      </c>
      <c r="Q3802" t="s">
        <v>7947</v>
      </c>
    </row>
    <row r="3803" spans="1:17" x14ac:dyDescent="0.3">
      <c r="A3803" t="s">
        <v>17</v>
      </c>
      <c r="B3803" t="str">
        <f>"605319"</f>
        <v>605319</v>
      </c>
      <c r="C3803" t="s">
        <v>7948</v>
      </c>
      <c r="D3803" t="s">
        <v>1419</v>
      </c>
      <c r="E3803">
        <v>-124383199</v>
      </c>
      <c r="F3803">
        <v>101003282</v>
      </c>
      <c r="G3803">
        <v>577350</v>
      </c>
      <c r="P3803">
        <v>22</v>
      </c>
      <c r="Q3803" t="s">
        <v>7949</v>
      </c>
    </row>
    <row r="3804" spans="1:17" x14ac:dyDescent="0.3">
      <c r="A3804" t="s">
        <v>17</v>
      </c>
      <c r="B3804" t="str">
        <f>"688383"</f>
        <v>688383</v>
      </c>
      <c r="C3804" t="s">
        <v>7950</v>
      </c>
      <c r="D3804" t="s">
        <v>1895</v>
      </c>
      <c r="E3804">
        <v>-124474690</v>
      </c>
      <c r="F3804">
        <v>5380540</v>
      </c>
      <c r="G3804">
        <v>29264840</v>
      </c>
      <c r="P3804">
        <v>49</v>
      </c>
      <c r="Q3804" t="s">
        <v>7951</v>
      </c>
    </row>
    <row r="3805" spans="1:17" x14ac:dyDescent="0.3">
      <c r="A3805" t="s">
        <v>33</v>
      </c>
      <c r="B3805" t="str">
        <f>"300137"</f>
        <v>300137</v>
      </c>
      <c r="C3805" t="s">
        <v>7952</v>
      </c>
      <c r="D3805" t="s">
        <v>1763</v>
      </c>
      <c r="E3805">
        <v>-124499751</v>
      </c>
      <c r="F3805">
        <v>-135799661</v>
      </c>
      <c r="G3805">
        <v>-105910440</v>
      </c>
      <c r="H3805">
        <v>45499011</v>
      </c>
      <c r="I3805">
        <v>-171298567</v>
      </c>
      <c r="J3805">
        <v>-163408679</v>
      </c>
      <c r="K3805">
        <v>-107755859</v>
      </c>
      <c r="L3805">
        <v>-80487292</v>
      </c>
      <c r="M3805">
        <v>-66728370</v>
      </c>
      <c r="N3805">
        <v>-39206138</v>
      </c>
      <c r="O3805">
        <v>-23035735</v>
      </c>
      <c r="P3805">
        <v>253</v>
      </c>
      <c r="Q3805" t="s">
        <v>7953</v>
      </c>
    </row>
    <row r="3806" spans="1:17" x14ac:dyDescent="0.3">
      <c r="A3806" t="s">
        <v>17</v>
      </c>
      <c r="B3806" t="str">
        <f>"600425"</f>
        <v>600425</v>
      </c>
      <c r="C3806" t="s">
        <v>7954</v>
      </c>
      <c r="D3806" t="s">
        <v>260</v>
      </c>
      <c r="E3806">
        <v>-124821188</v>
      </c>
      <c r="F3806">
        <v>-74536922</v>
      </c>
      <c r="G3806">
        <v>-246720084</v>
      </c>
      <c r="H3806">
        <v>82865121</v>
      </c>
      <c r="I3806">
        <v>-65488040</v>
      </c>
      <c r="J3806">
        <v>8386070</v>
      </c>
      <c r="K3806">
        <v>-15901968</v>
      </c>
      <c r="L3806">
        <v>-229989848</v>
      </c>
      <c r="M3806">
        <v>-103821845</v>
      </c>
      <c r="N3806">
        <v>-140088018</v>
      </c>
      <c r="O3806">
        <v>-116857074</v>
      </c>
      <c r="P3806">
        <v>167</v>
      </c>
      <c r="Q3806" t="s">
        <v>7955</v>
      </c>
    </row>
    <row r="3807" spans="1:17" x14ac:dyDescent="0.3">
      <c r="A3807" t="s">
        <v>17</v>
      </c>
      <c r="B3807" t="str">
        <f>"688082"</f>
        <v>688082</v>
      </c>
      <c r="C3807" t="s">
        <v>7956</v>
      </c>
      <c r="D3807" t="s">
        <v>2201</v>
      </c>
      <c r="E3807">
        <v>-125521331</v>
      </c>
      <c r="P3807">
        <v>35</v>
      </c>
      <c r="Q3807" t="s">
        <v>7957</v>
      </c>
    </row>
    <row r="3808" spans="1:17" x14ac:dyDescent="0.3">
      <c r="A3808" t="s">
        <v>17</v>
      </c>
      <c r="B3808" t="str">
        <f>"603602"</f>
        <v>603602</v>
      </c>
      <c r="C3808" t="s">
        <v>7958</v>
      </c>
      <c r="D3808" t="s">
        <v>4393</v>
      </c>
      <c r="E3808">
        <v>-125585152</v>
      </c>
      <c r="F3808">
        <v>-196340100</v>
      </c>
      <c r="G3808">
        <v>-115484592</v>
      </c>
      <c r="H3808">
        <v>-172660920</v>
      </c>
      <c r="I3808">
        <v>-94189745</v>
      </c>
      <c r="J3808">
        <v>-106791565</v>
      </c>
      <c r="P3808">
        <v>193</v>
      </c>
      <c r="Q3808" t="s">
        <v>7959</v>
      </c>
    </row>
    <row r="3809" spans="1:17" x14ac:dyDescent="0.3">
      <c r="A3809" t="s">
        <v>17</v>
      </c>
      <c r="B3809" t="str">
        <f>"600135"</f>
        <v>600135</v>
      </c>
      <c r="C3809" t="s">
        <v>7960</v>
      </c>
      <c r="D3809" t="s">
        <v>1734</v>
      </c>
      <c r="E3809">
        <v>-125646019</v>
      </c>
      <c r="F3809">
        <v>-103956191</v>
      </c>
      <c r="G3809">
        <v>-107833553</v>
      </c>
      <c r="H3809">
        <v>11673470</v>
      </c>
      <c r="I3809">
        <v>-34293387</v>
      </c>
      <c r="J3809">
        <v>-86191984</v>
      </c>
      <c r="K3809">
        <v>-104187602</v>
      </c>
      <c r="L3809">
        <v>-60100384</v>
      </c>
      <c r="M3809">
        <v>-28828838</v>
      </c>
      <c r="N3809">
        <v>-47730217</v>
      </c>
      <c r="O3809">
        <v>-20246253</v>
      </c>
      <c r="P3809">
        <v>112</v>
      </c>
      <c r="Q3809" t="s">
        <v>7961</v>
      </c>
    </row>
    <row r="3810" spans="1:17" x14ac:dyDescent="0.3">
      <c r="A3810" t="s">
        <v>17</v>
      </c>
      <c r="B3810" t="str">
        <f>"603106"</f>
        <v>603106</v>
      </c>
      <c r="C3810" t="s">
        <v>7962</v>
      </c>
      <c r="D3810" t="s">
        <v>1571</v>
      </c>
      <c r="E3810">
        <v>-125762995</v>
      </c>
      <c r="F3810">
        <v>-132779404</v>
      </c>
      <c r="G3810">
        <v>-205719652</v>
      </c>
      <c r="H3810">
        <v>-65168350</v>
      </c>
      <c r="I3810">
        <v>-126872616</v>
      </c>
      <c r="J3810">
        <v>-202309593</v>
      </c>
      <c r="P3810">
        <v>2938</v>
      </c>
      <c r="Q3810" t="s">
        <v>7963</v>
      </c>
    </row>
    <row r="3811" spans="1:17" x14ac:dyDescent="0.3">
      <c r="A3811" t="s">
        <v>33</v>
      </c>
      <c r="B3811" t="str">
        <f>"300862"</f>
        <v>300862</v>
      </c>
      <c r="C3811" t="s">
        <v>7964</v>
      </c>
      <c r="D3811" t="s">
        <v>2417</v>
      </c>
      <c r="E3811">
        <v>-126276262</v>
      </c>
      <c r="F3811">
        <v>-146277264</v>
      </c>
      <c r="G3811">
        <v>-155289437</v>
      </c>
      <c r="P3811">
        <v>68</v>
      </c>
      <c r="Q3811" t="s">
        <v>7965</v>
      </c>
    </row>
    <row r="3812" spans="1:17" x14ac:dyDescent="0.3">
      <c r="A3812" t="s">
        <v>33</v>
      </c>
      <c r="B3812" t="str">
        <f>"002403"</f>
        <v>002403</v>
      </c>
      <c r="C3812" t="s">
        <v>7966</v>
      </c>
      <c r="D3812" t="s">
        <v>849</v>
      </c>
      <c r="E3812">
        <v>-126334096</v>
      </c>
      <c r="F3812">
        <v>-57064389</v>
      </c>
      <c r="G3812">
        <v>39628386</v>
      </c>
      <c r="H3812">
        <v>-103647019</v>
      </c>
      <c r="I3812">
        <v>72100035</v>
      </c>
      <c r="J3812">
        <v>55136365</v>
      </c>
      <c r="K3812">
        <v>94563562</v>
      </c>
      <c r="L3812">
        <v>37638618</v>
      </c>
      <c r="M3812">
        <v>47179356</v>
      </c>
      <c r="N3812">
        <v>62892542</v>
      </c>
      <c r="O3812">
        <v>83431840</v>
      </c>
      <c r="P3812">
        <v>151</v>
      </c>
      <c r="Q3812" t="s">
        <v>7967</v>
      </c>
    </row>
    <row r="3813" spans="1:17" x14ac:dyDescent="0.3">
      <c r="A3813" t="s">
        <v>33</v>
      </c>
      <c r="B3813" t="str">
        <f>"300662"</f>
        <v>300662</v>
      </c>
      <c r="C3813" t="s">
        <v>7968</v>
      </c>
      <c r="D3813" t="s">
        <v>7969</v>
      </c>
      <c r="E3813">
        <v>-126414947</v>
      </c>
      <c r="F3813">
        <v>-301283481</v>
      </c>
      <c r="G3813">
        <v>-1090161</v>
      </c>
      <c r="H3813">
        <v>-89407927</v>
      </c>
      <c r="I3813">
        <v>-67813177</v>
      </c>
      <c r="J3813">
        <v>-49868832</v>
      </c>
      <c r="K3813">
        <v>-47583112</v>
      </c>
      <c r="P3813">
        <v>688</v>
      </c>
      <c r="Q3813" t="s">
        <v>7970</v>
      </c>
    </row>
    <row r="3814" spans="1:17" x14ac:dyDescent="0.3">
      <c r="A3814" t="s">
        <v>17</v>
      </c>
      <c r="B3814" t="str">
        <f>"688456"</f>
        <v>688456</v>
      </c>
      <c r="C3814" t="s">
        <v>7971</v>
      </c>
      <c r="D3814" t="s">
        <v>153</v>
      </c>
      <c r="E3814">
        <v>-126881466</v>
      </c>
      <c r="F3814">
        <v>-82140593</v>
      </c>
      <c r="G3814">
        <v>-42980003</v>
      </c>
      <c r="P3814">
        <v>28</v>
      </c>
      <c r="Q3814" t="s">
        <v>7972</v>
      </c>
    </row>
    <row r="3815" spans="1:17" x14ac:dyDescent="0.3">
      <c r="A3815" t="s">
        <v>33</v>
      </c>
      <c r="B3815" t="str">
        <f>"000510"</f>
        <v>000510</v>
      </c>
      <c r="C3815" t="s">
        <v>7973</v>
      </c>
      <c r="D3815" t="s">
        <v>496</v>
      </c>
      <c r="E3815">
        <v>-127003837</v>
      </c>
      <c r="F3815">
        <v>-16562968</v>
      </c>
      <c r="G3815">
        <v>37874013</v>
      </c>
      <c r="H3815">
        <v>-88793519</v>
      </c>
      <c r="I3815">
        <v>-10918336</v>
      </c>
      <c r="J3815">
        <v>-45494666</v>
      </c>
      <c r="K3815">
        <v>-83665045</v>
      </c>
      <c r="L3815">
        <v>-185358779</v>
      </c>
      <c r="M3815">
        <v>37919030</v>
      </c>
      <c r="N3815">
        <v>-74665592</v>
      </c>
      <c r="O3815">
        <v>-10151152</v>
      </c>
      <c r="P3815">
        <v>128</v>
      </c>
      <c r="Q3815" t="s">
        <v>7974</v>
      </c>
    </row>
    <row r="3816" spans="1:17" x14ac:dyDescent="0.3">
      <c r="A3816" t="s">
        <v>17</v>
      </c>
      <c r="B3816" t="str">
        <f>"600210"</f>
        <v>600210</v>
      </c>
      <c r="C3816" t="s">
        <v>7975</v>
      </c>
      <c r="D3816" t="s">
        <v>1609</v>
      </c>
      <c r="E3816">
        <v>-127141220</v>
      </c>
      <c r="F3816">
        <v>-37089325</v>
      </c>
      <c r="G3816">
        <v>-129087628</v>
      </c>
      <c r="H3816">
        <v>-41259388</v>
      </c>
      <c r="I3816">
        <v>74698520</v>
      </c>
      <c r="J3816">
        <v>119285742</v>
      </c>
      <c r="K3816">
        <v>100977272</v>
      </c>
      <c r="L3816">
        <v>-19597695</v>
      </c>
      <c r="M3816">
        <v>4447739</v>
      </c>
      <c r="N3816">
        <v>152553622</v>
      </c>
      <c r="O3816">
        <v>-98912525</v>
      </c>
      <c r="P3816">
        <v>192</v>
      </c>
      <c r="Q3816" t="s">
        <v>7976</v>
      </c>
    </row>
    <row r="3817" spans="1:17" x14ac:dyDescent="0.3">
      <c r="A3817" t="s">
        <v>17</v>
      </c>
      <c r="B3817" t="str">
        <f>"601882"</f>
        <v>601882</v>
      </c>
      <c r="C3817" t="s">
        <v>7977</v>
      </c>
      <c r="D3817" t="s">
        <v>1910</v>
      </c>
      <c r="E3817">
        <v>-127780111</v>
      </c>
      <c r="F3817">
        <v>-135984353</v>
      </c>
      <c r="G3817">
        <v>4838257</v>
      </c>
      <c r="H3817">
        <v>1503784</v>
      </c>
      <c r="I3817">
        <v>-2868197</v>
      </c>
      <c r="J3817">
        <v>-19461523</v>
      </c>
      <c r="K3817">
        <v>7844915</v>
      </c>
      <c r="P3817">
        <v>188</v>
      </c>
      <c r="Q3817" t="s">
        <v>7978</v>
      </c>
    </row>
    <row r="3818" spans="1:17" x14ac:dyDescent="0.3">
      <c r="A3818" t="s">
        <v>17</v>
      </c>
      <c r="B3818" t="str">
        <f>"688311"</f>
        <v>688311</v>
      </c>
      <c r="C3818" t="s">
        <v>7979</v>
      </c>
      <c r="D3818" t="s">
        <v>617</v>
      </c>
      <c r="E3818">
        <v>-128071142</v>
      </c>
      <c r="F3818">
        <v>-15027199</v>
      </c>
      <c r="G3818">
        <v>-20451825</v>
      </c>
      <c r="H3818">
        <v>-23140985</v>
      </c>
      <c r="P3818">
        <v>74</v>
      </c>
      <c r="Q3818" t="s">
        <v>7980</v>
      </c>
    </row>
    <row r="3819" spans="1:17" x14ac:dyDescent="0.3">
      <c r="A3819" t="s">
        <v>17</v>
      </c>
      <c r="B3819" t="str">
        <f>"603326"</f>
        <v>603326</v>
      </c>
      <c r="C3819" t="s">
        <v>7981</v>
      </c>
      <c r="D3819" t="s">
        <v>5122</v>
      </c>
      <c r="E3819">
        <v>-128103335</v>
      </c>
      <c r="F3819">
        <v>-269867530</v>
      </c>
      <c r="G3819">
        <v>-112556157</v>
      </c>
      <c r="H3819">
        <v>-110940962</v>
      </c>
      <c r="I3819">
        <v>-128659251</v>
      </c>
      <c r="J3819">
        <v>7179803</v>
      </c>
      <c r="K3819">
        <v>-39798668</v>
      </c>
      <c r="P3819">
        <v>247</v>
      </c>
      <c r="Q3819" t="s">
        <v>7982</v>
      </c>
    </row>
    <row r="3820" spans="1:17" x14ac:dyDescent="0.3">
      <c r="A3820" t="s">
        <v>33</v>
      </c>
      <c r="B3820" t="str">
        <f>"002104"</f>
        <v>002104</v>
      </c>
      <c r="C3820" t="s">
        <v>7983</v>
      </c>
      <c r="D3820" t="s">
        <v>1347</v>
      </c>
      <c r="E3820">
        <v>-128511820</v>
      </c>
      <c r="F3820">
        <v>-84153751</v>
      </c>
      <c r="G3820">
        <v>-35653026</v>
      </c>
      <c r="H3820">
        <v>-120707939</v>
      </c>
      <c r="I3820">
        <v>104902533</v>
      </c>
      <c r="J3820">
        <v>-408882744</v>
      </c>
      <c r="K3820">
        <v>-110589204</v>
      </c>
      <c r="L3820">
        <v>-152633322</v>
      </c>
      <c r="M3820">
        <v>-68964069</v>
      </c>
      <c r="N3820">
        <v>-39128439</v>
      </c>
      <c r="O3820">
        <v>5826028</v>
      </c>
      <c r="P3820">
        <v>416</v>
      </c>
      <c r="Q3820" t="s">
        <v>7984</v>
      </c>
    </row>
    <row r="3821" spans="1:17" x14ac:dyDescent="0.3">
      <c r="A3821" t="s">
        <v>33</v>
      </c>
      <c r="B3821" t="str">
        <f>"002361"</f>
        <v>002361</v>
      </c>
      <c r="C3821" t="s">
        <v>7985</v>
      </c>
      <c r="D3821" t="s">
        <v>1817</v>
      </c>
      <c r="E3821">
        <v>-128750204</v>
      </c>
      <c r="F3821">
        <v>-106421009</v>
      </c>
      <c r="G3821">
        <v>-36284004</v>
      </c>
      <c r="H3821">
        <v>-13235782</v>
      </c>
      <c r="I3821">
        <v>27452778</v>
      </c>
      <c r="J3821">
        <v>-120049582</v>
      </c>
      <c r="K3821">
        <v>45116078</v>
      </c>
      <c r="L3821">
        <v>-18771574</v>
      </c>
      <c r="M3821">
        <v>11329863</v>
      </c>
      <c r="N3821">
        <v>-39406074</v>
      </c>
      <c r="O3821">
        <v>3319387</v>
      </c>
      <c r="P3821">
        <v>89</v>
      </c>
      <c r="Q3821" t="s">
        <v>7986</v>
      </c>
    </row>
    <row r="3822" spans="1:17" x14ac:dyDescent="0.3">
      <c r="A3822" t="s">
        <v>17</v>
      </c>
      <c r="B3822" t="str">
        <f>"603329"</f>
        <v>603329</v>
      </c>
      <c r="C3822" t="s">
        <v>7987</v>
      </c>
      <c r="D3822" t="s">
        <v>5270</v>
      </c>
      <c r="E3822">
        <v>-128910339</v>
      </c>
      <c r="F3822">
        <v>-42345317</v>
      </c>
      <c r="G3822">
        <v>-69714896</v>
      </c>
      <c r="H3822">
        <v>-3814656</v>
      </c>
      <c r="I3822">
        <v>-162663527</v>
      </c>
      <c r="J3822">
        <v>-51833233</v>
      </c>
      <c r="P3822">
        <v>62</v>
      </c>
      <c r="Q3822" t="s">
        <v>7988</v>
      </c>
    </row>
    <row r="3823" spans="1:17" x14ac:dyDescent="0.3">
      <c r="A3823" t="s">
        <v>33</v>
      </c>
      <c r="B3823" t="str">
        <f>"002749"</f>
        <v>002749</v>
      </c>
      <c r="C3823" t="s">
        <v>7989</v>
      </c>
      <c r="D3823" t="s">
        <v>636</v>
      </c>
      <c r="E3823">
        <v>-128922819</v>
      </c>
      <c r="F3823">
        <v>30661117</v>
      </c>
      <c r="G3823">
        <v>1897498</v>
      </c>
      <c r="H3823">
        <v>-13394114</v>
      </c>
      <c r="I3823">
        <v>11911760</v>
      </c>
      <c r="J3823">
        <v>-14789974</v>
      </c>
      <c r="K3823">
        <v>-6192485</v>
      </c>
      <c r="L3823">
        <v>7395798</v>
      </c>
      <c r="M3823">
        <v>-12834634</v>
      </c>
      <c r="P3823">
        <v>9783</v>
      </c>
      <c r="Q3823" t="s">
        <v>7990</v>
      </c>
    </row>
    <row r="3824" spans="1:17" x14ac:dyDescent="0.3">
      <c r="A3824" t="s">
        <v>33</v>
      </c>
      <c r="B3824" t="str">
        <f>"002234"</f>
        <v>002234</v>
      </c>
      <c r="C3824" t="s">
        <v>7991</v>
      </c>
      <c r="D3824" t="s">
        <v>1285</v>
      </c>
      <c r="E3824">
        <v>-129024483</v>
      </c>
      <c r="F3824">
        <v>115155964</v>
      </c>
      <c r="G3824">
        <v>115785421</v>
      </c>
      <c r="H3824">
        <v>396077551</v>
      </c>
      <c r="I3824">
        <v>-14322690</v>
      </c>
      <c r="J3824">
        <v>-52809307</v>
      </c>
      <c r="K3824">
        <v>54909276</v>
      </c>
      <c r="L3824">
        <v>181051392</v>
      </c>
      <c r="M3824">
        <v>-14258583</v>
      </c>
      <c r="N3824">
        <v>-52843127</v>
      </c>
      <c r="O3824">
        <v>-20328248</v>
      </c>
      <c r="P3824">
        <v>577</v>
      </c>
      <c r="Q3824" t="s">
        <v>7992</v>
      </c>
    </row>
    <row r="3825" spans="1:17" x14ac:dyDescent="0.3">
      <c r="A3825" t="s">
        <v>33</v>
      </c>
      <c r="B3825" t="str">
        <f>"000922"</f>
        <v>000922</v>
      </c>
      <c r="C3825" t="s">
        <v>7993</v>
      </c>
      <c r="D3825" t="s">
        <v>1091</v>
      </c>
      <c r="E3825">
        <v>-129843363</v>
      </c>
      <c r="F3825">
        <v>-42865208</v>
      </c>
      <c r="G3825">
        <v>60355485</v>
      </c>
      <c r="H3825">
        <v>81677258</v>
      </c>
      <c r="I3825">
        <v>31669698</v>
      </c>
      <c r="J3825">
        <v>5296827</v>
      </c>
      <c r="K3825">
        <v>39370590</v>
      </c>
      <c r="L3825">
        <v>14784889</v>
      </c>
      <c r="M3825">
        <v>-43498768</v>
      </c>
      <c r="N3825">
        <v>41353937</v>
      </c>
      <c r="O3825">
        <v>-4086689</v>
      </c>
      <c r="P3825">
        <v>261</v>
      </c>
      <c r="Q3825" t="s">
        <v>7994</v>
      </c>
    </row>
    <row r="3826" spans="1:17" x14ac:dyDescent="0.3">
      <c r="A3826" t="s">
        <v>33</v>
      </c>
      <c r="B3826" t="str">
        <f>"300007"</f>
        <v>300007</v>
      </c>
      <c r="C3826" t="s">
        <v>7995</v>
      </c>
      <c r="D3826" t="s">
        <v>2417</v>
      </c>
      <c r="E3826">
        <v>-130041576</v>
      </c>
      <c r="F3826">
        <v>-122296126</v>
      </c>
      <c r="G3826">
        <v>-16701191</v>
      </c>
      <c r="H3826">
        <v>92520075</v>
      </c>
      <c r="I3826">
        <v>-71481725</v>
      </c>
      <c r="J3826">
        <v>-68677034</v>
      </c>
      <c r="K3826">
        <v>-50173123</v>
      </c>
      <c r="L3826">
        <v>24210644</v>
      </c>
      <c r="M3826">
        <v>-1504947</v>
      </c>
      <c r="N3826">
        <v>-7934171</v>
      </c>
      <c r="O3826">
        <v>-22571563</v>
      </c>
      <c r="P3826">
        <v>314</v>
      </c>
      <c r="Q3826" t="s">
        <v>7996</v>
      </c>
    </row>
    <row r="3827" spans="1:17" x14ac:dyDescent="0.3">
      <c r="A3827" t="s">
        <v>17</v>
      </c>
      <c r="B3827" t="str">
        <f>"688326"</f>
        <v>688326</v>
      </c>
      <c r="C3827" t="s">
        <v>7997</v>
      </c>
      <c r="E3827">
        <v>-130109091</v>
      </c>
      <c r="F3827">
        <v>-97533486</v>
      </c>
      <c r="P3827">
        <v>3</v>
      </c>
      <c r="Q3827" t="s">
        <v>7998</v>
      </c>
    </row>
    <row r="3828" spans="1:17" x14ac:dyDescent="0.3">
      <c r="A3828" t="s">
        <v>33</v>
      </c>
      <c r="B3828" t="str">
        <f>"000782"</f>
        <v>000782</v>
      </c>
      <c r="C3828" t="s">
        <v>7999</v>
      </c>
      <c r="D3828" t="s">
        <v>861</v>
      </c>
      <c r="E3828">
        <v>-130344739</v>
      </c>
      <c r="F3828">
        <v>-119214382</v>
      </c>
      <c r="G3828">
        <v>-233291113</v>
      </c>
      <c r="H3828">
        <v>-109858520</v>
      </c>
      <c r="I3828">
        <v>-114842502</v>
      </c>
      <c r="J3828">
        <v>-158181846</v>
      </c>
      <c r="K3828">
        <v>29158423</v>
      </c>
      <c r="L3828">
        <v>32109032</v>
      </c>
      <c r="M3828">
        <v>-65521456</v>
      </c>
      <c r="N3828">
        <v>-124862700</v>
      </c>
      <c r="O3828">
        <v>28617137</v>
      </c>
      <c r="P3828">
        <v>64</v>
      </c>
      <c r="Q3828" t="s">
        <v>8000</v>
      </c>
    </row>
    <row r="3829" spans="1:17" x14ac:dyDescent="0.3">
      <c r="A3829" t="s">
        <v>17</v>
      </c>
      <c r="B3829" t="str">
        <f>"601599"</f>
        <v>601599</v>
      </c>
      <c r="C3829" t="s">
        <v>8001</v>
      </c>
      <c r="D3829" t="s">
        <v>1292</v>
      </c>
      <c r="E3829">
        <v>-130400939</v>
      </c>
      <c r="F3829">
        <v>-27683542</v>
      </c>
      <c r="G3829">
        <v>48542541</v>
      </c>
      <c r="H3829">
        <v>-10452702</v>
      </c>
      <c r="I3829">
        <v>75816577</v>
      </c>
      <c r="J3829">
        <v>-533202785</v>
      </c>
      <c r="K3829">
        <v>-234182408</v>
      </c>
      <c r="L3829">
        <v>-136819965</v>
      </c>
      <c r="M3829">
        <v>-68604689</v>
      </c>
      <c r="N3829">
        <v>39744521</v>
      </c>
      <c r="O3829">
        <v>-103604807</v>
      </c>
      <c r="P3829">
        <v>60</v>
      </c>
      <c r="Q3829" t="s">
        <v>8002</v>
      </c>
    </row>
    <row r="3830" spans="1:17" x14ac:dyDescent="0.3">
      <c r="A3830" t="s">
        <v>33</v>
      </c>
      <c r="B3830" t="str">
        <f>"002623"</f>
        <v>002623</v>
      </c>
      <c r="C3830" t="s">
        <v>8003</v>
      </c>
      <c r="D3830" t="s">
        <v>800</v>
      </c>
      <c r="E3830">
        <v>-130459203</v>
      </c>
      <c r="F3830">
        <v>20615109</v>
      </c>
      <c r="G3830">
        <v>23918505</v>
      </c>
      <c r="H3830">
        <v>14048942</v>
      </c>
      <c r="I3830">
        <v>-195927741</v>
      </c>
      <c r="J3830">
        <v>-25340619</v>
      </c>
      <c r="K3830">
        <v>-33026701</v>
      </c>
      <c r="L3830">
        <v>-57087865</v>
      </c>
      <c r="M3830">
        <v>88864980</v>
      </c>
      <c r="N3830">
        <v>84417998</v>
      </c>
      <c r="O3830">
        <v>41960886</v>
      </c>
      <c r="P3830">
        <v>172</v>
      </c>
      <c r="Q3830" t="s">
        <v>8004</v>
      </c>
    </row>
    <row r="3831" spans="1:17" x14ac:dyDescent="0.3">
      <c r="A3831" t="s">
        <v>33</v>
      </c>
      <c r="B3831" t="str">
        <f>"002995"</f>
        <v>002995</v>
      </c>
      <c r="C3831" t="s">
        <v>8005</v>
      </c>
      <c r="D3831" t="s">
        <v>1125</v>
      </c>
      <c r="E3831">
        <v>-130657968</v>
      </c>
      <c r="F3831">
        <v>-68987222</v>
      </c>
      <c r="G3831">
        <v>-21875636</v>
      </c>
      <c r="H3831">
        <v>-49851080</v>
      </c>
      <c r="P3831">
        <v>74</v>
      </c>
      <c r="Q3831" t="s">
        <v>8006</v>
      </c>
    </row>
    <row r="3832" spans="1:17" x14ac:dyDescent="0.3">
      <c r="A3832" t="s">
        <v>17</v>
      </c>
      <c r="B3832" t="str">
        <f>"600725"</f>
        <v>600725</v>
      </c>
      <c r="C3832" t="s">
        <v>8007</v>
      </c>
      <c r="D3832" t="s">
        <v>427</v>
      </c>
      <c r="E3832">
        <v>-131201135</v>
      </c>
      <c r="F3832">
        <v>-117717016</v>
      </c>
      <c r="G3832">
        <v>-47957628</v>
      </c>
      <c r="H3832">
        <v>56595411</v>
      </c>
      <c r="I3832">
        <v>27906744</v>
      </c>
      <c r="J3832">
        <v>-81427019</v>
      </c>
      <c r="K3832">
        <v>-11474137</v>
      </c>
      <c r="L3832">
        <v>-100186765</v>
      </c>
      <c r="M3832">
        <v>175951746</v>
      </c>
      <c r="N3832">
        <v>425167023</v>
      </c>
      <c r="O3832">
        <v>-104120345</v>
      </c>
      <c r="P3832">
        <v>69</v>
      </c>
      <c r="Q3832" t="s">
        <v>8008</v>
      </c>
    </row>
    <row r="3833" spans="1:17" x14ac:dyDescent="0.3">
      <c r="A3833" t="s">
        <v>33</v>
      </c>
      <c r="B3833" t="str">
        <f>"200530"</f>
        <v>200530</v>
      </c>
      <c r="C3833" t="s">
        <v>8009</v>
      </c>
      <c r="E3833">
        <v>-131839707.30599999</v>
      </c>
      <c r="F3833">
        <v>20770286.861499999</v>
      </c>
      <c r="G3833">
        <v>-88900908.966299996</v>
      </c>
      <c r="H3833">
        <v>-110120454.0882</v>
      </c>
      <c r="I3833">
        <v>-146580237.40149999</v>
      </c>
      <c r="J3833">
        <v>-154696274.88319999</v>
      </c>
      <c r="K3833">
        <v>-107800783.00229999</v>
      </c>
      <c r="L3833">
        <v>-160793492.5</v>
      </c>
      <c r="M3833">
        <v>-65166544.9168</v>
      </c>
      <c r="N3833">
        <v>-43486043.619599998</v>
      </c>
      <c r="O3833">
        <v>-124571049.147</v>
      </c>
      <c r="P3833">
        <v>25</v>
      </c>
      <c r="Q3833" t="s">
        <v>8010</v>
      </c>
    </row>
    <row r="3834" spans="1:17" x14ac:dyDescent="0.3">
      <c r="A3834" t="s">
        <v>17</v>
      </c>
      <c r="B3834" t="str">
        <f>"600312"</f>
        <v>600312</v>
      </c>
      <c r="C3834" t="s">
        <v>8011</v>
      </c>
      <c r="D3834" t="s">
        <v>298</v>
      </c>
      <c r="E3834">
        <v>-131944189</v>
      </c>
      <c r="F3834">
        <v>-213257865</v>
      </c>
      <c r="G3834">
        <v>-349033415</v>
      </c>
      <c r="H3834">
        <v>-362531101</v>
      </c>
      <c r="I3834">
        <v>-556227455</v>
      </c>
      <c r="J3834">
        <v>-1005123498</v>
      </c>
      <c r="K3834">
        <v>-307960808</v>
      </c>
      <c r="L3834">
        <v>-251136398</v>
      </c>
      <c r="M3834">
        <v>4414885</v>
      </c>
      <c r="N3834">
        <v>-420200770</v>
      </c>
      <c r="O3834">
        <v>-23174750</v>
      </c>
      <c r="P3834">
        <v>634</v>
      </c>
      <c r="Q3834" t="s">
        <v>8012</v>
      </c>
    </row>
    <row r="3835" spans="1:17" x14ac:dyDescent="0.3">
      <c r="A3835" t="s">
        <v>17</v>
      </c>
      <c r="B3835" t="str">
        <f>"600882"</f>
        <v>600882</v>
      </c>
      <c r="C3835" t="s">
        <v>8013</v>
      </c>
      <c r="D3835" t="s">
        <v>918</v>
      </c>
      <c r="E3835">
        <v>-131961886</v>
      </c>
      <c r="F3835">
        <v>3179567</v>
      </c>
      <c r="G3835">
        <v>21028979</v>
      </c>
      <c r="H3835">
        <v>25591576</v>
      </c>
      <c r="I3835">
        <v>-3882503</v>
      </c>
      <c r="J3835">
        <v>-47707520</v>
      </c>
      <c r="K3835">
        <v>-24752710</v>
      </c>
      <c r="L3835">
        <v>110273914</v>
      </c>
      <c r="M3835">
        <v>56328643</v>
      </c>
      <c r="N3835">
        <v>146354349</v>
      </c>
      <c r="O3835">
        <v>129523324</v>
      </c>
      <c r="P3835">
        <v>515</v>
      </c>
      <c r="Q3835" t="s">
        <v>8014</v>
      </c>
    </row>
    <row r="3836" spans="1:17" x14ac:dyDescent="0.3">
      <c r="A3836" t="s">
        <v>33</v>
      </c>
      <c r="B3836" t="str">
        <f>"301032"</f>
        <v>301032</v>
      </c>
      <c r="C3836" t="s">
        <v>8015</v>
      </c>
      <c r="D3836" t="s">
        <v>1033</v>
      </c>
      <c r="E3836">
        <v>-132221715</v>
      </c>
      <c r="F3836">
        <v>-230558586</v>
      </c>
      <c r="G3836">
        <v>-86460043</v>
      </c>
      <c r="P3836">
        <v>19</v>
      </c>
      <c r="Q3836" t="s">
        <v>8016</v>
      </c>
    </row>
    <row r="3837" spans="1:17" x14ac:dyDescent="0.3">
      <c r="A3837" t="s">
        <v>33</v>
      </c>
      <c r="B3837" t="str">
        <f>"002664"</f>
        <v>002664</v>
      </c>
      <c r="C3837" t="s">
        <v>8017</v>
      </c>
      <c r="D3837" t="s">
        <v>603</v>
      </c>
      <c r="E3837">
        <v>-132335142</v>
      </c>
      <c r="F3837">
        <v>73752946</v>
      </c>
      <c r="G3837">
        <v>34662244</v>
      </c>
      <c r="H3837">
        <v>39730838</v>
      </c>
      <c r="I3837">
        <v>-152986813</v>
      </c>
      <c r="J3837">
        <v>-84834332</v>
      </c>
      <c r="K3837">
        <v>55450031</v>
      </c>
      <c r="L3837">
        <v>-14875771</v>
      </c>
      <c r="M3837">
        <v>-47269937</v>
      </c>
      <c r="N3837">
        <v>-36894207</v>
      </c>
      <c r="O3837">
        <v>-13682149</v>
      </c>
      <c r="P3837">
        <v>232</v>
      </c>
      <c r="Q3837" t="s">
        <v>8018</v>
      </c>
    </row>
    <row r="3838" spans="1:17" x14ac:dyDescent="0.3">
      <c r="A3838" t="s">
        <v>33</v>
      </c>
      <c r="B3838" t="str">
        <f>"002413"</f>
        <v>002413</v>
      </c>
      <c r="C3838" t="s">
        <v>8019</v>
      </c>
      <c r="D3838" t="s">
        <v>617</v>
      </c>
      <c r="E3838">
        <v>-133025564</v>
      </c>
      <c r="F3838">
        <v>-167564931</v>
      </c>
      <c r="G3838">
        <v>-71386274</v>
      </c>
      <c r="H3838">
        <v>-147278372</v>
      </c>
      <c r="I3838">
        <v>-59769237</v>
      </c>
      <c r="J3838">
        <v>-86928328</v>
      </c>
      <c r="K3838">
        <v>-62978938</v>
      </c>
      <c r="L3838">
        <v>-14286359</v>
      </c>
      <c r="M3838">
        <v>-12780855</v>
      </c>
      <c r="N3838">
        <v>11659493</v>
      </c>
      <c r="O3838">
        <v>-51923105</v>
      </c>
      <c r="P3838">
        <v>218</v>
      </c>
      <c r="Q3838" t="s">
        <v>8020</v>
      </c>
    </row>
    <row r="3839" spans="1:17" x14ac:dyDescent="0.3">
      <c r="A3839" t="s">
        <v>17</v>
      </c>
      <c r="B3839" t="str">
        <f>"603232"</f>
        <v>603232</v>
      </c>
      <c r="C3839" t="s">
        <v>8021</v>
      </c>
      <c r="D3839" t="s">
        <v>807</v>
      </c>
      <c r="E3839">
        <v>-133429082</v>
      </c>
      <c r="F3839">
        <v>-85961472</v>
      </c>
      <c r="G3839">
        <v>-63676577</v>
      </c>
      <c r="H3839">
        <v>-25442433</v>
      </c>
      <c r="I3839">
        <v>-41181850</v>
      </c>
      <c r="J3839">
        <v>-28539994</v>
      </c>
      <c r="K3839">
        <v>-39578996</v>
      </c>
      <c r="P3839">
        <v>159</v>
      </c>
      <c r="Q3839" t="s">
        <v>8022</v>
      </c>
    </row>
    <row r="3840" spans="1:17" x14ac:dyDescent="0.3">
      <c r="A3840" t="s">
        <v>33</v>
      </c>
      <c r="B3840" t="str">
        <f>"002671"</f>
        <v>002671</v>
      </c>
      <c r="C3840" t="s">
        <v>8023</v>
      </c>
      <c r="D3840" t="s">
        <v>3447</v>
      </c>
      <c r="E3840">
        <v>-133695302</v>
      </c>
      <c r="F3840">
        <v>-140613858</v>
      </c>
      <c r="G3840">
        <v>-112101274</v>
      </c>
      <c r="H3840">
        <v>-18600280</v>
      </c>
      <c r="I3840">
        <v>-51727857</v>
      </c>
      <c r="J3840">
        <v>-21970658</v>
      </c>
      <c r="K3840">
        <v>-8385308</v>
      </c>
      <c r="L3840">
        <v>-180317989</v>
      </c>
      <c r="M3840">
        <v>-157877496</v>
      </c>
      <c r="N3840">
        <v>-17997946</v>
      </c>
      <c r="O3840">
        <v>11396466</v>
      </c>
      <c r="P3840">
        <v>68</v>
      </c>
      <c r="Q3840" t="s">
        <v>8024</v>
      </c>
    </row>
    <row r="3841" spans="1:17" x14ac:dyDescent="0.3">
      <c r="A3841" t="s">
        <v>33</v>
      </c>
      <c r="B3841" t="str">
        <f>"000607"</f>
        <v>000607</v>
      </c>
      <c r="C3841" t="s">
        <v>8025</v>
      </c>
      <c r="D3841" t="s">
        <v>377</v>
      </c>
      <c r="E3841">
        <v>-134220165</v>
      </c>
      <c r="F3841">
        <v>-145980176</v>
      </c>
      <c r="G3841">
        <v>-153915366</v>
      </c>
      <c r="H3841">
        <v>-143364655</v>
      </c>
      <c r="I3841">
        <v>-72112737</v>
      </c>
      <c r="J3841">
        <v>-106722074</v>
      </c>
      <c r="K3841">
        <v>-96534038</v>
      </c>
      <c r="L3841">
        <v>155514407</v>
      </c>
      <c r="M3841">
        <v>-109495526</v>
      </c>
      <c r="N3841">
        <v>-120919654</v>
      </c>
      <c r="O3841">
        <v>-145198780</v>
      </c>
      <c r="P3841">
        <v>109</v>
      </c>
      <c r="Q3841" t="s">
        <v>8026</v>
      </c>
    </row>
    <row r="3842" spans="1:17" x14ac:dyDescent="0.3">
      <c r="A3842" t="s">
        <v>33</v>
      </c>
      <c r="B3842" t="str">
        <f>"000901"</f>
        <v>000901</v>
      </c>
      <c r="C3842" t="s">
        <v>8027</v>
      </c>
      <c r="D3842" t="s">
        <v>617</v>
      </c>
      <c r="E3842">
        <v>-134985000</v>
      </c>
      <c r="F3842">
        <v>-51707690</v>
      </c>
      <c r="G3842">
        <v>27218779</v>
      </c>
      <c r="H3842">
        <v>-46806734</v>
      </c>
      <c r="I3842">
        <v>-76839255</v>
      </c>
      <c r="J3842">
        <v>93709415</v>
      </c>
      <c r="K3842">
        <v>-11807494</v>
      </c>
      <c r="L3842">
        <v>-124064181</v>
      </c>
      <c r="M3842">
        <v>-49679517</v>
      </c>
      <c r="N3842">
        <v>-87140395</v>
      </c>
      <c r="O3842">
        <v>-102129288</v>
      </c>
      <c r="P3842">
        <v>224</v>
      </c>
      <c r="Q3842" t="s">
        <v>8028</v>
      </c>
    </row>
    <row r="3843" spans="1:17" x14ac:dyDescent="0.3">
      <c r="A3843" t="s">
        <v>17</v>
      </c>
      <c r="B3843" t="str">
        <f>"600834"</f>
        <v>600834</v>
      </c>
      <c r="C3843" t="s">
        <v>8029</v>
      </c>
      <c r="D3843" t="s">
        <v>1216</v>
      </c>
      <c r="E3843">
        <v>-135229281</v>
      </c>
      <c r="F3843">
        <v>-14284872</v>
      </c>
      <c r="G3843">
        <v>110038727</v>
      </c>
      <c r="H3843">
        <v>132043250</v>
      </c>
      <c r="I3843">
        <v>70649834</v>
      </c>
      <c r="J3843">
        <v>-25082951</v>
      </c>
      <c r="K3843">
        <v>30775352</v>
      </c>
      <c r="L3843">
        <v>75807026</v>
      </c>
      <c r="M3843">
        <v>-139183541</v>
      </c>
      <c r="N3843">
        <v>63198826</v>
      </c>
      <c r="O3843">
        <v>68236663</v>
      </c>
      <c r="P3843">
        <v>120</v>
      </c>
      <c r="Q3843" t="s">
        <v>8030</v>
      </c>
    </row>
    <row r="3844" spans="1:17" x14ac:dyDescent="0.3">
      <c r="A3844" t="s">
        <v>17</v>
      </c>
      <c r="B3844" t="str">
        <f>"603123"</f>
        <v>603123</v>
      </c>
      <c r="C3844" t="s">
        <v>8031</v>
      </c>
      <c r="D3844" t="s">
        <v>989</v>
      </c>
      <c r="E3844">
        <v>-135607185</v>
      </c>
      <c r="F3844">
        <v>-51942908</v>
      </c>
      <c r="G3844">
        <v>-251727280</v>
      </c>
      <c r="H3844">
        <v>-33274620</v>
      </c>
      <c r="I3844">
        <v>8610353</v>
      </c>
      <c r="J3844">
        <v>-6969679</v>
      </c>
      <c r="K3844">
        <v>17489343</v>
      </c>
      <c r="L3844">
        <v>50381134</v>
      </c>
      <c r="M3844">
        <v>40560384</v>
      </c>
      <c r="N3844">
        <v>230998488</v>
      </c>
      <c r="O3844">
        <v>168551225</v>
      </c>
      <c r="P3844">
        <v>100</v>
      </c>
      <c r="Q3844" t="s">
        <v>8032</v>
      </c>
    </row>
    <row r="3845" spans="1:17" x14ac:dyDescent="0.3">
      <c r="A3845" t="s">
        <v>33</v>
      </c>
      <c r="B3845" t="str">
        <f>"300889"</f>
        <v>300889</v>
      </c>
      <c r="C3845" t="s">
        <v>8033</v>
      </c>
      <c r="D3845" t="s">
        <v>1299</v>
      </c>
      <c r="E3845">
        <v>-135849609</v>
      </c>
      <c r="F3845">
        <v>-125566414</v>
      </c>
      <c r="G3845">
        <v>-90462111</v>
      </c>
      <c r="H3845">
        <v>-94109223</v>
      </c>
      <c r="P3845">
        <v>37</v>
      </c>
      <c r="Q3845" t="s">
        <v>8034</v>
      </c>
    </row>
    <row r="3846" spans="1:17" x14ac:dyDescent="0.3">
      <c r="A3846" t="s">
        <v>33</v>
      </c>
      <c r="B3846" t="str">
        <f>"300996"</f>
        <v>300996</v>
      </c>
      <c r="C3846" t="s">
        <v>8035</v>
      </c>
      <c r="D3846" t="s">
        <v>807</v>
      </c>
      <c r="E3846">
        <v>-135964284</v>
      </c>
      <c r="F3846">
        <v>-87445872</v>
      </c>
      <c r="G3846">
        <v>-48092058</v>
      </c>
      <c r="P3846">
        <v>42</v>
      </c>
      <c r="Q3846" t="s">
        <v>8036</v>
      </c>
    </row>
    <row r="3847" spans="1:17" x14ac:dyDescent="0.3">
      <c r="A3847" t="s">
        <v>17</v>
      </c>
      <c r="B3847" t="str">
        <f>"600190"</f>
        <v>600190</v>
      </c>
      <c r="C3847" t="s">
        <v>8037</v>
      </c>
      <c r="D3847" t="s">
        <v>289</v>
      </c>
      <c r="E3847">
        <v>-136049572</v>
      </c>
      <c r="F3847">
        <v>29756619</v>
      </c>
      <c r="G3847">
        <v>190156666</v>
      </c>
      <c r="H3847">
        <v>26418773</v>
      </c>
      <c r="I3847">
        <v>170874048</v>
      </c>
      <c r="J3847">
        <v>31121359</v>
      </c>
      <c r="K3847">
        <v>206944949</v>
      </c>
      <c r="L3847">
        <v>175875492</v>
      </c>
      <c r="M3847">
        <v>76571187</v>
      </c>
      <c r="N3847">
        <v>71285255</v>
      </c>
      <c r="O3847">
        <v>78512103</v>
      </c>
      <c r="P3847">
        <v>90</v>
      </c>
      <c r="Q3847" t="s">
        <v>8038</v>
      </c>
    </row>
    <row r="3848" spans="1:17" x14ac:dyDescent="0.3">
      <c r="A3848" t="s">
        <v>17</v>
      </c>
      <c r="B3848" t="str">
        <f>"688696"</f>
        <v>688696</v>
      </c>
      <c r="C3848" t="s">
        <v>8039</v>
      </c>
      <c r="D3848" t="s">
        <v>451</v>
      </c>
      <c r="E3848">
        <v>-136089406</v>
      </c>
      <c r="F3848">
        <v>61370511</v>
      </c>
      <c r="G3848">
        <v>55369792</v>
      </c>
      <c r="P3848">
        <v>150</v>
      </c>
      <c r="Q3848" t="s">
        <v>8040</v>
      </c>
    </row>
    <row r="3849" spans="1:17" x14ac:dyDescent="0.3">
      <c r="A3849" t="s">
        <v>17</v>
      </c>
      <c r="B3849" t="str">
        <f>"600229"</f>
        <v>600229</v>
      </c>
      <c r="C3849" t="s">
        <v>8041</v>
      </c>
      <c r="D3849" t="s">
        <v>1501</v>
      </c>
      <c r="E3849">
        <v>-136089894</v>
      </c>
      <c r="F3849">
        <v>-15158941</v>
      </c>
      <c r="G3849">
        <v>-123155651</v>
      </c>
      <c r="H3849">
        <v>-75190921</v>
      </c>
      <c r="I3849">
        <v>-96173635</v>
      </c>
      <c r="J3849">
        <v>-82735802</v>
      </c>
      <c r="K3849">
        <v>-66912004</v>
      </c>
      <c r="L3849">
        <v>-36812408</v>
      </c>
      <c r="M3849">
        <v>-28729336</v>
      </c>
      <c r="N3849">
        <v>-23578355</v>
      </c>
      <c r="O3849">
        <v>588524</v>
      </c>
      <c r="P3849">
        <v>174</v>
      </c>
      <c r="Q3849" t="s">
        <v>8042</v>
      </c>
    </row>
    <row r="3850" spans="1:17" x14ac:dyDescent="0.3">
      <c r="A3850" t="s">
        <v>33</v>
      </c>
      <c r="B3850" t="str">
        <f>"002286"</f>
        <v>002286</v>
      </c>
      <c r="C3850" t="s">
        <v>8043</v>
      </c>
      <c r="D3850" t="s">
        <v>1820</v>
      </c>
      <c r="E3850">
        <v>-136105401</v>
      </c>
      <c r="F3850">
        <v>46468414</v>
      </c>
      <c r="G3850">
        <v>162922972</v>
      </c>
      <c r="H3850">
        <v>-53438277</v>
      </c>
      <c r="I3850">
        <v>33978191</v>
      </c>
      <c r="J3850">
        <v>-7273424</v>
      </c>
      <c r="K3850">
        <v>-22208330</v>
      </c>
      <c r="L3850">
        <v>-70903932</v>
      </c>
      <c r="M3850">
        <v>34504802</v>
      </c>
      <c r="N3850">
        <v>10031902</v>
      </c>
      <c r="O3850">
        <v>38437829</v>
      </c>
      <c r="P3850">
        <v>179</v>
      </c>
      <c r="Q3850" t="s">
        <v>8044</v>
      </c>
    </row>
    <row r="3851" spans="1:17" x14ac:dyDescent="0.3">
      <c r="A3851" t="s">
        <v>17</v>
      </c>
      <c r="B3851" t="str">
        <f>"600804"</f>
        <v>600804</v>
      </c>
      <c r="C3851" t="s">
        <v>8045</v>
      </c>
      <c r="D3851" t="s">
        <v>49</v>
      </c>
      <c r="E3851">
        <v>-136429997</v>
      </c>
      <c r="F3851">
        <v>302373159</v>
      </c>
      <c r="G3851">
        <v>278345686</v>
      </c>
      <c r="H3851">
        <v>-131135606</v>
      </c>
      <c r="I3851">
        <v>274084644</v>
      </c>
      <c r="J3851">
        <v>737939972</v>
      </c>
      <c r="K3851">
        <v>857682041</v>
      </c>
      <c r="L3851">
        <v>880443899</v>
      </c>
      <c r="M3851">
        <v>632779964</v>
      </c>
      <c r="N3851">
        <v>300055323</v>
      </c>
      <c r="O3851">
        <v>-265552222</v>
      </c>
      <c r="P3851">
        <v>460</v>
      </c>
      <c r="Q3851" t="s">
        <v>8046</v>
      </c>
    </row>
    <row r="3852" spans="1:17" x14ac:dyDescent="0.3">
      <c r="A3852" t="s">
        <v>17</v>
      </c>
      <c r="B3852" t="str">
        <f>"603324"</f>
        <v>603324</v>
      </c>
      <c r="C3852" t="s">
        <v>8047</v>
      </c>
      <c r="D3852" t="s">
        <v>1763</v>
      </c>
      <c r="E3852">
        <v>-136516644</v>
      </c>
      <c r="F3852">
        <v>-117381055</v>
      </c>
      <c r="G3852">
        <v>-70993049</v>
      </c>
      <c r="P3852">
        <v>29</v>
      </c>
      <c r="Q3852" t="s">
        <v>8048</v>
      </c>
    </row>
    <row r="3853" spans="1:17" x14ac:dyDescent="0.3">
      <c r="A3853" t="s">
        <v>33</v>
      </c>
      <c r="B3853" t="str">
        <f>"000988"</f>
        <v>000988</v>
      </c>
      <c r="C3853" t="s">
        <v>8049</v>
      </c>
      <c r="D3853" t="s">
        <v>3169</v>
      </c>
      <c r="E3853">
        <v>-136645953</v>
      </c>
      <c r="F3853">
        <v>-208880421</v>
      </c>
      <c r="G3853">
        <v>-80382196</v>
      </c>
      <c r="H3853">
        <v>-98126443</v>
      </c>
      <c r="I3853">
        <v>-383126241</v>
      </c>
      <c r="J3853">
        <v>-354721394</v>
      </c>
      <c r="K3853">
        <v>-55443864</v>
      </c>
      <c r="L3853">
        <v>-166543144</v>
      </c>
      <c r="M3853">
        <v>-107802176</v>
      </c>
      <c r="N3853">
        <v>-15336846</v>
      </c>
      <c r="O3853">
        <v>-23245560</v>
      </c>
      <c r="P3853">
        <v>710</v>
      </c>
      <c r="Q3853" t="s">
        <v>8050</v>
      </c>
    </row>
    <row r="3854" spans="1:17" x14ac:dyDescent="0.3">
      <c r="A3854" t="s">
        <v>33</v>
      </c>
      <c r="B3854" t="str">
        <f>"300248"</f>
        <v>300248</v>
      </c>
      <c r="C3854" t="s">
        <v>8051</v>
      </c>
      <c r="D3854" t="s">
        <v>1571</v>
      </c>
      <c r="E3854">
        <v>-136831134</v>
      </c>
      <c r="F3854">
        <v>-78662578</v>
      </c>
      <c r="G3854">
        <v>-101260197</v>
      </c>
      <c r="H3854">
        <v>-119943463</v>
      </c>
      <c r="I3854">
        <v>-129001258</v>
      </c>
      <c r="J3854">
        <v>-81051207</v>
      </c>
      <c r="K3854">
        <v>-50283343</v>
      </c>
      <c r="L3854">
        <v>-40591322</v>
      </c>
      <c r="M3854">
        <v>-22851205</v>
      </c>
      <c r="N3854">
        <v>-24678570</v>
      </c>
      <c r="O3854">
        <v>-17286507</v>
      </c>
      <c r="P3854">
        <v>209</v>
      </c>
      <c r="Q3854" t="s">
        <v>8052</v>
      </c>
    </row>
    <row r="3855" spans="1:17" x14ac:dyDescent="0.3">
      <c r="A3855" t="s">
        <v>17</v>
      </c>
      <c r="B3855" t="str">
        <f>"600993"</f>
        <v>600993</v>
      </c>
      <c r="C3855" t="s">
        <v>8053</v>
      </c>
      <c r="D3855" t="s">
        <v>533</v>
      </c>
      <c r="E3855">
        <v>-137319702</v>
      </c>
      <c r="F3855">
        <v>-119998544</v>
      </c>
      <c r="G3855">
        <v>4790460</v>
      </c>
      <c r="H3855">
        <v>28802787</v>
      </c>
      <c r="I3855">
        <v>-47499002</v>
      </c>
      <c r="J3855">
        <v>56871232</v>
      </c>
      <c r="K3855">
        <v>5000182</v>
      </c>
      <c r="L3855">
        <v>-23421815</v>
      </c>
      <c r="M3855">
        <v>-8024798</v>
      </c>
      <c r="N3855">
        <v>11193107</v>
      </c>
      <c r="O3855">
        <v>4600549</v>
      </c>
      <c r="P3855">
        <v>942</v>
      </c>
      <c r="Q3855" t="s">
        <v>8054</v>
      </c>
    </row>
    <row r="3856" spans="1:17" x14ac:dyDescent="0.3">
      <c r="A3856" t="s">
        <v>17</v>
      </c>
      <c r="B3856" t="str">
        <f>"603915"</f>
        <v>603915</v>
      </c>
      <c r="C3856" t="s">
        <v>8055</v>
      </c>
      <c r="D3856" t="s">
        <v>164</v>
      </c>
      <c r="E3856">
        <v>-137801329</v>
      </c>
      <c r="F3856">
        <v>17807858</v>
      </c>
      <c r="G3856">
        <v>-47772234</v>
      </c>
      <c r="H3856">
        <v>-113086300</v>
      </c>
      <c r="I3856">
        <v>-92346900</v>
      </c>
      <c r="P3856">
        <v>160</v>
      </c>
      <c r="Q3856" t="s">
        <v>8056</v>
      </c>
    </row>
    <row r="3857" spans="1:17" x14ac:dyDescent="0.3">
      <c r="A3857" t="s">
        <v>33</v>
      </c>
      <c r="B3857" t="str">
        <f>"002391"</f>
        <v>002391</v>
      </c>
      <c r="C3857" t="s">
        <v>8057</v>
      </c>
      <c r="D3857" t="s">
        <v>636</v>
      </c>
      <c r="E3857">
        <v>-137829181</v>
      </c>
      <c r="F3857">
        <v>-149211888</v>
      </c>
      <c r="G3857">
        <v>2758753</v>
      </c>
      <c r="H3857">
        <v>64572543</v>
      </c>
      <c r="I3857">
        <v>-23501066</v>
      </c>
      <c r="J3857">
        <v>-21378266</v>
      </c>
      <c r="K3857">
        <v>91084497</v>
      </c>
      <c r="L3857">
        <v>152758324</v>
      </c>
      <c r="M3857">
        <v>35168735</v>
      </c>
      <c r="N3857">
        <v>20195624</v>
      </c>
      <c r="O3857">
        <v>15651597</v>
      </c>
      <c r="P3857">
        <v>192</v>
      </c>
      <c r="Q3857" t="s">
        <v>8058</v>
      </c>
    </row>
    <row r="3858" spans="1:17" x14ac:dyDescent="0.3">
      <c r="A3858" t="s">
        <v>17</v>
      </c>
      <c r="B3858" t="str">
        <f>"603659"</f>
        <v>603659</v>
      </c>
      <c r="C3858" t="s">
        <v>8059</v>
      </c>
      <c r="D3858" t="s">
        <v>795</v>
      </c>
      <c r="E3858">
        <v>-138104407</v>
      </c>
      <c r="F3858">
        <v>441939253</v>
      </c>
      <c r="G3858">
        <v>155913642</v>
      </c>
      <c r="H3858">
        <v>-127049376</v>
      </c>
      <c r="I3858">
        <v>13825259</v>
      </c>
      <c r="J3858">
        <v>23756080</v>
      </c>
      <c r="P3858">
        <v>1047</v>
      </c>
      <c r="Q3858" t="s">
        <v>8060</v>
      </c>
    </row>
    <row r="3859" spans="1:17" x14ac:dyDescent="0.3">
      <c r="A3859" t="s">
        <v>17</v>
      </c>
      <c r="B3859" t="str">
        <f>"603596"</f>
        <v>603596</v>
      </c>
      <c r="C3859" t="s">
        <v>8061</v>
      </c>
      <c r="D3859" t="s">
        <v>858</v>
      </c>
      <c r="E3859">
        <v>-138125196</v>
      </c>
      <c r="F3859">
        <v>-75477456</v>
      </c>
      <c r="G3859">
        <v>171467859</v>
      </c>
      <c r="H3859">
        <v>161999768</v>
      </c>
      <c r="I3859">
        <v>-94138880</v>
      </c>
      <c r="J3859">
        <v>47018276</v>
      </c>
      <c r="P3859">
        <v>369</v>
      </c>
      <c r="Q3859" t="s">
        <v>8062</v>
      </c>
    </row>
    <row r="3860" spans="1:17" x14ac:dyDescent="0.3">
      <c r="A3860" t="s">
        <v>33</v>
      </c>
      <c r="B3860" t="str">
        <f>"002918"</f>
        <v>002918</v>
      </c>
      <c r="C3860" t="s">
        <v>8063</v>
      </c>
      <c r="D3860" t="s">
        <v>2743</v>
      </c>
      <c r="E3860">
        <v>-138158849</v>
      </c>
      <c r="F3860">
        <v>-229686749</v>
      </c>
      <c r="G3860">
        <v>-634991239</v>
      </c>
      <c r="H3860">
        <v>81462875</v>
      </c>
      <c r="I3860">
        <v>-39903480</v>
      </c>
      <c r="J3860">
        <v>25444328</v>
      </c>
      <c r="P3860">
        <v>529</v>
      </c>
      <c r="Q3860" t="s">
        <v>8064</v>
      </c>
    </row>
    <row r="3861" spans="1:17" x14ac:dyDescent="0.3">
      <c r="A3861" t="s">
        <v>17</v>
      </c>
      <c r="B3861" t="str">
        <f>"603039"</f>
        <v>603039</v>
      </c>
      <c r="C3861" t="s">
        <v>8065</v>
      </c>
      <c r="D3861" t="s">
        <v>1713</v>
      </c>
      <c r="E3861">
        <v>-138468539</v>
      </c>
      <c r="F3861">
        <v>-82168561</v>
      </c>
      <c r="G3861">
        <v>-98378774</v>
      </c>
      <c r="H3861">
        <v>-29147825</v>
      </c>
      <c r="I3861">
        <v>-27630604</v>
      </c>
      <c r="J3861">
        <v>-21960570</v>
      </c>
      <c r="K3861">
        <v>-4525649</v>
      </c>
      <c r="P3861">
        <v>609</v>
      </c>
      <c r="Q3861" t="s">
        <v>8066</v>
      </c>
    </row>
    <row r="3862" spans="1:17" x14ac:dyDescent="0.3">
      <c r="A3862" t="s">
        <v>17</v>
      </c>
      <c r="B3862" t="str">
        <f>"600620"</f>
        <v>600620</v>
      </c>
      <c r="C3862" t="s">
        <v>8067</v>
      </c>
      <c r="D3862" t="s">
        <v>523</v>
      </c>
      <c r="E3862">
        <v>-138625316</v>
      </c>
      <c r="F3862">
        <v>-42997539</v>
      </c>
      <c r="G3862">
        <v>-2930952</v>
      </c>
      <c r="H3862">
        <v>-3265773</v>
      </c>
      <c r="I3862">
        <v>-2740326</v>
      </c>
      <c r="J3862">
        <v>-19037172</v>
      </c>
      <c r="K3862">
        <v>-6405251</v>
      </c>
      <c r="L3862">
        <v>430731</v>
      </c>
      <c r="M3862">
        <v>-6767741</v>
      </c>
      <c r="N3862">
        <v>-9373505</v>
      </c>
      <c r="O3862">
        <v>-6458230</v>
      </c>
      <c r="P3862">
        <v>66</v>
      </c>
      <c r="Q3862" t="s">
        <v>8068</v>
      </c>
    </row>
    <row r="3863" spans="1:17" x14ac:dyDescent="0.3">
      <c r="A3863" t="s">
        <v>33</v>
      </c>
      <c r="B3863" t="str">
        <f>"200706"</f>
        <v>200706</v>
      </c>
      <c r="C3863" t="s">
        <v>8069</v>
      </c>
      <c r="E3863">
        <v>-138720428.37200001</v>
      </c>
      <c r="F3863">
        <v>-32809981.942000002</v>
      </c>
      <c r="G3863">
        <v>20310230.648400001</v>
      </c>
      <c r="H3863">
        <v>-47294230.106700003</v>
      </c>
      <c r="I3863">
        <v>75885503.314500004</v>
      </c>
      <c r="J3863">
        <v>3943606.1770000001</v>
      </c>
      <c r="K3863">
        <v>19817556.5867</v>
      </c>
      <c r="L3863">
        <v>-77661441.25</v>
      </c>
      <c r="M3863">
        <v>3819077.8152000001</v>
      </c>
      <c r="N3863">
        <v>-15057742.875600001</v>
      </c>
      <c r="O3863">
        <v>141656722.74900001</v>
      </c>
      <c r="P3863">
        <v>7</v>
      </c>
      <c r="Q3863" t="s">
        <v>8070</v>
      </c>
    </row>
    <row r="3864" spans="1:17" x14ac:dyDescent="0.3">
      <c r="A3864" t="s">
        <v>33</v>
      </c>
      <c r="B3864" t="str">
        <f>"300740"</f>
        <v>300740</v>
      </c>
      <c r="C3864" t="s">
        <v>8071</v>
      </c>
      <c r="D3864" t="s">
        <v>810</v>
      </c>
      <c r="E3864">
        <v>-138756472</v>
      </c>
      <c r="F3864">
        <v>-24463681</v>
      </c>
      <c r="G3864">
        <v>-117973547</v>
      </c>
      <c r="H3864">
        <v>-95150126</v>
      </c>
      <c r="I3864">
        <v>58878742</v>
      </c>
      <c r="J3864">
        <v>-29118956</v>
      </c>
      <c r="P3864">
        <v>256</v>
      </c>
      <c r="Q3864" t="s">
        <v>8072</v>
      </c>
    </row>
    <row r="3865" spans="1:17" x14ac:dyDescent="0.3">
      <c r="A3865" t="s">
        <v>33</v>
      </c>
      <c r="B3865" t="str">
        <f>"002318"</f>
        <v>002318</v>
      </c>
      <c r="C3865" t="s">
        <v>8073</v>
      </c>
      <c r="D3865" t="s">
        <v>253</v>
      </c>
      <c r="E3865">
        <v>-138890278</v>
      </c>
      <c r="F3865">
        <v>103451212</v>
      </c>
      <c r="G3865">
        <v>63413737</v>
      </c>
      <c r="H3865">
        <v>212895912</v>
      </c>
      <c r="I3865">
        <v>-105179514</v>
      </c>
      <c r="J3865">
        <v>-150974398</v>
      </c>
      <c r="K3865">
        <v>-150705542</v>
      </c>
      <c r="L3865">
        <v>13247220</v>
      </c>
      <c r="M3865">
        <v>-9390608</v>
      </c>
      <c r="N3865">
        <v>-26455454</v>
      </c>
      <c r="O3865">
        <v>-99873883</v>
      </c>
      <c r="P3865">
        <v>451</v>
      </c>
      <c r="Q3865" t="s">
        <v>8074</v>
      </c>
    </row>
    <row r="3866" spans="1:17" x14ac:dyDescent="0.3">
      <c r="A3866" t="s">
        <v>17</v>
      </c>
      <c r="B3866" t="str">
        <f>"600292"</f>
        <v>600292</v>
      </c>
      <c r="C3866" t="s">
        <v>8075</v>
      </c>
      <c r="D3866" t="s">
        <v>3158</v>
      </c>
      <c r="E3866">
        <v>-138917199</v>
      </c>
      <c r="F3866">
        <v>-64267716</v>
      </c>
      <c r="G3866">
        <v>-143498170</v>
      </c>
      <c r="H3866">
        <v>-138138569</v>
      </c>
      <c r="I3866">
        <v>-162967304</v>
      </c>
      <c r="J3866">
        <v>-142173020</v>
      </c>
      <c r="K3866">
        <v>-11426217</v>
      </c>
      <c r="L3866">
        <v>77412897</v>
      </c>
      <c r="M3866">
        <v>-58387710</v>
      </c>
      <c r="N3866">
        <v>3176099</v>
      </c>
      <c r="O3866">
        <v>84164590</v>
      </c>
      <c r="P3866">
        <v>144</v>
      </c>
      <c r="Q3866" t="s">
        <v>8076</v>
      </c>
    </row>
    <row r="3867" spans="1:17" x14ac:dyDescent="0.3">
      <c r="A3867" t="s">
        <v>17</v>
      </c>
      <c r="B3867" t="str">
        <f>"603316"</f>
        <v>603316</v>
      </c>
      <c r="C3867" t="s">
        <v>8077</v>
      </c>
      <c r="D3867" t="s">
        <v>2330</v>
      </c>
      <c r="E3867">
        <v>-138933819</v>
      </c>
      <c r="F3867">
        <v>-118190811</v>
      </c>
      <c r="G3867">
        <v>-109861492</v>
      </c>
      <c r="H3867">
        <v>-60641401</v>
      </c>
      <c r="I3867">
        <v>21255959</v>
      </c>
      <c r="J3867">
        <v>-57267079</v>
      </c>
      <c r="K3867">
        <v>-10708411</v>
      </c>
      <c r="P3867">
        <v>59</v>
      </c>
      <c r="Q3867" t="s">
        <v>8078</v>
      </c>
    </row>
    <row r="3868" spans="1:17" x14ac:dyDescent="0.3">
      <c r="A3868" t="s">
        <v>33</v>
      </c>
      <c r="B3868" t="str">
        <f>"002908"</f>
        <v>002908</v>
      </c>
      <c r="C3868" t="s">
        <v>8079</v>
      </c>
      <c r="D3868" t="s">
        <v>1347</v>
      </c>
      <c r="E3868">
        <v>-139535330</v>
      </c>
      <c r="F3868">
        <v>-112409549</v>
      </c>
      <c r="G3868">
        <v>-74070576</v>
      </c>
      <c r="H3868">
        <v>-83747081</v>
      </c>
      <c r="I3868">
        <v>-62941237</v>
      </c>
      <c r="J3868">
        <v>-42220153</v>
      </c>
      <c r="P3868">
        <v>126</v>
      </c>
      <c r="Q3868" t="s">
        <v>8080</v>
      </c>
    </row>
    <row r="3869" spans="1:17" x14ac:dyDescent="0.3">
      <c r="A3869" t="s">
        <v>17</v>
      </c>
      <c r="B3869" t="str">
        <f>"600009"</f>
        <v>600009</v>
      </c>
      <c r="C3869" t="s">
        <v>8081</v>
      </c>
      <c r="D3869" t="s">
        <v>1344</v>
      </c>
      <c r="E3869">
        <v>-139682620</v>
      </c>
      <c r="F3869">
        <v>79489854</v>
      </c>
      <c r="G3869">
        <v>-195791640</v>
      </c>
      <c r="H3869">
        <v>978515468</v>
      </c>
      <c r="I3869">
        <v>499748735</v>
      </c>
      <c r="J3869">
        <v>491818827</v>
      </c>
      <c r="K3869">
        <v>-63020985</v>
      </c>
      <c r="L3869">
        <v>336579015</v>
      </c>
      <c r="M3869">
        <v>115314817</v>
      </c>
      <c r="N3869">
        <v>284807918</v>
      </c>
      <c r="O3869">
        <v>-69992264</v>
      </c>
      <c r="P3869">
        <v>5731</v>
      </c>
      <c r="Q3869" t="s">
        <v>8082</v>
      </c>
    </row>
    <row r="3870" spans="1:17" x14ac:dyDescent="0.3">
      <c r="A3870" t="s">
        <v>17</v>
      </c>
      <c r="B3870" t="str">
        <f>"600408"</f>
        <v>600408</v>
      </c>
      <c r="C3870" t="s">
        <v>8083</v>
      </c>
      <c r="D3870" t="s">
        <v>427</v>
      </c>
      <c r="E3870">
        <v>-139814937</v>
      </c>
      <c r="F3870">
        <v>175481166</v>
      </c>
      <c r="G3870">
        <v>208690022</v>
      </c>
      <c r="H3870">
        <v>52548695</v>
      </c>
      <c r="I3870">
        <v>50683449</v>
      </c>
      <c r="J3870">
        <v>127397380</v>
      </c>
      <c r="K3870">
        <v>-80215446</v>
      </c>
      <c r="L3870">
        <v>-151024954</v>
      </c>
      <c r="M3870">
        <v>20340177</v>
      </c>
      <c r="N3870">
        <v>258824749</v>
      </c>
      <c r="O3870">
        <v>97510068</v>
      </c>
      <c r="P3870">
        <v>93</v>
      </c>
      <c r="Q3870" t="s">
        <v>8084</v>
      </c>
    </row>
    <row r="3871" spans="1:17" x14ac:dyDescent="0.3">
      <c r="A3871" t="s">
        <v>33</v>
      </c>
      <c r="B3871" t="str">
        <f>"300385"</f>
        <v>300385</v>
      </c>
      <c r="C3871" t="s">
        <v>8085</v>
      </c>
      <c r="D3871" t="s">
        <v>3158</v>
      </c>
      <c r="E3871">
        <v>-139827637</v>
      </c>
      <c r="F3871">
        <v>-141475179</v>
      </c>
      <c r="G3871">
        <v>-127804180</v>
      </c>
      <c r="H3871">
        <v>-119140795</v>
      </c>
      <c r="I3871">
        <v>-23033762</v>
      </c>
      <c r="J3871">
        <v>-63432462</v>
      </c>
      <c r="K3871">
        <v>-40120271</v>
      </c>
      <c r="L3871">
        <v>-23678462</v>
      </c>
      <c r="M3871">
        <v>-32743900</v>
      </c>
      <c r="P3871">
        <v>92</v>
      </c>
      <c r="Q3871" t="s">
        <v>8086</v>
      </c>
    </row>
    <row r="3872" spans="1:17" x14ac:dyDescent="0.3">
      <c r="A3872" t="s">
        <v>33</v>
      </c>
      <c r="B3872" t="str">
        <f>"301058"</f>
        <v>301058</v>
      </c>
      <c r="C3872" t="s">
        <v>8087</v>
      </c>
      <c r="D3872" t="s">
        <v>4300</v>
      </c>
      <c r="E3872">
        <v>-139922990</v>
      </c>
      <c r="F3872">
        <v>-90261840</v>
      </c>
      <c r="P3872">
        <v>24</v>
      </c>
      <c r="Q3872" t="s">
        <v>8088</v>
      </c>
    </row>
    <row r="3873" spans="1:17" x14ac:dyDescent="0.3">
      <c r="A3873" t="s">
        <v>17</v>
      </c>
      <c r="B3873" t="str">
        <f>"603357"</f>
        <v>603357</v>
      </c>
      <c r="C3873" t="s">
        <v>8089</v>
      </c>
      <c r="D3873" t="s">
        <v>4300</v>
      </c>
      <c r="E3873">
        <v>-140040334</v>
      </c>
      <c r="F3873">
        <v>-152444812</v>
      </c>
      <c r="G3873">
        <v>86767994</v>
      </c>
      <c r="H3873">
        <v>38663509</v>
      </c>
      <c r="I3873">
        <v>-14413719</v>
      </c>
      <c r="J3873">
        <v>-61870473</v>
      </c>
      <c r="K3873">
        <v>38255709</v>
      </c>
      <c r="P3873">
        <v>361</v>
      </c>
      <c r="Q3873" t="s">
        <v>8090</v>
      </c>
    </row>
    <row r="3874" spans="1:17" x14ac:dyDescent="0.3">
      <c r="A3874" t="s">
        <v>33</v>
      </c>
      <c r="B3874" t="str">
        <f>"300579"</f>
        <v>300579</v>
      </c>
      <c r="C3874" t="s">
        <v>8091</v>
      </c>
      <c r="D3874" t="s">
        <v>807</v>
      </c>
      <c r="E3874">
        <v>-140359909</v>
      </c>
      <c r="F3874">
        <v>-147927287</v>
      </c>
      <c r="G3874">
        <v>-149097872</v>
      </c>
      <c r="H3874">
        <v>-137458902</v>
      </c>
      <c r="I3874">
        <v>-97969559</v>
      </c>
      <c r="J3874">
        <v>-54927042</v>
      </c>
      <c r="K3874">
        <v>-60708950</v>
      </c>
      <c r="P3874">
        <v>335</v>
      </c>
      <c r="Q3874" t="s">
        <v>8092</v>
      </c>
    </row>
    <row r="3875" spans="1:17" x14ac:dyDescent="0.3">
      <c r="A3875" t="s">
        <v>17</v>
      </c>
      <c r="B3875" t="str">
        <f>"600213"</f>
        <v>600213</v>
      </c>
      <c r="C3875" t="s">
        <v>8093</v>
      </c>
      <c r="D3875" t="s">
        <v>1122</v>
      </c>
      <c r="E3875">
        <v>-142387806</v>
      </c>
      <c r="F3875">
        <v>134142980</v>
      </c>
      <c r="G3875">
        <v>158677432</v>
      </c>
      <c r="H3875">
        <v>106842941</v>
      </c>
      <c r="I3875">
        <v>-154218969</v>
      </c>
      <c r="J3875">
        <v>253723073</v>
      </c>
      <c r="K3875">
        <v>-116388869</v>
      </c>
      <c r="L3875">
        <v>-92556563</v>
      </c>
      <c r="M3875">
        <v>-97602395</v>
      </c>
      <c r="N3875">
        <v>-50258508</v>
      </c>
      <c r="O3875">
        <v>-43820021</v>
      </c>
      <c r="P3875">
        <v>109</v>
      </c>
      <c r="Q3875" t="s">
        <v>8094</v>
      </c>
    </row>
    <row r="3876" spans="1:17" x14ac:dyDescent="0.3">
      <c r="A3876" t="s">
        <v>17</v>
      </c>
      <c r="B3876" t="str">
        <f>"603191"</f>
        <v>603191</v>
      </c>
      <c r="C3876" t="s">
        <v>8095</v>
      </c>
      <c r="E3876">
        <v>-142686086</v>
      </c>
      <c r="P3876">
        <v>5</v>
      </c>
      <c r="Q3876" t="s">
        <v>8096</v>
      </c>
    </row>
    <row r="3877" spans="1:17" x14ac:dyDescent="0.3">
      <c r="A3877" t="s">
        <v>17</v>
      </c>
      <c r="B3877" t="str">
        <f>"605268"</f>
        <v>605268</v>
      </c>
      <c r="C3877" t="s">
        <v>8097</v>
      </c>
      <c r="D3877" t="s">
        <v>5122</v>
      </c>
      <c r="E3877">
        <v>-142976478</v>
      </c>
      <c r="F3877">
        <v>-189981633</v>
      </c>
      <c r="G3877">
        <v>-82623453</v>
      </c>
      <c r="P3877">
        <v>60</v>
      </c>
      <c r="Q3877" t="s">
        <v>8098</v>
      </c>
    </row>
    <row r="3878" spans="1:17" x14ac:dyDescent="0.3">
      <c r="A3878" t="s">
        <v>33</v>
      </c>
      <c r="B3878" t="str">
        <f>"300078"</f>
        <v>300078</v>
      </c>
      <c r="C3878" t="s">
        <v>8099</v>
      </c>
      <c r="D3878" t="s">
        <v>508</v>
      </c>
      <c r="E3878">
        <v>-143017749</v>
      </c>
      <c r="F3878">
        <v>-180371345</v>
      </c>
      <c r="G3878">
        <v>-130383163</v>
      </c>
      <c r="H3878">
        <v>-128762085</v>
      </c>
      <c r="I3878">
        <v>-77598479</v>
      </c>
      <c r="J3878">
        <v>-70225428</v>
      </c>
      <c r="K3878">
        <v>14940598</v>
      </c>
      <c r="L3878">
        <v>2112669</v>
      </c>
      <c r="M3878">
        <v>15539317</v>
      </c>
      <c r="N3878">
        <v>14220402</v>
      </c>
      <c r="O3878">
        <v>20640080</v>
      </c>
      <c r="P3878">
        <v>296</v>
      </c>
      <c r="Q3878" t="s">
        <v>8100</v>
      </c>
    </row>
    <row r="3879" spans="1:17" x14ac:dyDescent="0.3">
      <c r="A3879" t="s">
        <v>17</v>
      </c>
      <c r="B3879" t="str">
        <f>"603668"</f>
        <v>603668</v>
      </c>
      <c r="C3879" t="s">
        <v>8101</v>
      </c>
      <c r="D3879" t="s">
        <v>8102</v>
      </c>
      <c r="E3879">
        <v>-143387614</v>
      </c>
      <c r="F3879">
        <v>107632694</v>
      </c>
      <c r="G3879">
        <v>944380</v>
      </c>
      <c r="H3879">
        <v>-224910646</v>
      </c>
      <c r="I3879">
        <v>-206017832</v>
      </c>
      <c r="J3879">
        <v>-202878197</v>
      </c>
      <c r="K3879">
        <v>-17753001</v>
      </c>
      <c r="P3879">
        <v>126</v>
      </c>
      <c r="Q3879" t="s">
        <v>8103</v>
      </c>
    </row>
    <row r="3880" spans="1:17" x14ac:dyDescent="0.3">
      <c r="A3880" t="s">
        <v>17</v>
      </c>
      <c r="B3880" t="str">
        <f>"603188"</f>
        <v>603188</v>
      </c>
      <c r="C3880" t="s">
        <v>8104</v>
      </c>
      <c r="D3880" t="s">
        <v>735</v>
      </c>
      <c r="E3880">
        <v>-143500702</v>
      </c>
      <c r="F3880">
        <v>-70284094</v>
      </c>
      <c r="G3880">
        <v>-32292269</v>
      </c>
      <c r="H3880">
        <v>-61635868</v>
      </c>
      <c r="I3880">
        <v>105767873</v>
      </c>
      <c r="J3880">
        <v>65182047</v>
      </c>
      <c r="K3880">
        <v>109500327</v>
      </c>
      <c r="L3880">
        <v>-25680812</v>
      </c>
      <c r="M3880">
        <v>69066566</v>
      </c>
      <c r="P3880">
        <v>206</v>
      </c>
      <c r="Q3880" t="s">
        <v>8105</v>
      </c>
    </row>
    <row r="3881" spans="1:17" x14ac:dyDescent="0.3">
      <c r="A3881" t="s">
        <v>33</v>
      </c>
      <c r="B3881" t="str">
        <f>"300184"</f>
        <v>300184</v>
      </c>
      <c r="C3881" t="s">
        <v>8106</v>
      </c>
      <c r="D3881" t="s">
        <v>499</v>
      </c>
      <c r="E3881">
        <v>-143638735</v>
      </c>
      <c r="F3881">
        <v>121324294</v>
      </c>
      <c r="G3881">
        <v>49372559</v>
      </c>
      <c r="H3881">
        <v>-103142593</v>
      </c>
      <c r="I3881">
        <v>-26761161</v>
      </c>
      <c r="J3881">
        <v>-190725013</v>
      </c>
      <c r="K3881">
        <v>-45740039</v>
      </c>
      <c r="L3881">
        <v>-38035892</v>
      </c>
      <c r="M3881">
        <v>6529614</v>
      </c>
      <c r="N3881">
        <v>-22985703</v>
      </c>
      <c r="O3881">
        <v>-2132086</v>
      </c>
      <c r="P3881">
        <v>252</v>
      </c>
      <c r="Q3881" t="s">
        <v>8107</v>
      </c>
    </row>
    <row r="3882" spans="1:17" x14ac:dyDescent="0.3">
      <c r="A3882" t="s">
        <v>33</v>
      </c>
      <c r="B3882" t="str">
        <f>"002824"</f>
        <v>002824</v>
      </c>
      <c r="C3882" t="s">
        <v>8108</v>
      </c>
      <c r="D3882" t="s">
        <v>140</v>
      </c>
      <c r="E3882">
        <v>-143972349</v>
      </c>
      <c r="F3882">
        <v>13482992</v>
      </c>
      <c r="G3882">
        <v>74724633</v>
      </c>
      <c r="H3882">
        <v>57026631</v>
      </c>
      <c r="I3882">
        <v>20612676</v>
      </c>
      <c r="J3882">
        <v>13910888</v>
      </c>
      <c r="K3882">
        <v>-10608748</v>
      </c>
      <c r="P3882">
        <v>167</v>
      </c>
      <c r="Q3882" t="s">
        <v>8109</v>
      </c>
    </row>
    <row r="3883" spans="1:17" x14ac:dyDescent="0.3">
      <c r="A3883" t="s">
        <v>17</v>
      </c>
      <c r="B3883" t="str">
        <f>"688556"</f>
        <v>688556</v>
      </c>
      <c r="C3883" t="s">
        <v>8110</v>
      </c>
      <c r="D3883" t="s">
        <v>715</v>
      </c>
      <c r="E3883">
        <v>-144306064</v>
      </c>
      <c r="F3883">
        <v>-21093934</v>
      </c>
      <c r="G3883">
        <v>63812552</v>
      </c>
      <c r="H3883">
        <v>1691845</v>
      </c>
      <c r="P3883">
        <v>69</v>
      </c>
      <c r="Q3883" t="s">
        <v>8111</v>
      </c>
    </row>
    <row r="3884" spans="1:17" x14ac:dyDescent="0.3">
      <c r="A3884" t="s">
        <v>33</v>
      </c>
      <c r="B3884" t="str">
        <f>"002580"</f>
        <v>002580</v>
      </c>
      <c r="C3884" t="s">
        <v>8112</v>
      </c>
      <c r="D3884" t="s">
        <v>1536</v>
      </c>
      <c r="E3884">
        <v>-144552675</v>
      </c>
      <c r="F3884">
        <v>-108579259</v>
      </c>
      <c r="G3884">
        <v>-71211649</v>
      </c>
      <c r="H3884">
        <v>-77746529</v>
      </c>
      <c r="I3884">
        <v>-95813378</v>
      </c>
      <c r="J3884">
        <v>-77670679</v>
      </c>
      <c r="K3884">
        <v>-125165922</v>
      </c>
      <c r="L3884">
        <v>-89116974</v>
      </c>
      <c r="M3884">
        <v>-31829705</v>
      </c>
      <c r="N3884">
        <v>-94751213</v>
      </c>
      <c r="O3884">
        <v>-115406747</v>
      </c>
      <c r="P3884">
        <v>114</v>
      </c>
      <c r="Q3884" t="s">
        <v>8113</v>
      </c>
    </row>
    <row r="3885" spans="1:17" x14ac:dyDescent="0.3">
      <c r="A3885" t="s">
        <v>17</v>
      </c>
      <c r="B3885" t="str">
        <f>"603150"</f>
        <v>603150</v>
      </c>
      <c r="C3885" t="s">
        <v>8114</v>
      </c>
      <c r="E3885">
        <v>-144730727</v>
      </c>
      <c r="P3885">
        <v>5</v>
      </c>
      <c r="Q3885" t="s">
        <v>8115</v>
      </c>
    </row>
    <row r="3886" spans="1:17" x14ac:dyDescent="0.3">
      <c r="A3886" t="s">
        <v>17</v>
      </c>
      <c r="B3886" t="str">
        <f>"600647"</f>
        <v>600647</v>
      </c>
      <c r="C3886" t="s">
        <v>8116</v>
      </c>
      <c r="D3886" t="s">
        <v>523</v>
      </c>
      <c r="E3886">
        <v>-145569934</v>
      </c>
      <c r="F3886">
        <v>-78059544</v>
      </c>
      <c r="G3886">
        <v>-7807915</v>
      </c>
      <c r="H3886">
        <v>-12393008</v>
      </c>
      <c r="I3886">
        <v>2561571</v>
      </c>
      <c r="J3886">
        <v>106598</v>
      </c>
      <c r="K3886">
        <v>-3004319</v>
      </c>
      <c r="L3886">
        <v>12558784</v>
      </c>
      <c r="M3886">
        <v>-41072158</v>
      </c>
      <c r="N3886">
        <v>11263211</v>
      </c>
      <c r="O3886">
        <v>51801484</v>
      </c>
      <c r="P3886">
        <v>75</v>
      </c>
      <c r="Q3886" t="s">
        <v>8117</v>
      </c>
    </row>
    <row r="3887" spans="1:17" x14ac:dyDescent="0.3">
      <c r="A3887" t="s">
        <v>33</v>
      </c>
      <c r="B3887" t="str">
        <f>"301155"</f>
        <v>301155</v>
      </c>
      <c r="C3887" t="s">
        <v>8118</v>
      </c>
      <c r="D3887" t="s">
        <v>1437</v>
      </c>
      <c r="E3887">
        <v>-145796952</v>
      </c>
      <c r="P3887">
        <v>40</v>
      </c>
      <c r="Q3887" t="s">
        <v>8119</v>
      </c>
    </row>
    <row r="3888" spans="1:17" x14ac:dyDescent="0.3">
      <c r="A3888" t="s">
        <v>17</v>
      </c>
      <c r="B3888" t="str">
        <f>"603208"</f>
        <v>603208</v>
      </c>
      <c r="C3888" t="s">
        <v>8120</v>
      </c>
      <c r="D3888" t="s">
        <v>5122</v>
      </c>
      <c r="E3888">
        <v>-146100768</v>
      </c>
      <c r="F3888">
        <v>-364853386</v>
      </c>
      <c r="G3888">
        <v>-238392049</v>
      </c>
      <c r="H3888">
        <v>-89275001</v>
      </c>
      <c r="I3888">
        <v>-59657639</v>
      </c>
      <c r="J3888">
        <v>-58090102</v>
      </c>
      <c r="K3888">
        <v>-3279639</v>
      </c>
      <c r="P3888">
        <v>493</v>
      </c>
      <c r="Q3888" t="s">
        <v>8121</v>
      </c>
    </row>
    <row r="3889" spans="1:17" x14ac:dyDescent="0.3">
      <c r="A3889" t="s">
        <v>33</v>
      </c>
      <c r="B3889" t="str">
        <f>"000705"</f>
        <v>000705</v>
      </c>
      <c r="C3889" t="s">
        <v>8122</v>
      </c>
      <c r="D3889" t="s">
        <v>415</v>
      </c>
      <c r="E3889">
        <v>-146188505</v>
      </c>
      <c r="F3889">
        <v>-149399291</v>
      </c>
      <c r="G3889">
        <v>-120777772</v>
      </c>
      <c r="H3889">
        <v>-108830862</v>
      </c>
      <c r="I3889">
        <v>-51074451</v>
      </c>
      <c r="J3889">
        <v>-49516579</v>
      </c>
      <c r="K3889">
        <v>-37875888</v>
      </c>
      <c r="L3889">
        <v>-26767786</v>
      </c>
      <c r="M3889">
        <v>-21078946</v>
      </c>
      <c r="N3889">
        <v>-15065463</v>
      </c>
      <c r="O3889">
        <v>17263270</v>
      </c>
      <c r="P3889">
        <v>107</v>
      </c>
      <c r="Q3889" t="s">
        <v>8123</v>
      </c>
    </row>
    <row r="3890" spans="1:17" x14ac:dyDescent="0.3">
      <c r="A3890" t="s">
        <v>33</v>
      </c>
      <c r="B3890" t="str">
        <f>"002041"</f>
        <v>002041</v>
      </c>
      <c r="C3890" t="s">
        <v>8124</v>
      </c>
      <c r="D3890" t="s">
        <v>1990</v>
      </c>
      <c r="E3890">
        <v>-146493278</v>
      </c>
      <c r="F3890">
        <v>8702522</v>
      </c>
      <c r="G3890">
        <v>-9315780</v>
      </c>
      <c r="H3890">
        <v>-43245979</v>
      </c>
      <c r="I3890">
        <v>-173019710</v>
      </c>
      <c r="J3890">
        <v>-138424251</v>
      </c>
      <c r="K3890">
        <v>37451901</v>
      </c>
      <c r="L3890">
        <v>-145401898</v>
      </c>
      <c r="M3890">
        <v>33423404</v>
      </c>
      <c r="N3890">
        <v>-24863185</v>
      </c>
      <c r="O3890">
        <v>37793799</v>
      </c>
      <c r="P3890">
        <v>446</v>
      </c>
      <c r="Q3890" t="s">
        <v>8125</v>
      </c>
    </row>
    <row r="3891" spans="1:17" x14ac:dyDescent="0.3">
      <c r="A3891" t="s">
        <v>33</v>
      </c>
      <c r="B3891" t="str">
        <f>"300366"</f>
        <v>300366</v>
      </c>
      <c r="C3891" t="s">
        <v>8126</v>
      </c>
      <c r="D3891" t="s">
        <v>807</v>
      </c>
      <c r="E3891">
        <v>-146640813</v>
      </c>
      <c r="F3891">
        <v>-99842479</v>
      </c>
      <c r="G3891">
        <v>-90691742</v>
      </c>
      <c r="H3891">
        <v>-253897059</v>
      </c>
      <c r="I3891">
        <v>-110299783</v>
      </c>
      <c r="J3891">
        <v>-86852864</v>
      </c>
      <c r="K3891">
        <v>-74321571</v>
      </c>
      <c r="L3891">
        <v>-56665299</v>
      </c>
      <c r="M3891">
        <v>-66530653</v>
      </c>
      <c r="N3891">
        <v>-46541288</v>
      </c>
      <c r="P3891">
        <v>222</v>
      </c>
      <c r="Q3891" t="s">
        <v>8127</v>
      </c>
    </row>
    <row r="3892" spans="1:17" x14ac:dyDescent="0.3">
      <c r="A3892" t="s">
        <v>33</v>
      </c>
      <c r="B3892" t="str">
        <f>"002170"</f>
        <v>002170</v>
      </c>
      <c r="C3892" t="s">
        <v>8128</v>
      </c>
      <c r="D3892" t="s">
        <v>610</v>
      </c>
      <c r="E3892">
        <v>-146759927</v>
      </c>
      <c r="F3892">
        <v>41478853</v>
      </c>
      <c r="G3892">
        <v>105620981</v>
      </c>
      <c r="H3892">
        <v>244988965</v>
      </c>
      <c r="I3892">
        <v>-64495344</v>
      </c>
      <c r="J3892">
        <v>-126014586</v>
      </c>
      <c r="K3892">
        <v>-60013511</v>
      </c>
      <c r="L3892">
        <v>-4108878</v>
      </c>
      <c r="M3892">
        <v>-7611474</v>
      </c>
      <c r="N3892">
        <v>-67667229</v>
      </c>
      <c r="O3892">
        <v>-44163471</v>
      </c>
      <c r="P3892">
        <v>103</v>
      </c>
      <c r="Q3892" t="s">
        <v>8129</v>
      </c>
    </row>
    <row r="3893" spans="1:17" x14ac:dyDescent="0.3">
      <c r="A3893" t="s">
        <v>33</v>
      </c>
      <c r="B3893" t="str">
        <f>"300197"</f>
        <v>300197</v>
      </c>
      <c r="C3893" t="s">
        <v>8130</v>
      </c>
      <c r="D3893" t="s">
        <v>2330</v>
      </c>
      <c r="E3893">
        <v>-146876667</v>
      </c>
      <c r="F3893">
        <v>-132570445</v>
      </c>
      <c r="G3893">
        <v>-849088090</v>
      </c>
      <c r="H3893">
        <v>156240427</v>
      </c>
      <c r="I3893">
        <v>-477035950</v>
      </c>
      <c r="J3893">
        <v>153586926</v>
      </c>
      <c r="K3893">
        <v>-49199694</v>
      </c>
      <c r="L3893">
        <v>-84347076</v>
      </c>
      <c r="M3893">
        <v>-157794162</v>
      </c>
      <c r="N3893">
        <v>-171497099</v>
      </c>
      <c r="O3893">
        <v>-48718245</v>
      </c>
      <c r="P3893">
        <v>356</v>
      </c>
      <c r="Q3893" t="s">
        <v>8131</v>
      </c>
    </row>
    <row r="3894" spans="1:17" x14ac:dyDescent="0.3">
      <c r="A3894" t="s">
        <v>33</v>
      </c>
      <c r="B3894" t="str">
        <f>"002690"</f>
        <v>002690</v>
      </c>
      <c r="C3894" t="s">
        <v>8132</v>
      </c>
      <c r="D3894" t="s">
        <v>1895</v>
      </c>
      <c r="E3894">
        <v>-147343968</v>
      </c>
      <c r="F3894">
        <v>-55485968</v>
      </c>
      <c r="G3894">
        <v>-106249258</v>
      </c>
      <c r="H3894">
        <v>-24544787</v>
      </c>
      <c r="I3894">
        <v>7356199</v>
      </c>
      <c r="J3894">
        <v>18340751</v>
      </c>
      <c r="K3894">
        <v>-68384779</v>
      </c>
      <c r="L3894">
        <v>-21130589</v>
      </c>
      <c r="M3894">
        <v>33507363</v>
      </c>
      <c r="N3894">
        <v>-14132543</v>
      </c>
      <c r="O3894">
        <v>-1411479</v>
      </c>
      <c r="P3894">
        <v>3632</v>
      </c>
      <c r="Q3894" t="s">
        <v>8133</v>
      </c>
    </row>
    <row r="3895" spans="1:17" x14ac:dyDescent="0.3">
      <c r="A3895" t="s">
        <v>33</v>
      </c>
      <c r="B3895" t="str">
        <f>"002246"</f>
        <v>002246</v>
      </c>
      <c r="C3895" t="s">
        <v>8134</v>
      </c>
      <c r="D3895" t="s">
        <v>1474</v>
      </c>
      <c r="E3895">
        <v>-147750792</v>
      </c>
      <c r="F3895">
        <v>-147766675</v>
      </c>
      <c r="G3895">
        <v>29169748</v>
      </c>
      <c r="H3895">
        <v>89607399</v>
      </c>
      <c r="I3895">
        <v>-69890387</v>
      </c>
      <c r="J3895">
        <v>16851862</v>
      </c>
      <c r="K3895">
        <v>13793006</v>
      </c>
      <c r="L3895">
        <v>-40346284</v>
      </c>
      <c r="M3895">
        <v>14488120</v>
      </c>
      <c r="N3895">
        <v>-44511933</v>
      </c>
      <c r="O3895">
        <v>-24406736</v>
      </c>
      <c r="P3895">
        <v>117</v>
      </c>
      <c r="Q3895" t="s">
        <v>8135</v>
      </c>
    </row>
    <row r="3896" spans="1:17" x14ac:dyDescent="0.3">
      <c r="A3896" t="s">
        <v>33</v>
      </c>
      <c r="B3896" t="str">
        <f>"002430"</f>
        <v>002430</v>
      </c>
      <c r="C3896" t="s">
        <v>8136</v>
      </c>
      <c r="D3896" t="s">
        <v>1895</v>
      </c>
      <c r="E3896">
        <v>-148105755</v>
      </c>
      <c r="F3896">
        <v>-14510083</v>
      </c>
      <c r="G3896">
        <v>-183417368</v>
      </c>
      <c r="H3896">
        <v>263867027</v>
      </c>
      <c r="I3896">
        <v>385100287</v>
      </c>
      <c r="J3896">
        <v>171247804</v>
      </c>
      <c r="K3896">
        <v>-42097913</v>
      </c>
      <c r="L3896">
        <v>77691887</v>
      </c>
      <c r="M3896">
        <v>47136168</v>
      </c>
      <c r="N3896">
        <v>348413252</v>
      </c>
      <c r="O3896">
        <v>-77616724</v>
      </c>
      <c r="P3896">
        <v>395</v>
      </c>
      <c r="Q3896" t="s">
        <v>8137</v>
      </c>
    </row>
    <row r="3897" spans="1:17" x14ac:dyDescent="0.3">
      <c r="A3897" t="s">
        <v>33</v>
      </c>
      <c r="B3897" t="str">
        <f>"000603"</f>
        <v>000603</v>
      </c>
      <c r="C3897" t="s">
        <v>8138</v>
      </c>
      <c r="D3897" t="s">
        <v>702</v>
      </c>
      <c r="E3897">
        <v>-148353412</v>
      </c>
      <c r="F3897">
        <v>-137707042</v>
      </c>
      <c r="G3897">
        <v>-160850381</v>
      </c>
      <c r="H3897">
        <v>-225409715</v>
      </c>
      <c r="I3897">
        <v>-142031409</v>
      </c>
      <c r="J3897">
        <v>-71159561</v>
      </c>
      <c r="K3897">
        <v>-915820</v>
      </c>
      <c r="L3897">
        <v>-82836923</v>
      </c>
      <c r="M3897">
        <v>-11341509</v>
      </c>
      <c r="N3897">
        <v>152023371</v>
      </c>
      <c r="O3897">
        <v>123854873</v>
      </c>
      <c r="P3897">
        <v>351</v>
      </c>
      <c r="Q3897" t="s">
        <v>8139</v>
      </c>
    </row>
    <row r="3898" spans="1:17" x14ac:dyDescent="0.3">
      <c r="A3898" t="s">
        <v>33</v>
      </c>
      <c r="B3898" t="str">
        <f>"301085"</f>
        <v>301085</v>
      </c>
      <c r="C3898" t="s">
        <v>8140</v>
      </c>
      <c r="D3898" t="s">
        <v>508</v>
      </c>
      <c r="E3898">
        <v>-148482239</v>
      </c>
      <c r="P3898">
        <v>16</v>
      </c>
      <c r="Q3898" t="s">
        <v>8141</v>
      </c>
    </row>
    <row r="3899" spans="1:17" x14ac:dyDescent="0.3">
      <c r="A3899" t="s">
        <v>33</v>
      </c>
      <c r="B3899" t="str">
        <f>"002389"</f>
        <v>002389</v>
      </c>
      <c r="C3899" t="s">
        <v>8142</v>
      </c>
      <c r="D3899" t="s">
        <v>2262</v>
      </c>
      <c r="E3899">
        <v>-148581157</v>
      </c>
      <c r="F3899">
        <v>-1405840</v>
      </c>
      <c r="G3899">
        <v>-71475055</v>
      </c>
      <c r="H3899">
        <v>-274464884</v>
      </c>
      <c r="I3899">
        <v>-60526191</v>
      </c>
      <c r="J3899">
        <v>-45261379</v>
      </c>
      <c r="K3899">
        <v>10591016</v>
      </c>
      <c r="L3899">
        <v>29663814</v>
      </c>
      <c r="M3899">
        <v>-8680405</v>
      </c>
      <c r="N3899">
        <v>69524487</v>
      </c>
      <c r="O3899">
        <v>15170281</v>
      </c>
      <c r="P3899">
        <v>435</v>
      </c>
      <c r="Q3899" t="s">
        <v>8143</v>
      </c>
    </row>
    <row r="3900" spans="1:17" x14ac:dyDescent="0.3">
      <c r="A3900" t="s">
        <v>33</v>
      </c>
      <c r="B3900" t="str">
        <f>"300407"</f>
        <v>300407</v>
      </c>
      <c r="C3900" t="s">
        <v>8144</v>
      </c>
      <c r="D3900" t="s">
        <v>1182</v>
      </c>
      <c r="E3900">
        <v>-149065586</v>
      </c>
      <c r="F3900">
        <v>-60636453</v>
      </c>
      <c r="G3900">
        <v>-63666914</v>
      </c>
      <c r="H3900">
        <v>-46585331</v>
      </c>
      <c r="I3900">
        <v>-72113578</v>
      </c>
      <c r="J3900">
        <v>-117241998</v>
      </c>
      <c r="K3900">
        <v>-371457</v>
      </c>
      <c r="L3900">
        <v>-28968662</v>
      </c>
      <c r="M3900">
        <v>-20524032</v>
      </c>
      <c r="P3900">
        <v>132</v>
      </c>
      <c r="Q3900" t="s">
        <v>8145</v>
      </c>
    </row>
    <row r="3901" spans="1:17" x14ac:dyDescent="0.3">
      <c r="A3901" t="s">
        <v>33</v>
      </c>
      <c r="B3901" t="str">
        <f>"000407"</f>
        <v>000407</v>
      </c>
      <c r="C3901" t="s">
        <v>8146</v>
      </c>
      <c r="D3901" t="s">
        <v>649</v>
      </c>
      <c r="E3901">
        <v>-149345791</v>
      </c>
      <c r="F3901">
        <v>-96396040</v>
      </c>
      <c r="G3901">
        <v>-198756377</v>
      </c>
      <c r="H3901">
        <v>57086759</v>
      </c>
      <c r="I3901">
        <v>-87198612</v>
      </c>
      <c r="J3901">
        <v>14800618</v>
      </c>
      <c r="K3901">
        <v>-90141479</v>
      </c>
      <c r="L3901">
        <v>-83919238</v>
      </c>
      <c r="M3901">
        <v>-176990615</v>
      </c>
      <c r="N3901">
        <v>-71917520</v>
      </c>
      <c r="O3901">
        <v>-87716451</v>
      </c>
      <c r="P3901">
        <v>113</v>
      </c>
      <c r="Q3901" t="s">
        <v>8147</v>
      </c>
    </row>
    <row r="3902" spans="1:17" x14ac:dyDescent="0.3">
      <c r="A3902" t="s">
        <v>17</v>
      </c>
      <c r="B3902" t="str">
        <f>"603836"</f>
        <v>603836</v>
      </c>
      <c r="C3902" t="s">
        <v>8148</v>
      </c>
      <c r="D3902" t="s">
        <v>272</v>
      </c>
      <c r="E3902">
        <v>-149591533</v>
      </c>
      <c r="F3902">
        <v>-43914419</v>
      </c>
      <c r="G3902">
        <v>7902013</v>
      </c>
      <c r="P3902">
        <v>29</v>
      </c>
      <c r="Q3902" t="s">
        <v>8149</v>
      </c>
    </row>
    <row r="3903" spans="1:17" x14ac:dyDescent="0.3">
      <c r="A3903" t="s">
        <v>17</v>
      </c>
      <c r="B3903" t="str">
        <f>"688330"</f>
        <v>688330</v>
      </c>
      <c r="C3903" t="s">
        <v>8150</v>
      </c>
      <c r="D3903" t="s">
        <v>1182</v>
      </c>
      <c r="E3903">
        <v>-149986364</v>
      </c>
      <c r="F3903">
        <v>-146081233</v>
      </c>
      <c r="G3903">
        <v>-155638694</v>
      </c>
      <c r="P3903">
        <v>90</v>
      </c>
      <c r="Q3903" t="s">
        <v>8151</v>
      </c>
    </row>
    <row r="3904" spans="1:17" x14ac:dyDescent="0.3">
      <c r="A3904" t="s">
        <v>33</v>
      </c>
      <c r="B3904" t="str">
        <f>"002949"</f>
        <v>002949</v>
      </c>
      <c r="C3904" t="s">
        <v>8152</v>
      </c>
      <c r="D3904" t="s">
        <v>4300</v>
      </c>
      <c r="E3904">
        <v>-150041997</v>
      </c>
      <c r="F3904">
        <v>-270724387</v>
      </c>
      <c r="G3904">
        <v>-159313861</v>
      </c>
      <c r="H3904">
        <v>-118568630</v>
      </c>
      <c r="I3904">
        <v>-33949300</v>
      </c>
      <c r="P3904">
        <v>158</v>
      </c>
      <c r="Q3904" t="s">
        <v>8153</v>
      </c>
    </row>
    <row r="3905" spans="1:17" x14ac:dyDescent="0.3">
      <c r="A3905" t="s">
        <v>33</v>
      </c>
      <c r="B3905" t="str">
        <f>"002713"</f>
        <v>002713</v>
      </c>
      <c r="C3905" t="s">
        <v>8154</v>
      </c>
      <c r="D3905" t="s">
        <v>1779</v>
      </c>
      <c r="E3905">
        <v>-150190965</v>
      </c>
      <c r="F3905">
        <v>-67709650</v>
      </c>
      <c r="G3905">
        <v>-197651720</v>
      </c>
      <c r="H3905">
        <v>13600051</v>
      </c>
      <c r="I3905">
        <v>-19725178</v>
      </c>
      <c r="J3905">
        <v>103883389</v>
      </c>
      <c r="K3905">
        <v>19547273</v>
      </c>
      <c r="L3905">
        <v>-61882017</v>
      </c>
      <c r="M3905">
        <v>-81995150</v>
      </c>
      <c r="N3905">
        <v>-10334230</v>
      </c>
      <c r="P3905">
        <v>268</v>
      </c>
      <c r="Q3905" t="s">
        <v>8155</v>
      </c>
    </row>
    <row r="3906" spans="1:17" x14ac:dyDescent="0.3">
      <c r="A3906" t="s">
        <v>17</v>
      </c>
      <c r="B3906" t="str">
        <f>"603117"</f>
        <v>603117</v>
      </c>
      <c r="C3906" t="s">
        <v>8156</v>
      </c>
      <c r="D3906" t="s">
        <v>272</v>
      </c>
      <c r="E3906">
        <v>-150431282</v>
      </c>
      <c r="F3906">
        <v>-455559135</v>
      </c>
      <c r="G3906">
        <v>-300867423</v>
      </c>
      <c r="H3906">
        <v>-468540206</v>
      </c>
      <c r="I3906">
        <v>-139325058</v>
      </c>
      <c r="J3906">
        <v>-13436101</v>
      </c>
      <c r="K3906">
        <v>-22598329</v>
      </c>
      <c r="L3906">
        <v>-72693310</v>
      </c>
      <c r="M3906">
        <v>-87765069</v>
      </c>
      <c r="P3906">
        <v>64</v>
      </c>
      <c r="Q3906" t="s">
        <v>8157</v>
      </c>
    </row>
    <row r="3907" spans="1:17" x14ac:dyDescent="0.3">
      <c r="A3907" t="s">
        <v>33</v>
      </c>
      <c r="B3907" t="str">
        <f>"300500"</f>
        <v>300500</v>
      </c>
      <c r="C3907" t="s">
        <v>8158</v>
      </c>
      <c r="D3907" t="s">
        <v>4300</v>
      </c>
      <c r="E3907">
        <v>-150624169</v>
      </c>
      <c r="F3907">
        <v>-125373139</v>
      </c>
      <c r="G3907">
        <v>-281617</v>
      </c>
      <c r="H3907">
        <v>-35389424</v>
      </c>
      <c r="I3907">
        <v>-37699644</v>
      </c>
      <c r="J3907">
        <v>-52184609</v>
      </c>
      <c r="K3907">
        <v>-6239370</v>
      </c>
      <c r="L3907">
        <v>-35168721</v>
      </c>
      <c r="P3907">
        <v>100</v>
      </c>
      <c r="Q3907" t="s">
        <v>8159</v>
      </c>
    </row>
    <row r="3908" spans="1:17" x14ac:dyDescent="0.3">
      <c r="A3908" t="s">
        <v>33</v>
      </c>
      <c r="B3908" t="str">
        <f>"002657"</f>
        <v>002657</v>
      </c>
      <c r="C3908" t="s">
        <v>8160</v>
      </c>
      <c r="D3908" t="s">
        <v>508</v>
      </c>
      <c r="E3908">
        <v>-150783992</v>
      </c>
      <c r="F3908">
        <v>-282950623</v>
      </c>
      <c r="G3908">
        <v>-155313934</v>
      </c>
      <c r="H3908">
        <v>-194793269</v>
      </c>
      <c r="I3908">
        <v>-300202646</v>
      </c>
      <c r="J3908">
        <v>-133331167</v>
      </c>
      <c r="K3908">
        <v>-122727869</v>
      </c>
      <c r="L3908">
        <v>-103786774</v>
      </c>
      <c r="M3908">
        <v>-186891321</v>
      </c>
      <c r="N3908">
        <v>-160492434</v>
      </c>
      <c r="O3908">
        <v>-42374776</v>
      </c>
      <c r="P3908">
        <v>154</v>
      </c>
      <c r="Q3908" t="s">
        <v>8161</v>
      </c>
    </row>
    <row r="3909" spans="1:17" x14ac:dyDescent="0.3">
      <c r="A3909" t="s">
        <v>17</v>
      </c>
      <c r="B3909" t="str">
        <f>"603555"</f>
        <v>603555</v>
      </c>
      <c r="C3909" t="s">
        <v>8162</v>
      </c>
      <c r="D3909" t="s">
        <v>5484</v>
      </c>
      <c r="E3909">
        <v>-150820146</v>
      </c>
      <c r="F3909">
        <v>-11767602</v>
      </c>
      <c r="G3909">
        <v>-39079449</v>
      </c>
      <c r="H3909">
        <v>76007028</v>
      </c>
      <c r="I3909">
        <v>276407230</v>
      </c>
      <c r="J3909">
        <v>33979960</v>
      </c>
      <c r="K3909">
        <v>-277654346</v>
      </c>
      <c r="L3909">
        <v>-283504697</v>
      </c>
      <c r="M3909">
        <v>-122200887</v>
      </c>
      <c r="N3909">
        <v>-164975845</v>
      </c>
      <c r="P3909">
        <v>81</v>
      </c>
      <c r="Q3909" t="s">
        <v>8163</v>
      </c>
    </row>
    <row r="3910" spans="1:17" x14ac:dyDescent="0.3">
      <c r="A3910" t="s">
        <v>33</v>
      </c>
      <c r="B3910" t="str">
        <f>"002051"</f>
        <v>002051</v>
      </c>
      <c r="C3910" t="s">
        <v>8164</v>
      </c>
      <c r="D3910" t="s">
        <v>8165</v>
      </c>
      <c r="E3910">
        <v>-150908955</v>
      </c>
      <c r="F3910">
        <v>-717569099</v>
      </c>
      <c r="G3910">
        <v>-759438932</v>
      </c>
      <c r="H3910">
        <v>-540301247</v>
      </c>
      <c r="I3910">
        <v>-245329149</v>
      </c>
      <c r="J3910">
        <v>-1566138676</v>
      </c>
      <c r="K3910">
        <v>-740910247</v>
      </c>
      <c r="L3910">
        <v>144038900</v>
      </c>
      <c r="M3910">
        <v>316083062</v>
      </c>
      <c r="N3910">
        <v>-584674479</v>
      </c>
      <c r="O3910">
        <v>-377097637</v>
      </c>
      <c r="P3910">
        <v>556</v>
      </c>
      <c r="Q3910" t="s">
        <v>8166</v>
      </c>
    </row>
    <row r="3911" spans="1:17" x14ac:dyDescent="0.3">
      <c r="A3911" t="s">
        <v>17</v>
      </c>
      <c r="B3911" t="str">
        <f>"600499"</f>
        <v>600499</v>
      </c>
      <c r="C3911" t="s">
        <v>8167</v>
      </c>
      <c r="D3911" t="s">
        <v>1895</v>
      </c>
      <c r="E3911">
        <v>-151140744</v>
      </c>
      <c r="F3911">
        <v>18035882</v>
      </c>
      <c r="G3911">
        <v>-57769854</v>
      </c>
      <c r="H3911">
        <v>109830522</v>
      </c>
      <c r="I3911">
        <v>-291127099</v>
      </c>
      <c r="J3911">
        <v>-141685051</v>
      </c>
      <c r="K3911">
        <v>-196149299</v>
      </c>
      <c r="L3911">
        <v>71084910</v>
      </c>
      <c r="M3911">
        <v>-288571190</v>
      </c>
      <c r="N3911">
        <v>-67752271</v>
      </c>
      <c r="O3911">
        <v>18234058</v>
      </c>
      <c r="P3911">
        <v>246</v>
      </c>
      <c r="Q3911" t="s">
        <v>8168</v>
      </c>
    </row>
    <row r="3912" spans="1:17" x14ac:dyDescent="0.3">
      <c r="A3912" t="s">
        <v>33</v>
      </c>
      <c r="B3912" t="str">
        <f>"300465"</f>
        <v>300465</v>
      </c>
      <c r="C3912" t="s">
        <v>8169</v>
      </c>
      <c r="D3912" t="s">
        <v>807</v>
      </c>
      <c r="E3912">
        <v>-151390010</v>
      </c>
      <c r="F3912">
        <v>-277855629</v>
      </c>
      <c r="G3912">
        <v>-340174175</v>
      </c>
      <c r="H3912">
        <v>-229436234</v>
      </c>
      <c r="I3912">
        <v>-81452034</v>
      </c>
      <c r="J3912">
        <v>-155169807</v>
      </c>
      <c r="K3912">
        <v>-62430497</v>
      </c>
      <c r="L3912">
        <v>-109778305</v>
      </c>
      <c r="M3912">
        <v>-139974351</v>
      </c>
      <c r="P3912">
        <v>252</v>
      </c>
      <c r="Q3912" t="s">
        <v>8170</v>
      </c>
    </row>
    <row r="3913" spans="1:17" x14ac:dyDescent="0.3">
      <c r="A3913" t="s">
        <v>17</v>
      </c>
      <c r="B3913" t="str">
        <f>"603806"</f>
        <v>603806</v>
      </c>
      <c r="C3913" t="s">
        <v>8171</v>
      </c>
      <c r="D3913" t="s">
        <v>800</v>
      </c>
      <c r="E3913">
        <v>-151427020</v>
      </c>
      <c r="F3913">
        <v>-770573337</v>
      </c>
      <c r="G3913">
        <v>-137126565</v>
      </c>
      <c r="H3913">
        <v>-184668373</v>
      </c>
      <c r="I3913">
        <v>-16228910</v>
      </c>
      <c r="J3913">
        <v>-211474490</v>
      </c>
      <c r="K3913">
        <v>-5650602</v>
      </c>
      <c r="L3913">
        <v>-192545929</v>
      </c>
      <c r="M3913">
        <v>15919872</v>
      </c>
      <c r="P3913">
        <v>1029</v>
      </c>
      <c r="Q3913" t="s">
        <v>8172</v>
      </c>
    </row>
    <row r="3914" spans="1:17" x14ac:dyDescent="0.3">
      <c r="A3914" t="s">
        <v>17</v>
      </c>
      <c r="B3914" t="str">
        <f>"600222"</f>
        <v>600222</v>
      </c>
      <c r="C3914" t="s">
        <v>8173</v>
      </c>
      <c r="D3914" t="s">
        <v>533</v>
      </c>
      <c r="E3914">
        <v>-151971688</v>
      </c>
      <c r="F3914">
        <v>-43519728</v>
      </c>
      <c r="G3914">
        <v>15418458</v>
      </c>
      <c r="H3914">
        <v>-19510264</v>
      </c>
      <c r="I3914">
        <v>-21319403</v>
      </c>
      <c r="J3914">
        <v>-11211067</v>
      </c>
      <c r="K3914">
        <v>-18308384</v>
      </c>
      <c r="L3914">
        <v>-67059901</v>
      </c>
      <c r="M3914">
        <v>1151840</v>
      </c>
      <c r="N3914">
        <v>1548473</v>
      </c>
      <c r="O3914">
        <v>14395292</v>
      </c>
      <c r="P3914">
        <v>132</v>
      </c>
      <c r="Q3914" t="s">
        <v>8174</v>
      </c>
    </row>
    <row r="3915" spans="1:17" x14ac:dyDescent="0.3">
      <c r="A3915" t="s">
        <v>33</v>
      </c>
      <c r="B3915" t="str">
        <f>"002687"</f>
        <v>002687</v>
      </c>
      <c r="C3915" t="s">
        <v>8175</v>
      </c>
      <c r="D3915" t="s">
        <v>581</v>
      </c>
      <c r="E3915">
        <v>-152116995</v>
      </c>
      <c r="F3915">
        <v>-146899038</v>
      </c>
      <c r="G3915">
        <v>-146006174</v>
      </c>
      <c r="H3915">
        <v>-120168100</v>
      </c>
      <c r="I3915">
        <v>-124200310</v>
      </c>
      <c r="J3915">
        <v>-72364129</v>
      </c>
      <c r="K3915">
        <v>-79359600</v>
      </c>
      <c r="L3915">
        <v>-67608911</v>
      </c>
      <c r="M3915">
        <v>-67162124</v>
      </c>
      <c r="N3915">
        <v>-18136971</v>
      </c>
      <c r="O3915">
        <v>-25188860</v>
      </c>
      <c r="P3915">
        <v>127</v>
      </c>
      <c r="Q3915" t="s">
        <v>8176</v>
      </c>
    </row>
    <row r="3916" spans="1:17" x14ac:dyDescent="0.3">
      <c r="A3916" t="s">
        <v>33</v>
      </c>
      <c r="B3916" t="str">
        <f>"301060"</f>
        <v>301060</v>
      </c>
      <c r="C3916" t="s">
        <v>8177</v>
      </c>
      <c r="D3916" t="s">
        <v>2198</v>
      </c>
      <c r="E3916">
        <v>-152146040</v>
      </c>
      <c r="P3916">
        <v>41</v>
      </c>
      <c r="Q3916" t="s">
        <v>8178</v>
      </c>
    </row>
    <row r="3917" spans="1:17" x14ac:dyDescent="0.3">
      <c r="A3917" t="s">
        <v>33</v>
      </c>
      <c r="B3917" t="str">
        <f>"300702"</f>
        <v>300702</v>
      </c>
      <c r="C3917" t="s">
        <v>8179</v>
      </c>
      <c r="D3917" t="s">
        <v>941</v>
      </c>
      <c r="E3917">
        <v>-152209145</v>
      </c>
      <c r="F3917">
        <v>-74377479</v>
      </c>
      <c r="G3917">
        <v>183453694</v>
      </c>
      <c r="H3917">
        <v>101964729</v>
      </c>
      <c r="I3917">
        <v>-49480376</v>
      </c>
      <c r="J3917">
        <v>-34493598</v>
      </c>
      <c r="P3917">
        <v>411</v>
      </c>
      <c r="Q3917" t="s">
        <v>8180</v>
      </c>
    </row>
    <row r="3918" spans="1:17" x14ac:dyDescent="0.3">
      <c r="A3918" t="s">
        <v>17</v>
      </c>
      <c r="B3918" t="str">
        <f>"688178"</f>
        <v>688178</v>
      </c>
      <c r="C3918" t="s">
        <v>8181</v>
      </c>
      <c r="D3918" t="s">
        <v>932</v>
      </c>
      <c r="E3918">
        <v>-152360270</v>
      </c>
      <c r="F3918">
        <v>-102657566</v>
      </c>
      <c r="G3918">
        <v>-46340318</v>
      </c>
      <c r="H3918">
        <v>-68637141</v>
      </c>
      <c r="P3918">
        <v>69</v>
      </c>
      <c r="Q3918" t="s">
        <v>8182</v>
      </c>
    </row>
    <row r="3919" spans="1:17" x14ac:dyDescent="0.3">
      <c r="A3919" t="s">
        <v>17</v>
      </c>
      <c r="B3919" t="str">
        <f>"600266"</f>
        <v>600266</v>
      </c>
      <c r="C3919" t="s">
        <v>8183</v>
      </c>
      <c r="D3919" t="s">
        <v>167</v>
      </c>
      <c r="E3919">
        <v>-152608967</v>
      </c>
      <c r="F3919">
        <v>-4264465382</v>
      </c>
      <c r="G3919">
        <v>-1118804369</v>
      </c>
      <c r="H3919">
        <v>-1942414587</v>
      </c>
      <c r="I3919">
        <v>-849853607</v>
      </c>
      <c r="J3919">
        <v>-996083597</v>
      </c>
      <c r="K3919">
        <v>-1255477155</v>
      </c>
      <c r="L3919">
        <v>-345827009</v>
      </c>
      <c r="M3919">
        <v>-1961741871</v>
      </c>
      <c r="N3919">
        <v>615179148</v>
      </c>
      <c r="O3919">
        <v>-68184211</v>
      </c>
      <c r="P3919">
        <v>338</v>
      </c>
      <c r="Q3919" t="s">
        <v>8184</v>
      </c>
    </row>
    <row r="3920" spans="1:17" x14ac:dyDescent="0.3">
      <c r="A3920" t="s">
        <v>33</v>
      </c>
      <c r="B3920" t="str">
        <f>"300477"</f>
        <v>300477</v>
      </c>
      <c r="C3920" t="s">
        <v>8185</v>
      </c>
      <c r="D3920" t="s">
        <v>298</v>
      </c>
      <c r="E3920">
        <v>-152641538</v>
      </c>
      <c r="F3920">
        <v>-9899666</v>
      </c>
      <c r="G3920">
        <v>-107617524</v>
      </c>
      <c r="H3920">
        <v>-114281083</v>
      </c>
      <c r="I3920">
        <v>-147917216</v>
      </c>
      <c r="J3920">
        <v>-81420825</v>
      </c>
      <c r="K3920">
        <v>-10478601</v>
      </c>
      <c r="L3920">
        <v>-84392976</v>
      </c>
      <c r="M3920">
        <v>-76699913</v>
      </c>
      <c r="P3920">
        <v>100</v>
      </c>
      <c r="Q3920" t="s">
        <v>8186</v>
      </c>
    </row>
    <row r="3921" spans="1:17" x14ac:dyDescent="0.3">
      <c r="A3921" t="s">
        <v>17</v>
      </c>
      <c r="B3921" t="str">
        <f>"600805"</f>
        <v>600805</v>
      </c>
      <c r="C3921" t="s">
        <v>8187</v>
      </c>
      <c r="D3921" t="s">
        <v>523</v>
      </c>
      <c r="E3921">
        <v>-152769330</v>
      </c>
      <c r="F3921">
        <v>-194111309</v>
      </c>
      <c r="G3921">
        <v>-161136415</v>
      </c>
      <c r="H3921">
        <v>-104236063</v>
      </c>
      <c r="I3921">
        <v>81674084</v>
      </c>
      <c r="J3921">
        <v>76520086</v>
      </c>
      <c r="K3921">
        <v>82205941</v>
      </c>
      <c r="L3921">
        <v>95944557</v>
      </c>
      <c r="M3921">
        <v>120167616</v>
      </c>
      <c r="N3921">
        <v>111369472</v>
      </c>
      <c r="O3921">
        <v>107569857</v>
      </c>
      <c r="P3921">
        <v>106</v>
      </c>
      <c r="Q3921" t="s">
        <v>8188</v>
      </c>
    </row>
    <row r="3922" spans="1:17" x14ac:dyDescent="0.3">
      <c r="A3922" t="s">
        <v>33</v>
      </c>
      <c r="B3922" t="str">
        <f>"001308"</f>
        <v>001308</v>
      </c>
      <c r="C3922" t="s">
        <v>8189</v>
      </c>
      <c r="E3922">
        <v>-153924039</v>
      </c>
      <c r="F3922">
        <v>62213588</v>
      </c>
      <c r="P3922">
        <v>5</v>
      </c>
      <c r="Q3922" t="s">
        <v>8190</v>
      </c>
    </row>
    <row r="3923" spans="1:17" x14ac:dyDescent="0.3">
      <c r="A3923" t="s">
        <v>33</v>
      </c>
      <c r="B3923" t="str">
        <f>"200771"</f>
        <v>200771</v>
      </c>
      <c r="C3923" t="s">
        <v>8191</v>
      </c>
      <c r="E3923">
        <v>-154065154.204</v>
      </c>
      <c r="F3923">
        <v>186614833.706</v>
      </c>
      <c r="G3923">
        <v>164068351.28639999</v>
      </c>
      <c r="H3923">
        <v>-12238804.017899999</v>
      </c>
      <c r="I3923">
        <v>158469922.62400001</v>
      </c>
      <c r="J3923">
        <v>-226472846.2656</v>
      </c>
      <c r="K3923">
        <v>22285222.5986</v>
      </c>
      <c r="L3923">
        <v>-61631273.75</v>
      </c>
      <c r="M3923">
        <v>121041545.7528</v>
      </c>
      <c r="N3923">
        <v>161083266.303</v>
      </c>
      <c r="O3923">
        <v>198230604.77700001</v>
      </c>
      <c r="P3923">
        <v>65</v>
      </c>
      <c r="Q3923" t="s">
        <v>8192</v>
      </c>
    </row>
    <row r="3924" spans="1:17" x14ac:dyDescent="0.3">
      <c r="A3924" t="s">
        <v>17</v>
      </c>
      <c r="B3924" t="str">
        <f>"601127"</f>
        <v>601127</v>
      </c>
      <c r="C3924" t="s">
        <v>8193</v>
      </c>
      <c r="D3924" t="s">
        <v>641</v>
      </c>
      <c r="E3924">
        <v>-154087920</v>
      </c>
      <c r="F3924">
        <v>-261440293</v>
      </c>
      <c r="G3924">
        <v>-479223462</v>
      </c>
      <c r="H3924">
        <v>-305328416</v>
      </c>
      <c r="I3924">
        <v>656102240</v>
      </c>
      <c r="J3924">
        <v>521381915</v>
      </c>
      <c r="K3924">
        <v>186509200</v>
      </c>
      <c r="L3924">
        <v>25332100</v>
      </c>
      <c r="P3924">
        <v>476</v>
      </c>
      <c r="Q3924" t="s">
        <v>8194</v>
      </c>
    </row>
    <row r="3925" spans="1:17" x14ac:dyDescent="0.3">
      <c r="A3925" t="s">
        <v>33</v>
      </c>
      <c r="B3925" t="str">
        <f>"000796"</f>
        <v>000796</v>
      </c>
      <c r="C3925" t="s">
        <v>8195</v>
      </c>
      <c r="D3925" t="s">
        <v>4691</v>
      </c>
      <c r="E3925">
        <v>-154198847</v>
      </c>
      <c r="F3925">
        <v>-146288953</v>
      </c>
      <c r="G3925">
        <v>-293331017</v>
      </c>
      <c r="H3925">
        <v>-63945066</v>
      </c>
      <c r="I3925">
        <v>-138323980</v>
      </c>
      <c r="J3925">
        <v>-166718518</v>
      </c>
      <c r="K3925">
        <v>-461050432</v>
      </c>
      <c r="L3925">
        <v>-11795397</v>
      </c>
      <c r="M3925">
        <v>18677563</v>
      </c>
      <c r="N3925">
        <v>-55323469</v>
      </c>
      <c r="O3925">
        <v>-3555921</v>
      </c>
      <c r="P3925">
        <v>224</v>
      </c>
      <c r="Q3925" t="s">
        <v>8196</v>
      </c>
    </row>
    <row r="3926" spans="1:17" x14ac:dyDescent="0.3">
      <c r="A3926" t="s">
        <v>17</v>
      </c>
      <c r="B3926" t="str">
        <f>"600604"</f>
        <v>600604</v>
      </c>
      <c r="C3926" t="s">
        <v>8197</v>
      </c>
      <c r="D3926" t="s">
        <v>1135</v>
      </c>
      <c r="E3926">
        <v>-154492658</v>
      </c>
      <c r="F3926">
        <v>-367530720</v>
      </c>
      <c r="G3926">
        <v>-173417678</v>
      </c>
      <c r="H3926">
        <v>-571517934</v>
      </c>
      <c r="I3926">
        <v>-427407875</v>
      </c>
      <c r="J3926">
        <v>-548398143</v>
      </c>
      <c r="K3926">
        <v>-1357733081</v>
      </c>
      <c r="L3926">
        <v>-527967467</v>
      </c>
      <c r="M3926">
        <v>-53071148</v>
      </c>
      <c r="N3926">
        <v>-66814610</v>
      </c>
      <c r="O3926">
        <v>-35134678</v>
      </c>
      <c r="P3926">
        <v>138</v>
      </c>
      <c r="Q3926" t="s">
        <v>8198</v>
      </c>
    </row>
    <row r="3927" spans="1:17" x14ac:dyDescent="0.3">
      <c r="A3927" t="s">
        <v>17</v>
      </c>
      <c r="B3927" t="str">
        <f>"601956"</f>
        <v>601956</v>
      </c>
      <c r="C3927" t="s">
        <v>8199</v>
      </c>
      <c r="D3927" t="s">
        <v>1869</v>
      </c>
      <c r="E3927">
        <v>-154752067</v>
      </c>
      <c r="F3927">
        <v>563971593</v>
      </c>
      <c r="G3927">
        <v>-132930197</v>
      </c>
      <c r="P3927">
        <v>23</v>
      </c>
      <c r="Q3927" t="s">
        <v>8200</v>
      </c>
    </row>
    <row r="3928" spans="1:17" x14ac:dyDescent="0.3">
      <c r="A3928" t="s">
        <v>33</v>
      </c>
      <c r="B3928" t="str">
        <f>"301268"</f>
        <v>301268</v>
      </c>
      <c r="C3928" t="s">
        <v>8201</v>
      </c>
      <c r="E3928">
        <v>-154923309</v>
      </c>
      <c r="P3928">
        <v>2</v>
      </c>
      <c r="Q3928" t="s">
        <v>8202</v>
      </c>
    </row>
    <row r="3929" spans="1:17" x14ac:dyDescent="0.3">
      <c r="A3929" t="s">
        <v>33</v>
      </c>
      <c r="B3929" t="str">
        <f>"300082"</f>
        <v>300082</v>
      </c>
      <c r="C3929" t="s">
        <v>8203</v>
      </c>
      <c r="D3929" t="s">
        <v>1022</v>
      </c>
      <c r="E3929">
        <v>-155105628</v>
      </c>
      <c r="F3929">
        <v>-226051216</v>
      </c>
      <c r="G3929">
        <v>-133819113</v>
      </c>
      <c r="H3929">
        <v>342088893</v>
      </c>
      <c r="I3929">
        <v>-263766623</v>
      </c>
      <c r="J3929">
        <v>-172983774</v>
      </c>
      <c r="K3929">
        <v>-10513366</v>
      </c>
      <c r="L3929">
        <v>-20560250</v>
      </c>
      <c r="M3929">
        <v>-253903870</v>
      </c>
      <c r="N3929">
        <v>-171500608</v>
      </c>
      <c r="O3929">
        <v>-82746144</v>
      </c>
      <c r="P3929">
        <v>176</v>
      </c>
      <c r="Q3929" t="s">
        <v>8204</v>
      </c>
    </row>
    <row r="3930" spans="1:17" x14ac:dyDescent="0.3">
      <c r="A3930" t="s">
        <v>33</v>
      </c>
      <c r="B3930" t="str">
        <f>"002840"</f>
        <v>002840</v>
      </c>
      <c r="C3930" t="s">
        <v>8205</v>
      </c>
      <c r="D3930" t="s">
        <v>740</v>
      </c>
      <c r="E3930">
        <v>-156130923</v>
      </c>
      <c r="F3930">
        <v>70831718</v>
      </c>
      <c r="G3930">
        <v>119229314</v>
      </c>
      <c r="H3930">
        <v>-27131947</v>
      </c>
      <c r="I3930">
        <v>23018367</v>
      </c>
      <c r="J3930">
        <v>48637758</v>
      </c>
      <c r="K3930">
        <v>38232910</v>
      </c>
      <c r="P3930">
        <v>600</v>
      </c>
      <c r="Q3930" t="s">
        <v>8206</v>
      </c>
    </row>
    <row r="3931" spans="1:17" x14ac:dyDescent="0.3">
      <c r="A3931" t="s">
        <v>17</v>
      </c>
      <c r="B3931" t="str">
        <f>"600159"</f>
        <v>600159</v>
      </c>
      <c r="C3931" t="s">
        <v>8207</v>
      </c>
      <c r="D3931" t="s">
        <v>167</v>
      </c>
      <c r="E3931">
        <v>-156243806</v>
      </c>
      <c r="F3931">
        <v>-13421659</v>
      </c>
      <c r="G3931">
        <v>-167595475</v>
      </c>
      <c r="H3931">
        <v>-119339512</v>
      </c>
      <c r="I3931">
        <v>-88956911</v>
      </c>
      <c r="J3931">
        <v>-260219526</v>
      </c>
      <c r="K3931">
        <v>12686881</v>
      </c>
      <c r="L3931">
        <v>-62982343</v>
      </c>
      <c r="M3931">
        <v>-85740850</v>
      </c>
      <c r="N3931">
        <v>-27428181</v>
      </c>
      <c r="O3931">
        <v>-187783709</v>
      </c>
      <c r="P3931">
        <v>87</v>
      </c>
      <c r="Q3931" t="s">
        <v>8208</v>
      </c>
    </row>
    <row r="3932" spans="1:17" x14ac:dyDescent="0.3">
      <c r="A3932" t="s">
        <v>17</v>
      </c>
      <c r="B3932" t="str">
        <f>"688557"</f>
        <v>688557</v>
      </c>
      <c r="C3932" t="s">
        <v>8209</v>
      </c>
      <c r="D3932" t="s">
        <v>1033</v>
      </c>
      <c r="E3932">
        <v>-156319054</v>
      </c>
      <c r="F3932">
        <v>-24615415</v>
      </c>
      <c r="G3932">
        <v>7209846</v>
      </c>
      <c r="H3932">
        <v>-22243100</v>
      </c>
      <c r="P3932">
        <v>47</v>
      </c>
      <c r="Q3932" t="s">
        <v>8210</v>
      </c>
    </row>
    <row r="3933" spans="1:17" x14ac:dyDescent="0.3">
      <c r="A3933" t="s">
        <v>33</v>
      </c>
      <c r="B3933" t="str">
        <f>"300021"</f>
        <v>300021</v>
      </c>
      <c r="C3933" t="s">
        <v>8211</v>
      </c>
      <c r="D3933" t="s">
        <v>644</v>
      </c>
      <c r="E3933">
        <v>-156791398</v>
      </c>
      <c r="F3933">
        <v>-128676317</v>
      </c>
      <c r="G3933">
        <v>-50166598</v>
      </c>
      <c r="H3933">
        <v>-8501065</v>
      </c>
      <c r="I3933">
        <v>-202127762</v>
      </c>
      <c r="J3933">
        <v>-146185174</v>
      </c>
      <c r="K3933">
        <v>-96874760</v>
      </c>
      <c r="L3933">
        <v>-128350363</v>
      </c>
      <c r="M3933">
        <v>-72666853</v>
      </c>
      <c r="N3933">
        <v>-97039119</v>
      </c>
      <c r="O3933">
        <v>-67985819</v>
      </c>
      <c r="P3933">
        <v>174</v>
      </c>
      <c r="Q3933" t="s">
        <v>8212</v>
      </c>
    </row>
    <row r="3934" spans="1:17" x14ac:dyDescent="0.3">
      <c r="A3934" t="s">
        <v>17</v>
      </c>
      <c r="B3934" t="str">
        <f>"688246"</f>
        <v>688246</v>
      </c>
      <c r="C3934" t="s">
        <v>8213</v>
      </c>
      <c r="D3934" t="s">
        <v>807</v>
      </c>
      <c r="E3934">
        <v>-157222315</v>
      </c>
      <c r="G3934">
        <v>-95289744</v>
      </c>
      <c r="P3934">
        <v>12</v>
      </c>
      <c r="Q3934" t="s">
        <v>8214</v>
      </c>
    </row>
    <row r="3935" spans="1:17" x14ac:dyDescent="0.3">
      <c r="A3935" t="s">
        <v>17</v>
      </c>
      <c r="B3935" t="str">
        <f>"688128"</f>
        <v>688128</v>
      </c>
      <c r="C3935" t="s">
        <v>8215</v>
      </c>
      <c r="D3935" t="s">
        <v>1895</v>
      </c>
      <c r="E3935">
        <v>-157292300</v>
      </c>
      <c r="F3935">
        <v>-126835500</v>
      </c>
      <c r="G3935">
        <v>-160818400</v>
      </c>
      <c r="H3935">
        <v>6221815</v>
      </c>
      <c r="P3935">
        <v>68</v>
      </c>
      <c r="Q3935" t="s">
        <v>8216</v>
      </c>
    </row>
    <row r="3936" spans="1:17" x14ac:dyDescent="0.3">
      <c r="A3936" t="s">
        <v>33</v>
      </c>
      <c r="B3936" t="str">
        <f>"002488"</f>
        <v>002488</v>
      </c>
      <c r="C3936" t="s">
        <v>8217</v>
      </c>
      <c r="D3936" t="s">
        <v>1618</v>
      </c>
      <c r="E3936">
        <v>-157415899</v>
      </c>
      <c r="F3936">
        <v>-108198607</v>
      </c>
      <c r="G3936">
        <v>-619195</v>
      </c>
      <c r="H3936">
        <v>-246495412</v>
      </c>
      <c r="I3936">
        <v>-285409511</v>
      </c>
      <c r="J3936">
        <v>-32072305</v>
      </c>
      <c r="K3936">
        <v>10417308</v>
      </c>
      <c r="L3936">
        <v>-70193301</v>
      </c>
      <c r="M3936">
        <v>-52902457</v>
      </c>
      <c r="N3936">
        <v>-117166391</v>
      </c>
      <c r="O3936">
        <v>-28486235</v>
      </c>
      <c r="P3936">
        <v>152</v>
      </c>
      <c r="Q3936" t="s">
        <v>8218</v>
      </c>
    </row>
    <row r="3937" spans="1:17" x14ac:dyDescent="0.3">
      <c r="A3937" t="s">
        <v>17</v>
      </c>
      <c r="B3937" t="str">
        <f>"603897"</f>
        <v>603897</v>
      </c>
      <c r="C3937" t="s">
        <v>8219</v>
      </c>
      <c r="D3937" t="s">
        <v>1282</v>
      </c>
      <c r="E3937">
        <v>-157445792</v>
      </c>
      <c r="F3937">
        <v>-120324557</v>
      </c>
      <c r="G3937">
        <v>323080819</v>
      </c>
      <c r="H3937">
        <v>25587374</v>
      </c>
      <c r="I3937">
        <v>-560731819</v>
      </c>
      <c r="J3937">
        <v>-225053862</v>
      </c>
      <c r="P3937">
        <v>137</v>
      </c>
      <c r="Q3937" t="s">
        <v>8220</v>
      </c>
    </row>
    <row r="3938" spans="1:17" x14ac:dyDescent="0.3">
      <c r="A3938" t="s">
        <v>33</v>
      </c>
      <c r="B3938" t="str">
        <f>"002712"</f>
        <v>002712</v>
      </c>
      <c r="C3938" t="s">
        <v>8221</v>
      </c>
      <c r="D3938" t="s">
        <v>1125</v>
      </c>
      <c r="E3938">
        <v>-157484431</v>
      </c>
      <c r="F3938">
        <v>-125143130</v>
      </c>
      <c r="G3938">
        <v>-255129284</v>
      </c>
      <c r="H3938">
        <v>11979686</v>
      </c>
      <c r="I3938">
        <v>-107066024</v>
      </c>
      <c r="J3938">
        <v>-45520110</v>
      </c>
      <c r="K3938">
        <v>36097583</v>
      </c>
      <c r="L3938">
        <v>-4046368</v>
      </c>
      <c r="M3938">
        <v>-147891240</v>
      </c>
      <c r="N3938">
        <v>-181106314</v>
      </c>
      <c r="P3938">
        <v>107</v>
      </c>
      <c r="Q3938" t="s">
        <v>8222</v>
      </c>
    </row>
    <row r="3939" spans="1:17" x14ac:dyDescent="0.3">
      <c r="A3939" t="s">
        <v>17</v>
      </c>
      <c r="B3939" t="str">
        <f>"600152"</f>
        <v>600152</v>
      </c>
      <c r="C3939" t="s">
        <v>8223</v>
      </c>
      <c r="D3939" t="s">
        <v>156</v>
      </c>
      <c r="E3939">
        <v>-157607352</v>
      </c>
      <c r="F3939">
        <v>-2404996</v>
      </c>
      <c r="G3939">
        <v>9911139</v>
      </c>
      <c r="H3939">
        <v>-21679807</v>
      </c>
      <c r="I3939">
        <v>22883720</v>
      </c>
      <c r="J3939">
        <v>-15318635</v>
      </c>
      <c r="K3939">
        <v>-3764055</v>
      </c>
      <c r="L3939">
        <v>-17222731</v>
      </c>
      <c r="M3939">
        <v>-5889012</v>
      </c>
      <c r="N3939">
        <v>-35467456</v>
      </c>
      <c r="O3939">
        <v>-84389262</v>
      </c>
      <c r="P3939">
        <v>147</v>
      </c>
      <c r="Q3939" t="s">
        <v>8224</v>
      </c>
    </row>
    <row r="3940" spans="1:17" x14ac:dyDescent="0.3">
      <c r="A3940" t="s">
        <v>33</v>
      </c>
      <c r="B3940" t="str">
        <f>"002620"</f>
        <v>002620</v>
      </c>
      <c r="C3940" t="s">
        <v>8225</v>
      </c>
      <c r="D3940" t="s">
        <v>1779</v>
      </c>
      <c r="E3940">
        <v>-158263416</v>
      </c>
      <c r="F3940">
        <v>-142589003</v>
      </c>
      <c r="G3940">
        <v>-175112734</v>
      </c>
      <c r="H3940">
        <v>-99055414</v>
      </c>
      <c r="I3940">
        <v>-119159403</v>
      </c>
      <c r="J3940">
        <v>-39754658</v>
      </c>
      <c r="K3940">
        <v>-35056486</v>
      </c>
      <c r="L3940">
        <v>-42919110</v>
      </c>
      <c r="M3940">
        <v>-36700742</v>
      </c>
      <c r="N3940">
        <v>-107980521</v>
      </c>
      <c r="O3940">
        <v>-62690403</v>
      </c>
      <c r="P3940">
        <v>90</v>
      </c>
      <c r="Q3940" t="s">
        <v>8226</v>
      </c>
    </row>
    <row r="3941" spans="1:17" x14ac:dyDescent="0.3">
      <c r="A3941" t="s">
        <v>17</v>
      </c>
      <c r="B3941" t="str">
        <f>"603786"</f>
        <v>603786</v>
      </c>
      <c r="C3941" t="s">
        <v>8227</v>
      </c>
      <c r="D3941" t="s">
        <v>603</v>
      </c>
      <c r="E3941">
        <v>-158264618</v>
      </c>
      <c r="F3941">
        <v>112399537</v>
      </c>
      <c r="G3941">
        <v>186926497</v>
      </c>
      <c r="H3941">
        <v>63899984</v>
      </c>
      <c r="P3941">
        <v>345</v>
      </c>
      <c r="Q3941" t="s">
        <v>8228</v>
      </c>
    </row>
    <row r="3942" spans="1:17" x14ac:dyDescent="0.3">
      <c r="A3942" t="s">
        <v>17</v>
      </c>
      <c r="B3942" t="str">
        <f>"605208"</f>
        <v>605208</v>
      </c>
      <c r="C3942" t="s">
        <v>8229</v>
      </c>
      <c r="D3942" t="s">
        <v>140</v>
      </c>
      <c r="E3942">
        <v>-158515750</v>
      </c>
      <c r="F3942">
        <v>49073557</v>
      </c>
      <c r="G3942">
        <v>93570190</v>
      </c>
      <c r="P3942">
        <v>40</v>
      </c>
      <c r="Q3942" t="s">
        <v>8230</v>
      </c>
    </row>
    <row r="3943" spans="1:17" x14ac:dyDescent="0.3">
      <c r="A3943" t="s">
        <v>33</v>
      </c>
      <c r="B3943" t="str">
        <f>"300255"</f>
        <v>300255</v>
      </c>
      <c r="C3943" t="s">
        <v>8231</v>
      </c>
      <c r="D3943" t="s">
        <v>590</v>
      </c>
      <c r="E3943">
        <v>-158674888</v>
      </c>
      <c r="F3943">
        <v>74511494</v>
      </c>
      <c r="G3943">
        <v>-307050623</v>
      </c>
      <c r="H3943">
        <v>-128727835</v>
      </c>
      <c r="I3943">
        <v>-83550268</v>
      </c>
      <c r="J3943">
        <v>-72628499</v>
      </c>
      <c r="K3943">
        <v>-10649627</v>
      </c>
      <c r="L3943">
        <v>-105694474</v>
      </c>
      <c r="M3943">
        <v>-90321582</v>
      </c>
      <c r="N3943">
        <v>-96267699</v>
      </c>
      <c r="O3943">
        <v>-36074451</v>
      </c>
      <c r="P3943">
        <v>175</v>
      </c>
      <c r="Q3943" t="s">
        <v>8232</v>
      </c>
    </row>
    <row r="3944" spans="1:17" x14ac:dyDescent="0.3">
      <c r="A3944" t="s">
        <v>33</v>
      </c>
      <c r="B3944" t="str">
        <f>"300290"</f>
        <v>300290</v>
      </c>
      <c r="C3944" t="s">
        <v>8233</v>
      </c>
      <c r="D3944" t="s">
        <v>508</v>
      </c>
      <c r="E3944">
        <v>-158765752</v>
      </c>
      <c r="F3944">
        <v>-150097216</v>
      </c>
      <c r="G3944">
        <v>-140432508</v>
      </c>
      <c r="H3944">
        <v>-120178803</v>
      </c>
      <c r="I3944">
        <v>-47202575</v>
      </c>
      <c r="J3944">
        <v>-108188241</v>
      </c>
      <c r="K3944">
        <v>-69126129</v>
      </c>
      <c r="L3944">
        <v>-76002760</v>
      </c>
      <c r="M3944">
        <v>-34876320</v>
      </c>
      <c r="N3944">
        <v>-107561860</v>
      </c>
      <c r="O3944">
        <v>-73428922</v>
      </c>
      <c r="P3944">
        <v>113</v>
      </c>
      <c r="Q3944" t="s">
        <v>8234</v>
      </c>
    </row>
    <row r="3945" spans="1:17" x14ac:dyDescent="0.3">
      <c r="A3945" t="s">
        <v>17</v>
      </c>
      <c r="B3945" t="str">
        <f>"600199"</f>
        <v>600199</v>
      </c>
      <c r="C3945" t="s">
        <v>8235</v>
      </c>
      <c r="D3945" t="s">
        <v>229</v>
      </c>
      <c r="E3945">
        <v>-159184753</v>
      </c>
      <c r="F3945">
        <v>-138880771</v>
      </c>
      <c r="G3945">
        <v>-92172630</v>
      </c>
      <c r="H3945">
        <v>-168317141</v>
      </c>
      <c r="I3945">
        <v>-184101442</v>
      </c>
      <c r="J3945">
        <v>-148119918</v>
      </c>
      <c r="K3945">
        <v>-58096955</v>
      </c>
      <c r="L3945">
        <v>140661790</v>
      </c>
      <c r="M3945">
        <v>-7241338</v>
      </c>
      <c r="N3945">
        <v>123227958</v>
      </c>
      <c r="O3945">
        <v>46317545</v>
      </c>
      <c r="P3945">
        <v>383</v>
      </c>
      <c r="Q3945" t="s">
        <v>8236</v>
      </c>
    </row>
    <row r="3946" spans="1:17" x14ac:dyDescent="0.3">
      <c r="A3946" t="s">
        <v>17</v>
      </c>
      <c r="B3946" t="str">
        <f>"600180"</f>
        <v>600180</v>
      </c>
      <c r="C3946" t="s">
        <v>8237</v>
      </c>
      <c r="D3946" t="s">
        <v>5270</v>
      </c>
      <c r="E3946">
        <v>-159751640</v>
      </c>
      <c r="F3946">
        <v>542259870</v>
      </c>
      <c r="G3946">
        <v>335083859</v>
      </c>
      <c r="H3946">
        <v>1497433284</v>
      </c>
      <c r="I3946">
        <v>-517491991</v>
      </c>
      <c r="J3946">
        <v>-762563872</v>
      </c>
      <c r="K3946">
        <v>-1640557350</v>
      </c>
      <c r="L3946">
        <v>-454557176</v>
      </c>
      <c r="M3946">
        <v>95904954</v>
      </c>
      <c r="N3946">
        <v>-214444499</v>
      </c>
      <c r="O3946">
        <v>-1484260</v>
      </c>
      <c r="P3946">
        <v>151</v>
      </c>
      <c r="Q3946" t="s">
        <v>8238</v>
      </c>
    </row>
    <row r="3947" spans="1:17" x14ac:dyDescent="0.3">
      <c r="A3947" t="s">
        <v>33</v>
      </c>
      <c r="B3947" t="str">
        <f>"002501"</f>
        <v>002501</v>
      </c>
      <c r="C3947" t="s">
        <v>8239</v>
      </c>
      <c r="D3947" t="s">
        <v>140</v>
      </c>
      <c r="E3947">
        <v>-160026424</v>
      </c>
      <c r="F3947">
        <v>-306267923</v>
      </c>
      <c r="G3947">
        <v>-4524279</v>
      </c>
      <c r="H3947">
        <v>390136</v>
      </c>
      <c r="I3947">
        <v>107891050</v>
      </c>
      <c r="J3947">
        <v>257942775</v>
      </c>
      <c r="K3947">
        <v>432924341</v>
      </c>
      <c r="L3947">
        <v>213566871</v>
      </c>
      <c r="M3947">
        <v>130616703</v>
      </c>
      <c r="N3947">
        <v>243308843</v>
      </c>
      <c r="O3947">
        <v>285676359</v>
      </c>
      <c r="P3947">
        <v>107</v>
      </c>
      <c r="Q3947" t="s">
        <v>8240</v>
      </c>
    </row>
    <row r="3948" spans="1:17" x14ac:dyDescent="0.3">
      <c r="A3948" t="s">
        <v>17</v>
      </c>
      <c r="B3948" t="str">
        <f>"600302"</f>
        <v>600302</v>
      </c>
      <c r="C3948" t="s">
        <v>8241</v>
      </c>
      <c r="D3948" t="s">
        <v>2847</v>
      </c>
      <c r="E3948">
        <v>-160030725</v>
      </c>
      <c r="F3948">
        <v>2368990</v>
      </c>
      <c r="G3948">
        <v>-18066611</v>
      </c>
      <c r="H3948">
        <v>-77859969</v>
      </c>
      <c r="I3948">
        <v>-38511505</v>
      </c>
      <c r="J3948">
        <v>-27413119</v>
      </c>
      <c r="K3948">
        <v>-60409944</v>
      </c>
      <c r="L3948">
        <v>-60249726</v>
      </c>
      <c r="M3948">
        <v>-33697529</v>
      </c>
      <c r="N3948">
        <v>-8199437</v>
      </c>
      <c r="O3948">
        <v>1713429</v>
      </c>
      <c r="P3948">
        <v>51</v>
      </c>
      <c r="Q3948" t="s">
        <v>8242</v>
      </c>
    </row>
    <row r="3949" spans="1:17" x14ac:dyDescent="0.3">
      <c r="A3949" t="s">
        <v>33</v>
      </c>
      <c r="B3949" t="str">
        <f>"002777"</f>
        <v>002777</v>
      </c>
      <c r="C3949" t="s">
        <v>8243</v>
      </c>
      <c r="D3949" t="s">
        <v>508</v>
      </c>
      <c r="E3949">
        <v>-160805851</v>
      </c>
      <c r="F3949">
        <v>-111955512</v>
      </c>
      <c r="G3949">
        <v>-119383012</v>
      </c>
      <c r="H3949">
        <v>-92947202</v>
      </c>
      <c r="I3949">
        <v>-95763477</v>
      </c>
      <c r="J3949">
        <v>-58527684</v>
      </c>
      <c r="K3949">
        <v>-46925121</v>
      </c>
      <c r="L3949">
        <v>-46306200</v>
      </c>
      <c r="P3949">
        <v>372</v>
      </c>
      <c r="Q3949" t="s">
        <v>8244</v>
      </c>
    </row>
    <row r="3950" spans="1:17" x14ac:dyDescent="0.3">
      <c r="A3950" t="s">
        <v>33</v>
      </c>
      <c r="B3950" t="str">
        <f>"001210"</f>
        <v>001210</v>
      </c>
      <c r="C3950" t="s">
        <v>8245</v>
      </c>
      <c r="D3950" t="s">
        <v>1094</v>
      </c>
      <c r="E3950">
        <v>-161087518</v>
      </c>
      <c r="F3950">
        <v>-121511161</v>
      </c>
      <c r="G3950">
        <v>-129257701</v>
      </c>
      <c r="P3950">
        <v>27</v>
      </c>
      <c r="Q3950" t="s">
        <v>8246</v>
      </c>
    </row>
    <row r="3951" spans="1:17" x14ac:dyDescent="0.3">
      <c r="A3951" t="s">
        <v>17</v>
      </c>
      <c r="B3951" t="str">
        <f>"601177"</f>
        <v>601177</v>
      </c>
      <c r="C3951" t="s">
        <v>8247</v>
      </c>
      <c r="D3951" t="s">
        <v>164</v>
      </c>
      <c r="E3951">
        <v>-161796857</v>
      </c>
      <c r="F3951">
        <v>-72948823</v>
      </c>
      <c r="G3951">
        <v>-2618359</v>
      </c>
      <c r="H3951">
        <v>-34760334</v>
      </c>
      <c r="I3951">
        <v>-55993037</v>
      </c>
      <c r="J3951">
        <v>-79831609</v>
      </c>
      <c r="K3951">
        <v>-30826945</v>
      </c>
      <c r="L3951">
        <v>-46294518</v>
      </c>
      <c r="M3951">
        <v>34417163</v>
      </c>
      <c r="N3951">
        <v>29021638</v>
      </c>
      <c r="O3951">
        <v>-32887688</v>
      </c>
      <c r="P3951">
        <v>74</v>
      </c>
      <c r="Q3951" t="s">
        <v>8248</v>
      </c>
    </row>
    <row r="3952" spans="1:17" x14ac:dyDescent="0.3">
      <c r="A3952" t="s">
        <v>33</v>
      </c>
      <c r="B3952" t="str">
        <f>"300699"</f>
        <v>300699</v>
      </c>
      <c r="C3952" t="s">
        <v>8249</v>
      </c>
      <c r="D3952" t="s">
        <v>2262</v>
      </c>
      <c r="E3952">
        <v>-161928810</v>
      </c>
      <c r="F3952">
        <v>-183279598</v>
      </c>
      <c r="G3952">
        <v>-116680603</v>
      </c>
      <c r="H3952">
        <v>105210268</v>
      </c>
      <c r="I3952">
        <v>-17104184</v>
      </c>
      <c r="J3952">
        <v>88145193</v>
      </c>
      <c r="P3952">
        <v>914</v>
      </c>
      <c r="Q3952" t="s">
        <v>8250</v>
      </c>
    </row>
    <row r="3953" spans="1:17" x14ac:dyDescent="0.3">
      <c r="A3953" t="s">
        <v>17</v>
      </c>
      <c r="B3953" t="str">
        <f>"600326"</f>
        <v>600326</v>
      </c>
      <c r="C3953" t="s">
        <v>8251</v>
      </c>
      <c r="D3953" t="s">
        <v>260</v>
      </c>
      <c r="E3953">
        <v>-162205017</v>
      </c>
      <c r="F3953">
        <v>-479748717</v>
      </c>
      <c r="G3953">
        <v>-384100698</v>
      </c>
      <c r="H3953">
        <v>-645040246</v>
      </c>
      <c r="I3953">
        <v>-366896840</v>
      </c>
      <c r="J3953">
        <v>-142951573</v>
      </c>
      <c r="K3953">
        <v>-226845245</v>
      </c>
      <c r="L3953">
        <v>-55827428</v>
      </c>
      <c r="M3953">
        <v>-145544122</v>
      </c>
      <c r="N3953">
        <v>-166276507</v>
      </c>
      <c r="O3953">
        <v>-88199204</v>
      </c>
      <c r="P3953">
        <v>275</v>
      </c>
      <c r="Q3953" t="s">
        <v>8252</v>
      </c>
    </row>
    <row r="3954" spans="1:17" x14ac:dyDescent="0.3">
      <c r="A3954" t="s">
        <v>33</v>
      </c>
      <c r="B3954" t="str">
        <f>"002476"</f>
        <v>002476</v>
      </c>
      <c r="C3954" t="s">
        <v>8253</v>
      </c>
      <c r="D3954" t="s">
        <v>732</v>
      </c>
      <c r="E3954">
        <v>-162458934</v>
      </c>
      <c r="F3954">
        <v>-24432536</v>
      </c>
      <c r="G3954">
        <v>36788137</v>
      </c>
      <c r="H3954">
        <v>192383</v>
      </c>
      <c r="I3954">
        <v>12847778</v>
      </c>
      <c r="J3954">
        <v>5123870</v>
      </c>
      <c r="K3954">
        <v>10518456</v>
      </c>
      <c r="L3954">
        <v>49602239</v>
      </c>
      <c r="M3954">
        <v>-72409084</v>
      </c>
      <c r="N3954">
        <v>-51215553</v>
      </c>
      <c r="O3954">
        <v>-19167113</v>
      </c>
      <c r="P3954">
        <v>85</v>
      </c>
      <c r="Q3954" t="s">
        <v>8254</v>
      </c>
    </row>
    <row r="3955" spans="1:17" x14ac:dyDescent="0.3">
      <c r="A3955" t="s">
        <v>17</v>
      </c>
      <c r="B3955" t="str">
        <f>"603118"</f>
        <v>603118</v>
      </c>
      <c r="C3955" t="s">
        <v>8255</v>
      </c>
      <c r="D3955" t="s">
        <v>1347</v>
      </c>
      <c r="E3955">
        <v>-162812420</v>
      </c>
      <c r="F3955">
        <v>-49640735</v>
      </c>
      <c r="G3955">
        <v>96611397</v>
      </c>
      <c r="H3955">
        <v>155506151</v>
      </c>
      <c r="I3955">
        <v>159328373</v>
      </c>
      <c r="J3955">
        <v>119703466</v>
      </c>
      <c r="K3955">
        <v>338405781</v>
      </c>
      <c r="L3955">
        <v>-319109594</v>
      </c>
      <c r="M3955">
        <v>62521649</v>
      </c>
      <c r="P3955">
        <v>243</v>
      </c>
      <c r="Q3955" t="s">
        <v>8256</v>
      </c>
    </row>
    <row r="3956" spans="1:17" x14ac:dyDescent="0.3">
      <c r="A3956" t="s">
        <v>17</v>
      </c>
      <c r="B3956" t="str">
        <f>"600716"</f>
        <v>600716</v>
      </c>
      <c r="C3956" t="s">
        <v>8257</v>
      </c>
      <c r="D3956" t="s">
        <v>167</v>
      </c>
      <c r="E3956">
        <v>-162997753</v>
      </c>
      <c r="F3956">
        <v>-144593738</v>
      </c>
      <c r="G3956">
        <v>-175534234</v>
      </c>
      <c r="H3956">
        <v>-507523255</v>
      </c>
      <c r="I3956">
        <v>-130398720</v>
      </c>
      <c r="J3956">
        <v>-179234577</v>
      </c>
      <c r="K3956">
        <v>-57505716</v>
      </c>
      <c r="L3956">
        <v>-203602947</v>
      </c>
      <c r="M3956">
        <v>-116085217</v>
      </c>
      <c r="N3956">
        <v>-289843282</v>
      </c>
      <c r="O3956">
        <v>-394590568</v>
      </c>
      <c r="P3956">
        <v>95</v>
      </c>
      <c r="Q3956" t="s">
        <v>8258</v>
      </c>
    </row>
    <row r="3957" spans="1:17" x14ac:dyDescent="0.3">
      <c r="A3957" t="s">
        <v>17</v>
      </c>
      <c r="B3957" t="str">
        <f>"605388"</f>
        <v>605388</v>
      </c>
      <c r="C3957" t="s">
        <v>8259</v>
      </c>
      <c r="D3957" t="s">
        <v>918</v>
      </c>
      <c r="E3957">
        <v>-163178581</v>
      </c>
      <c r="F3957">
        <v>25586127</v>
      </c>
      <c r="G3957">
        <v>-110757006</v>
      </c>
      <c r="P3957">
        <v>103</v>
      </c>
      <c r="Q3957" t="s">
        <v>8260</v>
      </c>
    </row>
    <row r="3958" spans="1:17" x14ac:dyDescent="0.3">
      <c r="A3958" t="s">
        <v>33</v>
      </c>
      <c r="B3958" t="str">
        <f>"002047"</f>
        <v>002047</v>
      </c>
      <c r="C3958" t="s">
        <v>8261</v>
      </c>
      <c r="D3958" t="s">
        <v>1779</v>
      </c>
      <c r="E3958">
        <v>-163492370</v>
      </c>
      <c r="F3958">
        <v>211847113</v>
      </c>
      <c r="G3958">
        <v>-243288407</v>
      </c>
      <c r="H3958">
        <v>-344254283</v>
      </c>
      <c r="I3958">
        <v>-699613197</v>
      </c>
      <c r="J3958">
        <v>-438511801</v>
      </c>
      <c r="K3958">
        <v>-344899601</v>
      </c>
      <c r="L3958">
        <v>-135978642</v>
      </c>
      <c r="M3958">
        <v>-449938521</v>
      </c>
      <c r="N3958">
        <v>30480559</v>
      </c>
      <c r="O3958">
        <v>4317150</v>
      </c>
      <c r="P3958">
        <v>103</v>
      </c>
      <c r="Q3958" t="s">
        <v>8262</v>
      </c>
    </row>
    <row r="3959" spans="1:17" x14ac:dyDescent="0.3">
      <c r="A3959" t="s">
        <v>33</v>
      </c>
      <c r="B3959" t="str">
        <f>"002096"</f>
        <v>002096</v>
      </c>
      <c r="C3959" t="s">
        <v>8263</v>
      </c>
      <c r="D3959" t="s">
        <v>1474</v>
      </c>
      <c r="E3959">
        <v>-163743677</v>
      </c>
      <c r="F3959">
        <v>-63846471</v>
      </c>
      <c r="G3959">
        <v>13485780</v>
      </c>
      <c r="H3959">
        <v>-117219238</v>
      </c>
      <c r="I3959">
        <v>-163203518</v>
      </c>
      <c r="J3959">
        <v>-327363732</v>
      </c>
      <c r="K3959">
        <v>-332196471</v>
      </c>
      <c r="L3959">
        <v>-112758713</v>
      </c>
      <c r="M3959">
        <v>-53242788</v>
      </c>
      <c r="N3959">
        <v>-140690423</v>
      </c>
      <c r="O3959">
        <v>-2832147</v>
      </c>
      <c r="P3959">
        <v>79</v>
      </c>
      <c r="Q3959" t="s">
        <v>8264</v>
      </c>
    </row>
    <row r="3960" spans="1:17" x14ac:dyDescent="0.3">
      <c r="A3960" t="s">
        <v>33</v>
      </c>
      <c r="B3960" t="str">
        <f>"300077"</f>
        <v>300077</v>
      </c>
      <c r="C3960" t="s">
        <v>8265</v>
      </c>
      <c r="D3960" t="s">
        <v>1277</v>
      </c>
      <c r="E3960">
        <v>-163799114</v>
      </c>
      <c r="F3960">
        <v>-96985733</v>
      </c>
      <c r="G3960">
        <v>-48066822</v>
      </c>
      <c r="H3960">
        <v>1389768</v>
      </c>
      <c r="I3960">
        <v>-46057958</v>
      </c>
      <c r="J3960">
        <v>-12864712</v>
      </c>
      <c r="K3960">
        <v>-88303215</v>
      </c>
      <c r="L3960">
        <v>-25504097</v>
      </c>
      <c r="M3960">
        <v>-38837189</v>
      </c>
      <c r="N3960">
        <v>-39456617</v>
      </c>
      <c r="O3960">
        <v>-79959460</v>
      </c>
      <c r="P3960">
        <v>3150</v>
      </c>
      <c r="Q3960" t="s">
        <v>8266</v>
      </c>
    </row>
    <row r="3961" spans="1:17" x14ac:dyDescent="0.3">
      <c r="A3961" t="s">
        <v>33</v>
      </c>
      <c r="B3961" t="str">
        <f>"002151"</f>
        <v>002151</v>
      </c>
      <c r="C3961" t="s">
        <v>8267</v>
      </c>
      <c r="D3961" t="s">
        <v>617</v>
      </c>
      <c r="E3961">
        <v>-163921306</v>
      </c>
      <c r="F3961">
        <v>-103819263</v>
      </c>
      <c r="G3961">
        <v>-107206048</v>
      </c>
      <c r="H3961">
        <v>-68703667</v>
      </c>
      <c r="I3961">
        <v>-54876443</v>
      </c>
      <c r="J3961">
        <v>-88205638</v>
      </c>
      <c r="K3961">
        <v>-126808644</v>
      </c>
      <c r="L3961">
        <v>-85669100</v>
      </c>
      <c r="M3961">
        <v>-49430083</v>
      </c>
      <c r="N3961">
        <v>-76357550</v>
      </c>
      <c r="O3961">
        <v>-48572255</v>
      </c>
      <c r="P3961">
        <v>3423</v>
      </c>
      <c r="Q3961" t="s">
        <v>8268</v>
      </c>
    </row>
    <row r="3962" spans="1:17" x14ac:dyDescent="0.3">
      <c r="A3962" t="s">
        <v>33</v>
      </c>
      <c r="B3962" t="str">
        <f>"300380"</f>
        <v>300380</v>
      </c>
      <c r="C3962" t="s">
        <v>8269</v>
      </c>
      <c r="D3962" t="s">
        <v>807</v>
      </c>
      <c r="E3962">
        <v>-164225428</v>
      </c>
      <c r="F3962">
        <v>-131720892</v>
      </c>
      <c r="G3962">
        <v>-49452912</v>
      </c>
      <c r="H3962">
        <v>-68723758</v>
      </c>
      <c r="I3962">
        <v>-87496958</v>
      </c>
      <c r="J3962">
        <v>-82053779</v>
      </c>
      <c r="K3962">
        <v>-55318230</v>
      </c>
      <c r="L3962">
        <v>-36044578</v>
      </c>
      <c r="M3962">
        <v>-26534510</v>
      </c>
      <c r="N3962">
        <v>-24972355</v>
      </c>
      <c r="P3962">
        <v>85</v>
      </c>
      <c r="Q3962" t="s">
        <v>8270</v>
      </c>
    </row>
    <row r="3963" spans="1:17" x14ac:dyDescent="0.3">
      <c r="A3963" t="s">
        <v>33</v>
      </c>
      <c r="B3963" t="str">
        <f>"300520"</f>
        <v>300520</v>
      </c>
      <c r="C3963" t="s">
        <v>8271</v>
      </c>
      <c r="D3963" t="s">
        <v>807</v>
      </c>
      <c r="E3963">
        <v>-164524634</v>
      </c>
      <c r="F3963">
        <v>-155760796</v>
      </c>
      <c r="G3963">
        <v>-152668998</v>
      </c>
      <c r="H3963">
        <v>-178660454</v>
      </c>
      <c r="I3963">
        <v>-160234924</v>
      </c>
      <c r="J3963">
        <v>-72116653</v>
      </c>
      <c r="K3963">
        <v>-103490185</v>
      </c>
      <c r="L3963">
        <v>-61681418</v>
      </c>
      <c r="P3963">
        <v>255</v>
      </c>
      <c r="Q3963" t="s">
        <v>8272</v>
      </c>
    </row>
    <row r="3964" spans="1:17" x14ac:dyDescent="0.3">
      <c r="A3964" t="s">
        <v>33</v>
      </c>
      <c r="B3964" t="str">
        <f>"002323"</f>
        <v>002323</v>
      </c>
      <c r="C3964" t="s">
        <v>8273</v>
      </c>
      <c r="D3964" t="s">
        <v>2632</v>
      </c>
      <c r="E3964">
        <v>-164531737</v>
      </c>
      <c r="F3964">
        <v>1349057</v>
      </c>
      <c r="G3964">
        <v>-3054519</v>
      </c>
      <c r="H3964">
        <v>-48280</v>
      </c>
      <c r="I3964">
        <v>67498542</v>
      </c>
      <c r="J3964">
        <v>-196933822</v>
      </c>
      <c r="K3964">
        <v>-117893070</v>
      </c>
      <c r="L3964">
        <v>-16990971</v>
      </c>
      <c r="M3964">
        <v>7500106</v>
      </c>
      <c r="N3964">
        <v>-3668798</v>
      </c>
      <c r="O3964">
        <v>-4090734</v>
      </c>
      <c r="P3964">
        <v>78</v>
      </c>
      <c r="Q3964" t="s">
        <v>8274</v>
      </c>
    </row>
    <row r="3965" spans="1:17" x14ac:dyDescent="0.3">
      <c r="A3965" t="s">
        <v>33</v>
      </c>
      <c r="B3965" t="str">
        <f>"002156"</f>
        <v>002156</v>
      </c>
      <c r="C3965" t="s">
        <v>8275</v>
      </c>
      <c r="D3965" t="s">
        <v>370</v>
      </c>
      <c r="E3965">
        <v>-164785573</v>
      </c>
      <c r="F3965">
        <v>-359439532</v>
      </c>
      <c r="G3965">
        <v>127852035</v>
      </c>
      <c r="H3965">
        <v>353232600</v>
      </c>
      <c r="I3965">
        <v>82474437</v>
      </c>
      <c r="J3965">
        <v>198245837</v>
      </c>
      <c r="K3965">
        <v>93470064</v>
      </c>
      <c r="L3965">
        <v>74330030</v>
      </c>
      <c r="M3965">
        <v>72360022</v>
      </c>
      <c r="N3965">
        <v>52004693</v>
      </c>
      <c r="O3965">
        <v>14481653</v>
      </c>
      <c r="P3965">
        <v>770</v>
      </c>
      <c r="Q3965" t="s">
        <v>8276</v>
      </c>
    </row>
    <row r="3966" spans="1:17" x14ac:dyDescent="0.3">
      <c r="A3966" t="s">
        <v>33</v>
      </c>
      <c r="B3966" t="str">
        <f>"003001"</f>
        <v>003001</v>
      </c>
      <c r="C3966" t="s">
        <v>8277</v>
      </c>
      <c r="D3966" t="s">
        <v>1454</v>
      </c>
      <c r="E3966">
        <v>-164829661</v>
      </c>
      <c r="F3966">
        <v>-218551716</v>
      </c>
      <c r="G3966">
        <v>-168000420</v>
      </c>
      <c r="P3966">
        <v>95</v>
      </c>
      <c r="Q3966" t="s">
        <v>8278</v>
      </c>
    </row>
    <row r="3967" spans="1:17" x14ac:dyDescent="0.3">
      <c r="A3967" t="s">
        <v>17</v>
      </c>
      <c r="B3967" t="str">
        <f>"603051"</f>
        <v>603051</v>
      </c>
      <c r="C3967" t="s">
        <v>8279</v>
      </c>
      <c r="E3967">
        <v>-165155269</v>
      </c>
      <c r="P3967">
        <v>3</v>
      </c>
      <c r="Q3967" t="s">
        <v>8280</v>
      </c>
    </row>
    <row r="3968" spans="1:17" x14ac:dyDescent="0.3">
      <c r="A3968" t="s">
        <v>17</v>
      </c>
      <c r="B3968" t="str">
        <f>"601606"</f>
        <v>601606</v>
      </c>
      <c r="C3968" t="s">
        <v>8281</v>
      </c>
      <c r="D3968" t="s">
        <v>967</v>
      </c>
      <c r="E3968">
        <v>-165252281</v>
      </c>
      <c r="F3968">
        <v>-83184560</v>
      </c>
      <c r="G3968">
        <v>-77596385</v>
      </c>
      <c r="H3968">
        <v>-97687214</v>
      </c>
      <c r="I3968">
        <v>-99950193</v>
      </c>
      <c r="P3968">
        <v>180</v>
      </c>
      <c r="Q3968" t="s">
        <v>8282</v>
      </c>
    </row>
    <row r="3969" spans="1:17" x14ac:dyDescent="0.3">
      <c r="A3969" t="s">
        <v>33</v>
      </c>
      <c r="B3969" t="str">
        <f>"002068"</f>
        <v>002068</v>
      </c>
      <c r="C3969" t="s">
        <v>8283</v>
      </c>
      <c r="D3969" t="s">
        <v>2082</v>
      </c>
      <c r="E3969">
        <v>-165563132</v>
      </c>
      <c r="F3969">
        <v>10624281</v>
      </c>
      <c r="G3969">
        <v>-334616261</v>
      </c>
      <c r="H3969">
        <v>-77478564</v>
      </c>
      <c r="I3969">
        <v>85944857</v>
      </c>
      <c r="J3969">
        <v>-150886151</v>
      </c>
      <c r="K3969">
        <v>123980165</v>
      </c>
      <c r="L3969">
        <v>-486180301</v>
      </c>
      <c r="M3969">
        <v>480836667</v>
      </c>
      <c r="N3969">
        <v>-138391422</v>
      </c>
      <c r="O3969">
        <v>60407800</v>
      </c>
      <c r="P3969">
        <v>300</v>
      </c>
      <c r="Q3969" t="s">
        <v>8284</v>
      </c>
    </row>
    <row r="3970" spans="1:17" x14ac:dyDescent="0.3">
      <c r="A3970" t="s">
        <v>17</v>
      </c>
      <c r="B3970" t="str">
        <f>"601999"</f>
        <v>601999</v>
      </c>
      <c r="C3970" t="s">
        <v>8285</v>
      </c>
      <c r="D3970" t="s">
        <v>1501</v>
      </c>
      <c r="E3970">
        <v>-165768978</v>
      </c>
      <c r="F3970">
        <v>-230020855</v>
      </c>
      <c r="G3970">
        <v>-287570042</v>
      </c>
      <c r="H3970">
        <v>-219695854</v>
      </c>
      <c r="I3970">
        <v>-292578913</v>
      </c>
      <c r="J3970">
        <v>-142562109</v>
      </c>
      <c r="K3970">
        <v>-66761768</v>
      </c>
      <c r="L3970">
        <v>-142120788</v>
      </c>
      <c r="M3970">
        <v>-98594618</v>
      </c>
      <c r="N3970">
        <v>-107424458</v>
      </c>
      <c r="O3970">
        <v>-61093078</v>
      </c>
      <c r="P3970">
        <v>82</v>
      </c>
      <c r="Q3970" t="s">
        <v>8286</v>
      </c>
    </row>
    <row r="3971" spans="1:17" x14ac:dyDescent="0.3">
      <c r="A3971" t="s">
        <v>17</v>
      </c>
      <c r="B3971" t="str">
        <f>"600516"</f>
        <v>600516</v>
      </c>
      <c r="C3971" t="s">
        <v>8287</v>
      </c>
      <c r="D3971" t="s">
        <v>705</v>
      </c>
      <c r="E3971">
        <v>-166396612</v>
      </c>
      <c r="F3971">
        <v>49100237</v>
      </c>
      <c r="G3971">
        <v>-104159608</v>
      </c>
      <c r="H3971">
        <v>2035586631</v>
      </c>
      <c r="I3971">
        <v>687312999</v>
      </c>
      <c r="J3971">
        <v>119661715</v>
      </c>
      <c r="K3971">
        <v>171715625</v>
      </c>
      <c r="L3971">
        <v>-118238493</v>
      </c>
      <c r="M3971">
        <v>-252538392</v>
      </c>
      <c r="N3971">
        <v>-564858694</v>
      </c>
      <c r="O3971">
        <v>-275735894</v>
      </c>
      <c r="P3971">
        <v>1177</v>
      </c>
      <c r="Q3971" t="s">
        <v>8288</v>
      </c>
    </row>
    <row r="3972" spans="1:17" x14ac:dyDescent="0.3">
      <c r="A3972" t="s">
        <v>17</v>
      </c>
      <c r="B3972" t="str">
        <f>"600459"</f>
        <v>600459</v>
      </c>
      <c r="C3972" t="s">
        <v>8289</v>
      </c>
      <c r="D3972" t="s">
        <v>720</v>
      </c>
      <c r="E3972">
        <v>-166407943</v>
      </c>
      <c r="F3972">
        <v>-992919340</v>
      </c>
      <c r="G3972">
        <v>437313161</v>
      </c>
      <c r="H3972">
        <v>-851779277</v>
      </c>
      <c r="I3972">
        <v>-209329733</v>
      </c>
      <c r="J3972">
        <v>-564629909</v>
      </c>
      <c r="K3972">
        <v>-9037776</v>
      </c>
      <c r="L3972">
        <v>-204105430</v>
      </c>
      <c r="M3972">
        <v>-207179645</v>
      </c>
      <c r="N3972">
        <v>-185002886</v>
      </c>
      <c r="O3972">
        <v>-84167696</v>
      </c>
      <c r="P3972">
        <v>308</v>
      </c>
      <c r="Q3972" t="s">
        <v>8290</v>
      </c>
    </row>
    <row r="3973" spans="1:17" x14ac:dyDescent="0.3">
      <c r="A3973" t="s">
        <v>33</v>
      </c>
      <c r="B3973" t="str">
        <f>"300171"</f>
        <v>300171</v>
      </c>
      <c r="C3973" t="s">
        <v>8291</v>
      </c>
      <c r="D3973" t="s">
        <v>111</v>
      </c>
      <c r="E3973">
        <v>-166688331</v>
      </c>
      <c r="F3973">
        <v>237468332</v>
      </c>
      <c r="G3973">
        <v>94000540</v>
      </c>
      <c r="H3973">
        <v>15909403</v>
      </c>
      <c r="I3973">
        <v>-78881394</v>
      </c>
      <c r="J3973">
        <v>-104943453</v>
      </c>
      <c r="K3973">
        <v>-18998598</v>
      </c>
      <c r="L3973">
        <v>32902337</v>
      </c>
      <c r="M3973">
        <v>2265627</v>
      </c>
      <c r="N3973">
        <v>-19605483</v>
      </c>
      <c r="O3973">
        <v>71771675</v>
      </c>
      <c r="P3973">
        <v>248</v>
      </c>
      <c r="Q3973" t="s">
        <v>8292</v>
      </c>
    </row>
    <row r="3974" spans="1:17" x14ac:dyDescent="0.3">
      <c r="A3974" t="s">
        <v>17</v>
      </c>
      <c r="B3974" t="str">
        <f>"688052"</f>
        <v>688052</v>
      </c>
      <c r="C3974" t="s">
        <v>8293</v>
      </c>
      <c r="E3974">
        <v>-166857715</v>
      </c>
      <c r="F3974">
        <v>-28465012</v>
      </c>
      <c r="P3974">
        <v>11</v>
      </c>
      <c r="Q3974" t="s">
        <v>8294</v>
      </c>
    </row>
    <row r="3975" spans="1:17" x14ac:dyDescent="0.3">
      <c r="A3975" t="s">
        <v>33</v>
      </c>
      <c r="B3975" t="str">
        <f>"002850"</f>
        <v>002850</v>
      </c>
      <c r="C3975" t="s">
        <v>8295</v>
      </c>
      <c r="D3975" t="s">
        <v>156</v>
      </c>
      <c r="E3975">
        <v>-166898676</v>
      </c>
      <c r="F3975">
        <v>-9382194</v>
      </c>
      <c r="G3975">
        <v>-25989877</v>
      </c>
      <c r="H3975">
        <v>73351942</v>
      </c>
      <c r="I3975">
        <v>35613523</v>
      </c>
      <c r="J3975">
        <v>22041369</v>
      </c>
      <c r="K3975">
        <v>51427622</v>
      </c>
      <c r="P3975">
        <v>379</v>
      </c>
      <c r="Q3975" t="s">
        <v>8296</v>
      </c>
    </row>
    <row r="3976" spans="1:17" x14ac:dyDescent="0.3">
      <c r="A3976" t="s">
        <v>33</v>
      </c>
      <c r="B3976" t="str">
        <f>"300957"</f>
        <v>300957</v>
      </c>
      <c r="C3976" t="s">
        <v>8297</v>
      </c>
      <c r="D3976" t="s">
        <v>810</v>
      </c>
      <c r="E3976">
        <v>-167176118</v>
      </c>
      <c r="F3976">
        <v>50795447</v>
      </c>
      <c r="G3976">
        <v>-64342544</v>
      </c>
      <c r="P3976">
        <v>350</v>
      </c>
      <c r="Q3976" t="s">
        <v>8298</v>
      </c>
    </row>
    <row r="3977" spans="1:17" x14ac:dyDescent="0.3">
      <c r="A3977" t="s">
        <v>17</v>
      </c>
      <c r="B3977" t="str">
        <f>"601002"</f>
        <v>601002</v>
      </c>
      <c r="C3977" t="s">
        <v>8299</v>
      </c>
      <c r="D3977" t="s">
        <v>164</v>
      </c>
      <c r="E3977">
        <v>-167570373</v>
      </c>
      <c r="F3977">
        <v>-67186906</v>
      </c>
      <c r="G3977">
        <v>77364001</v>
      </c>
      <c r="H3977">
        <v>-50302965</v>
      </c>
      <c r="I3977">
        <v>-44608849</v>
      </c>
      <c r="J3977">
        <v>-116599153</v>
      </c>
      <c r="K3977">
        <v>65840192</v>
      </c>
      <c r="L3977">
        <v>11190013</v>
      </c>
      <c r="M3977">
        <v>-37567953</v>
      </c>
      <c r="N3977">
        <v>-57863219</v>
      </c>
      <c r="O3977">
        <v>19437899</v>
      </c>
      <c r="P3977">
        <v>146</v>
      </c>
      <c r="Q3977" t="s">
        <v>8300</v>
      </c>
    </row>
    <row r="3978" spans="1:17" x14ac:dyDescent="0.3">
      <c r="A3978" t="s">
        <v>33</v>
      </c>
      <c r="B3978" t="str">
        <f>"300663"</f>
        <v>300663</v>
      </c>
      <c r="C3978" t="s">
        <v>8301</v>
      </c>
      <c r="D3978" t="s">
        <v>807</v>
      </c>
      <c r="E3978">
        <v>-167772656</v>
      </c>
      <c r="F3978">
        <v>-159618509</v>
      </c>
      <c r="G3978">
        <v>-156155334</v>
      </c>
      <c r="H3978">
        <v>-210805390</v>
      </c>
      <c r="I3978">
        <v>-130209093</v>
      </c>
      <c r="J3978">
        <v>-129492181</v>
      </c>
      <c r="K3978">
        <v>-120950581</v>
      </c>
      <c r="P3978">
        <v>261</v>
      </c>
      <c r="Q3978" t="s">
        <v>8302</v>
      </c>
    </row>
    <row r="3979" spans="1:17" x14ac:dyDescent="0.3">
      <c r="A3979" t="s">
        <v>33</v>
      </c>
      <c r="B3979" t="str">
        <f>"300489"</f>
        <v>300489</v>
      </c>
      <c r="C3979" t="s">
        <v>8303</v>
      </c>
      <c r="D3979" t="s">
        <v>140</v>
      </c>
      <c r="E3979">
        <v>-167896453</v>
      </c>
      <c r="F3979">
        <v>-70128183</v>
      </c>
      <c r="G3979">
        <v>-11046176</v>
      </c>
      <c r="H3979">
        <v>16179769</v>
      </c>
      <c r="I3979">
        <v>-15925674</v>
      </c>
      <c r="J3979">
        <v>-9910265</v>
      </c>
      <c r="K3979">
        <v>-30337571</v>
      </c>
      <c r="L3979">
        <v>-4381441</v>
      </c>
      <c r="M3979">
        <v>-2635678</v>
      </c>
      <c r="P3979">
        <v>71</v>
      </c>
      <c r="Q3979" t="s">
        <v>8304</v>
      </c>
    </row>
    <row r="3980" spans="1:17" x14ac:dyDescent="0.3">
      <c r="A3980" t="s">
        <v>17</v>
      </c>
      <c r="B3980" t="str">
        <f>"605008"</f>
        <v>605008</v>
      </c>
      <c r="C3980" t="s">
        <v>8305</v>
      </c>
      <c r="D3980" t="s">
        <v>1483</v>
      </c>
      <c r="E3980">
        <v>-168737649</v>
      </c>
      <c r="F3980">
        <v>-88116184</v>
      </c>
      <c r="G3980">
        <v>-129343480</v>
      </c>
      <c r="P3980">
        <v>66</v>
      </c>
      <c r="Q3980" t="s">
        <v>8306</v>
      </c>
    </row>
    <row r="3981" spans="1:17" x14ac:dyDescent="0.3">
      <c r="A3981" t="s">
        <v>17</v>
      </c>
      <c r="B3981" t="str">
        <f>"603000"</f>
        <v>603000</v>
      </c>
      <c r="C3981" t="s">
        <v>8307</v>
      </c>
      <c r="D3981" t="s">
        <v>2040</v>
      </c>
      <c r="E3981">
        <v>-168777220</v>
      </c>
      <c r="F3981">
        <v>-173849440</v>
      </c>
      <c r="G3981">
        <v>-193746231</v>
      </c>
      <c r="H3981">
        <v>-191218296</v>
      </c>
      <c r="I3981">
        <v>-85372333</v>
      </c>
      <c r="J3981">
        <v>-78058991</v>
      </c>
      <c r="K3981">
        <v>-107184985</v>
      </c>
      <c r="L3981">
        <v>-83274720</v>
      </c>
      <c r="M3981">
        <v>15794266</v>
      </c>
      <c r="N3981">
        <v>-42714513</v>
      </c>
      <c r="O3981">
        <v>-47007727</v>
      </c>
      <c r="P3981">
        <v>323</v>
      </c>
      <c r="Q3981" t="s">
        <v>8308</v>
      </c>
    </row>
    <row r="3982" spans="1:17" x14ac:dyDescent="0.3">
      <c r="A3982" t="s">
        <v>17</v>
      </c>
      <c r="B3982" t="str">
        <f>"603377"</f>
        <v>603377</v>
      </c>
      <c r="C3982" t="s">
        <v>8309</v>
      </c>
      <c r="D3982" t="s">
        <v>761</v>
      </c>
      <c r="E3982">
        <v>-168824246</v>
      </c>
      <c r="F3982">
        <v>78547881</v>
      </c>
      <c r="G3982">
        <v>-59886923</v>
      </c>
      <c r="H3982">
        <v>152212137</v>
      </c>
      <c r="I3982">
        <v>375462478</v>
      </c>
      <c r="J3982">
        <v>133712437</v>
      </c>
      <c r="K3982">
        <v>127863197</v>
      </c>
      <c r="L3982">
        <v>104984889</v>
      </c>
      <c r="P3982">
        <v>171</v>
      </c>
      <c r="Q3982" t="s">
        <v>8310</v>
      </c>
    </row>
    <row r="3983" spans="1:17" x14ac:dyDescent="0.3">
      <c r="A3983" t="s">
        <v>33</v>
      </c>
      <c r="B3983" t="str">
        <f>"300532"</f>
        <v>300532</v>
      </c>
      <c r="C3983" t="s">
        <v>8311</v>
      </c>
      <c r="D3983" t="s">
        <v>508</v>
      </c>
      <c r="E3983">
        <v>-169356638</v>
      </c>
      <c r="F3983">
        <v>-191470143</v>
      </c>
      <c r="G3983">
        <v>-74855695</v>
      </c>
      <c r="H3983">
        <v>-3340405</v>
      </c>
      <c r="I3983">
        <v>-90421638</v>
      </c>
      <c r="J3983">
        <v>-45012174</v>
      </c>
      <c r="K3983">
        <v>-14070586</v>
      </c>
      <c r="P3983">
        <v>220</v>
      </c>
      <c r="Q3983" t="s">
        <v>8312</v>
      </c>
    </row>
    <row r="3984" spans="1:17" x14ac:dyDescent="0.3">
      <c r="A3984" t="s">
        <v>17</v>
      </c>
      <c r="B3984" t="str">
        <f>"603727"</f>
        <v>603727</v>
      </c>
      <c r="C3984" t="s">
        <v>8313</v>
      </c>
      <c r="D3984" t="s">
        <v>1311</v>
      </c>
      <c r="E3984">
        <v>-169740846</v>
      </c>
      <c r="F3984">
        <v>99593237</v>
      </c>
      <c r="G3984">
        <v>127906549</v>
      </c>
      <c r="H3984">
        <v>75111093</v>
      </c>
      <c r="I3984">
        <v>-45651831</v>
      </c>
      <c r="J3984">
        <v>111847872</v>
      </c>
      <c r="K3984">
        <v>42503557</v>
      </c>
      <c r="P3984">
        <v>123</v>
      </c>
      <c r="Q3984" t="s">
        <v>8314</v>
      </c>
    </row>
    <row r="3985" spans="1:17" x14ac:dyDescent="0.3">
      <c r="A3985" t="s">
        <v>33</v>
      </c>
      <c r="B3985" t="str">
        <f>"000538"</f>
        <v>000538</v>
      </c>
      <c r="C3985" t="s">
        <v>8315</v>
      </c>
      <c r="D3985" t="s">
        <v>533</v>
      </c>
      <c r="E3985">
        <v>-170306941</v>
      </c>
      <c r="F3985">
        <v>-128050971</v>
      </c>
      <c r="G3985">
        <v>493230794</v>
      </c>
      <c r="H3985">
        <v>-287448115</v>
      </c>
      <c r="I3985">
        <v>325358231</v>
      </c>
      <c r="J3985">
        <v>-861869790</v>
      </c>
      <c r="K3985">
        <v>923462535</v>
      </c>
      <c r="L3985">
        <v>831321808</v>
      </c>
      <c r="M3985">
        <v>666422077</v>
      </c>
      <c r="N3985">
        <v>-23235692</v>
      </c>
      <c r="O3985">
        <v>-135823027</v>
      </c>
      <c r="P3985">
        <v>30717</v>
      </c>
      <c r="Q3985" t="s">
        <v>8316</v>
      </c>
    </row>
    <row r="3986" spans="1:17" x14ac:dyDescent="0.3">
      <c r="A3986" t="s">
        <v>33</v>
      </c>
      <c r="B3986" t="str">
        <f>"300542"</f>
        <v>300542</v>
      </c>
      <c r="C3986" t="s">
        <v>8317</v>
      </c>
      <c r="D3986" t="s">
        <v>807</v>
      </c>
      <c r="E3986">
        <v>-171015595</v>
      </c>
      <c r="F3986">
        <v>-41017512</v>
      </c>
      <c r="G3986">
        <v>-44215092</v>
      </c>
      <c r="H3986">
        <v>-94528287</v>
      </c>
      <c r="I3986">
        <v>-132596894</v>
      </c>
      <c r="J3986">
        <v>-64896432</v>
      </c>
      <c r="K3986">
        <v>-74351657</v>
      </c>
      <c r="P3986">
        <v>143</v>
      </c>
      <c r="Q3986" t="s">
        <v>8318</v>
      </c>
    </row>
    <row r="3987" spans="1:17" x14ac:dyDescent="0.3">
      <c r="A3987" t="s">
        <v>33</v>
      </c>
      <c r="B3987" t="str">
        <f>"000692"</f>
        <v>000692</v>
      </c>
      <c r="C3987" t="s">
        <v>8319</v>
      </c>
      <c r="D3987" t="s">
        <v>1094</v>
      </c>
      <c r="E3987">
        <v>-171445191</v>
      </c>
      <c r="F3987">
        <v>-365496631</v>
      </c>
      <c r="G3987">
        <v>-349898730</v>
      </c>
      <c r="H3987">
        <v>-484598156</v>
      </c>
      <c r="I3987">
        <v>-383124526</v>
      </c>
      <c r="J3987">
        <v>-453600600</v>
      </c>
      <c r="K3987">
        <v>-409292429</v>
      </c>
      <c r="L3987">
        <v>-487024287</v>
      </c>
      <c r="M3987">
        <v>-311906682</v>
      </c>
      <c r="N3987">
        <v>-158986729</v>
      </c>
      <c r="O3987">
        <v>-309873366</v>
      </c>
      <c r="P3987">
        <v>77</v>
      </c>
      <c r="Q3987" t="s">
        <v>8320</v>
      </c>
    </row>
    <row r="3988" spans="1:17" x14ac:dyDescent="0.3">
      <c r="A3988" t="s">
        <v>17</v>
      </c>
      <c r="B3988" t="str">
        <f>"603192"</f>
        <v>603192</v>
      </c>
      <c r="C3988" t="s">
        <v>8321</v>
      </c>
      <c r="D3988" t="s">
        <v>195</v>
      </c>
      <c r="E3988">
        <v>-171794431</v>
      </c>
      <c r="F3988">
        <v>-62186095</v>
      </c>
      <c r="G3988">
        <v>-69599195</v>
      </c>
      <c r="H3988">
        <v>-109949761</v>
      </c>
      <c r="I3988">
        <v>-112903000</v>
      </c>
      <c r="J3988">
        <v>-1464800</v>
      </c>
      <c r="P3988">
        <v>82</v>
      </c>
      <c r="Q3988" t="s">
        <v>8322</v>
      </c>
    </row>
    <row r="3989" spans="1:17" x14ac:dyDescent="0.3">
      <c r="A3989" t="s">
        <v>33</v>
      </c>
      <c r="B3989" t="str">
        <f>"000713"</f>
        <v>000713</v>
      </c>
      <c r="C3989" t="s">
        <v>8323</v>
      </c>
      <c r="D3989" t="s">
        <v>1990</v>
      </c>
      <c r="E3989">
        <v>-171881469</v>
      </c>
      <c r="F3989">
        <v>-149263992</v>
      </c>
      <c r="G3989">
        <v>-93406887</v>
      </c>
      <c r="H3989">
        <v>-24379743</v>
      </c>
      <c r="I3989">
        <v>-70108868</v>
      </c>
      <c r="J3989">
        <v>-110699635</v>
      </c>
      <c r="K3989">
        <v>-90822438</v>
      </c>
      <c r="L3989">
        <v>-66114543</v>
      </c>
      <c r="M3989">
        <v>-25935419</v>
      </c>
      <c r="N3989">
        <v>-49736952</v>
      </c>
      <c r="O3989">
        <v>-102337194</v>
      </c>
      <c r="P3989">
        <v>237</v>
      </c>
      <c r="Q3989" t="s">
        <v>8324</v>
      </c>
    </row>
    <row r="3990" spans="1:17" x14ac:dyDescent="0.3">
      <c r="A3990" t="s">
        <v>33</v>
      </c>
      <c r="B3990" t="str">
        <f>"300572"</f>
        <v>300572</v>
      </c>
      <c r="C3990" t="s">
        <v>8325</v>
      </c>
      <c r="D3990" t="s">
        <v>2274</v>
      </c>
      <c r="E3990">
        <v>-172063980</v>
      </c>
      <c r="F3990">
        <v>-53392763</v>
      </c>
      <c r="G3990">
        <v>-185879563</v>
      </c>
      <c r="H3990">
        <v>66947639</v>
      </c>
      <c r="I3990">
        <v>-25479300</v>
      </c>
      <c r="J3990">
        <v>19933248</v>
      </c>
      <c r="K3990">
        <v>-21958263</v>
      </c>
      <c r="P3990">
        <v>466</v>
      </c>
      <c r="Q3990" t="s">
        <v>8326</v>
      </c>
    </row>
    <row r="3991" spans="1:17" x14ac:dyDescent="0.3">
      <c r="A3991" t="s">
        <v>33</v>
      </c>
      <c r="B3991" t="str">
        <f>"002208"</f>
        <v>002208</v>
      </c>
      <c r="C3991" t="s">
        <v>8327</v>
      </c>
      <c r="D3991" t="s">
        <v>167</v>
      </c>
      <c r="E3991">
        <v>-172237386</v>
      </c>
      <c r="F3991">
        <v>1746269299</v>
      </c>
      <c r="G3991">
        <v>-832779062</v>
      </c>
      <c r="H3991">
        <v>631901072</v>
      </c>
      <c r="I3991">
        <v>-1205460257</v>
      </c>
      <c r="J3991">
        <v>-1445061781</v>
      </c>
      <c r="K3991">
        <v>316446757</v>
      </c>
      <c r="L3991">
        <v>-351174660</v>
      </c>
      <c r="M3991">
        <v>-106800745</v>
      </c>
      <c r="N3991">
        <v>218002558</v>
      </c>
      <c r="O3991">
        <v>-112971967</v>
      </c>
      <c r="P3991">
        <v>198</v>
      </c>
      <c r="Q3991" t="s">
        <v>8328</v>
      </c>
    </row>
    <row r="3992" spans="1:17" x14ac:dyDescent="0.3">
      <c r="A3992" t="s">
        <v>33</v>
      </c>
      <c r="B3992" t="str">
        <f>"002261"</f>
        <v>002261</v>
      </c>
      <c r="C3992" t="s">
        <v>8329</v>
      </c>
      <c r="D3992" t="s">
        <v>5834</v>
      </c>
      <c r="E3992">
        <v>-172827653</v>
      </c>
      <c r="F3992">
        <v>-172313170</v>
      </c>
      <c r="G3992">
        <v>-156609812</v>
      </c>
      <c r="H3992">
        <v>-90243035</v>
      </c>
      <c r="I3992">
        <v>-67660050</v>
      </c>
      <c r="J3992">
        <v>-28062705</v>
      </c>
      <c r="K3992">
        <v>21780901</v>
      </c>
      <c r="L3992">
        <v>-47295461</v>
      </c>
      <c r="M3992">
        <v>28303325</v>
      </c>
      <c r="N3992">
        <v>-42232706</v>
      </c>
      <c r="O3992">
        <v>-22426433</v>
      </c>
      <c r="P3992">
        <v>299</v>
      </c>
      <c r="Q3992" t="s">
        <v>8330</v>
      </c>
    </row>
    <row r="3993" spans="1:17" x14ac:dyDescent="0.3">
      <c r="A3993" t="s">
        <v>17</v>
      </c>
      <c r="B3993" t="str">
        <f>"688192"</f>
        <v>688192</v>
      </c>
      <c r="C3993" t="s">
        <v>8331</v>
      </c>
      <c r="D3993" t="s">
        <v>590</v>
      </c>
      <c r="E3993">
        <v>-172890065</v>
      </c>
      <c r="P3993">
        <v>11</v>
      </c>
      <c r="Q3993" t="s">
        <v>8332</v>
      </c>
    </row>
    <row r="3994" spans="1:17" x14ac:dyDescent="0.3">
      <c r="A3994" t="s">
        <v>17</v>
      </c>
      <c r="B3994" t="str">
        <f>"601965"</f>
        <v>601965</v>
      </c>
      <c r="C3994" t="s">
        <v>8333</v>
      </c>
      <c r="D3994" t="s">
        <v>2478</v>
      </c>
      <c r="E3994">
        <v>-172949449</v>
      </c>
      <c r="F3994">
        <v>-210719701</v>
      </c>
      <c r="G3994">
        <v>-81742353</v>
      </c>
      <c r="H3994">
        <v>-70626283</v>
      </c>
      <c r="I3994">
        <v>-11420361</v>
      </c>
      <c r="J3994">
        <v>-64335787</v>
      </c>
      <c r="K3994">
        <v>-18344967</v>
      </c>
      <c r="L3994">
        <v>-27965371</v>
      </c>
      <c r="M3994">
        <v>68703206</v>
      </c>
      <c r="N3994">
        <v>16206365</v>
      </c>
      <c r="O3994">
        <v>-9937422</v>
      </c>
      <c r="P3994">
        <v>307</v>
      </c>
      <c r="Q3994" t="s">
        <v>8334</v>
      </c>
    </row>
    <row r="3995" spans="1:17" x14ac:dyDescent="0.3">
      <c r="A3995" t="s">
        <v>33</v>
      </c>
      <c r="B3995" t="str">
        <f>"300881"</f>
        <v>300881</v>
      </c>
      <c r="C3995" t="s">
        <v>8335</v>
      </c>
      <c r="D3995" t="s">
        <v>253</v>
      </c>
      <c r="E3995">
        <v>-172983076</v>
      </c>
      <c r="F3995">
        <v>-29231268</v>
      </c>
      <c r="G3995">
        <v>-33224921</v>
      </c>
      <c r="P3995">
        <v>31</v>
      </c>
      <c r="Q3995" t="s">
        <v>8336</v>
      </c>
    </row>
    <row r="3996" spans="1:17" x14ac:dyDescent="0.3">
      <c r="A3996" t="s">
        <v>33</v>
      </c>
      <c r="B3996" t="str">
        <f>"300645"</f>
        <v>300645</v>
      </c>
      <c r="C3996" t="s">
        <v>8337</v>
      </c>
      <c r="D3996" t="s">
        <v>1571</v>
      </c>
      <c r="E3996">
        <v>-173346341</v>
      </c>
      <c r="F3996">
        <v>-142258773</v>
      </c>
      <c r="G3996">
        <v>-146693978</v>
      </c>
      <c r="H3996">
        <v>-138591860</v>
      </c>
      <c r="I3996">
        <v>-82888973</v>
      </c>
      <c r="J3996">
        <v>-80458883</v>
      </c>
      <c r="K3996">
        <v>-72930787</v>
      </c>
      <c r="P3996">
        <v>111</v>
      </c>
      <c r="Q3996" t="s">
        <v>8338</v>
      </c>
    </row>
    <row r="3997" spans="1:17" x14ac:dyDescent="0.3">
      <c r="A3997" t="s">
        <v>33</v>
      </c>
      <c r="B3997" t="str">
        <f>"300091"</f>
        <v>300091</v>
      </c>
      <c r="C3997" t="s">
        <v>8339</v>
      </c>
      <c r="D3997" t="s">
        <v>1033</v>
      </c>
      <c r="E3997">
        <v>-173968332</v>
      </c>
      <c r="F3997">
        <v>-95157184</v>
      </c>
      <c r="G3997">
        <v>-85766678</v>
      </c>
      <c r="H3997">
        <v>14565792</v>
      </c>
      <c r="I3997">
        <v>-55906687</v>
      </c>
      <c r="J3997">
        <v>-120283331</v>
      </c>
      <c r="K3997">
        <v>27422529</v>
      </c>
      <c r="L3997">
        <v>-23104591</v>
      </c>
      <c r="M3997">
        <v>-15349263</v>
      </c>
      <c r="N3997">
        <v>-34295627</v>
      </c>
      <c r="O3997">
        <v>-56814896</v>
      </c>
      <c r="P3997">
        <v>101</v>
      </c>
      <c r="Q3997" t="s">
        <v>8340</v>
      </c>
    </row>
    <row r="3998" spans="1:17" x14ac:dyDescent="0.3">
      <c r="A3998" t="s">
        <v>33</v>
      </c>
      <c r="B3998" t="str">
        <f>"300114"</f>
        <v>300114</v>
      </c>
      <c r="C3998" t="s">
        <v>8341</v>
      </c>
      <c r="D3998" t="s">
        <v>617</v>
      </c>
      <c r="E3998">
        <v>-174609601</v>
      </c>
      <c r="F3998">
        <v>-82125787</v>
      </c>
      <c r="G3998">
        <v>-95448327</v>
      </c>
      <c r="H3998">
        <v>-12668162</v>
      </c>
      <c r="I3998">
        <v>-64523707</v>
      </c>
      <c r="J3998">
        <v>-64508243</v>
      </c>
      <c r="K3998">
        <v>-22961113</v>
      </c>
      <c r="L3998">
        <v>-27573744</v>
      </c>
      <c r="M3998">
        <v>-25646878</v>
      </c>
      <c r="N3998">
        <v>-20683616</v>
      </c>
      <c r="O3998">
        <v>-17769796</v>
      </c>
      <c r="P3998">
        <v>258</v>
      </c>
      <c r="Q3998" t="s">
        <v>8342</v>
      </c>
    </row>
    <row r="3999" spans="1:17" x14ac:dyDescent="0.3">
      <c r="A3999" t="s">
        <v>33</v>
      </c>
      <c r="B3999" t="str">
        <f>"300109"</f>
        <v>300109</v>
      </c>
      <c r="C3999" t="s">
        <v>8343</v>
      </c>
      <c r="D3999" t="s">
        <v>418</v>
      </c>
      <c r="E3999">
        <v>-174723246</v>
      </c>
      <c r="F3999">
        <v>8545412</v>
      </c>
      <c r="G3999">
        <v>-2081217</v>
      </c>
      <c r="H3999">
        <v>-29671203</v>
      </c>
      <c r="I3999">
        <v>-40493779</v>
      </c>
      <c r="J3999">
        <v>9631899</v>
      </c>
      <c r="K3999">
        <v>13346768</v>
      </c>
      <c r="L3999">
        <v>2407496</v>
      </c>
      <c r="M3999">
        <v>-212834</v>
      </c>
      <c r="N3999">
        <v>-2766589</v>
      </c>
      <c r="O3999">
        <v>728512</v>
      </c>
      <c r="P3999">
        <v>122</v>
      </c>
      <c r="Q3999" t="s">
        <v>8344</v>
      </c>
    </row>
    <row r="4000" spans="1:17" x14ac:dyDescent="0.3">
      <c r="A4000" t="s">
        <v>33</v>
      </c>
      <c r="B4000" t="str">
        <f>"000838"</f>
        <v>000838</v>
      </c>
      <c r="C4000" t="s">
        <v>8345</v>
      </c>
      <c r="D4000" t="s">
        <v>167</v>
      </c>
      <c r="E4000">
        <v>-174751472</v>
      </c>
      <c r="F4000">
        <v>548166988</v>
      </c>
      <c r="G4000">
        <v>-303478409</v>
      </c>
      <c r="H4000">
        <v>-521474163</v>
      </c>
      <c r="I4000">
        <v>217410858</v>
      </c>
      <c r="J4000">
        <v>-223612756</v>
      </c>
      <c r="K4000">
        <v>-117444820</v>
      </c>
      <c r="L4000">
        <v>-6883349</v>
      </c>
      <c r="M4000">
        <v>-90524313</v>
      </c>
      <c r="N4000">
        <v>46068348</v>
      </c>
      <c r="O4000">
        <v>39682081</v>
      </c>
      <c r="P4000">
        <v>98</v>
      </c>
      <c r="Q4000" t="s">
        <v>8346</v>
      </c>
    </row>
    <row r="4001" spans="1:17" x14ac:dyDescent="0.3">
      <c r="A4001" t="s">
        <v>17</v>
      </c>
      <c r="B4001" t="str">
        <f>"603050"</f>
        <v>603050</v>
      </c>
      <c r="C4001" t="s">
        <v>8347</v>
      </c>
      <c r="D4001" t="s">
        <v>1182</v>
      </c>
      <c r="E4001">
        <v>-175210893</v>
      </c>
      <c r="F4001">
        <v>-118925481</v>
      </c>
      <c r="G4001">
        <v>-76109249</v>
      </c>
      <c r="H4001">
        <v>-104627522</v>
      </c>
      <c r="I4001">
        <v>-4351095</v>
      </c>
      <c r="J4001">
        <v>-44941955</v>
      </c>
      <c r="K4001">
        <v>15793496</v>
      </c>
      <c r="P4001">
        <v>124</v>
      </c>
      <c r="Q4001" t="s">
        <v>8348</v>
      </c>
    </row>
    <row r="4002" spans="1:17" x14ac:dyDescent="0.3">
      <c r="A4002" t="s">
        <v>33</v>
      </c>
      <c r="B4002" t="str">
        <f>"300057"</f>
        <v>300057</v>
      </c>
      <c r="C4002" t="s">
        <v>8349</v>
      </c>
      <c r="D4002" t="s">
        <v>140</v>
      </c>
      <c r="E4002">
        <v>-175430752</v>
      </c>
      <c r="F4002">
        <v>-132081397</v>
      </c>
      <c r="G4002">
        <v>76508743</v>
      </c>
      <c r="H4002">
        <v>28832349</v>
      </c>
      <c r="I4002">
        <v>195472</v>
      </c>
      <c r="J4002">
        <v>71072359</v>
      </c>
      <c r="K4002">
        <v>-14363674</v>
      </c>
      <c r="L4002">
        <v>129871390</v>
      </c>
      <c r="M4002">
        <v>9447964</v>
      </c>
      <c r="N4002">
        <v>-76882644</v>
      </c>
      <c r="O4002">
        <v>39554574</v>
      </c>
      <c r="P4002">
        <v>438</v>
      </c>
      <c r="Q4002" t="s">
        <v>8350</v>
      </c>
    </row>
    <row r="4003" spans="1:17" x14ac:dyDescent="0.3">
      <c r="A4003" t="s">
        <v>17</v>
      </c>
      <c r="B4003" t="str">
        <f>"600382"</f>
        <v>600382</v>
      </c>
      <c r="C4003" t="s">
        <v>8351</v>
      </c>
      <c r="D4003" t="s">
        <v>523</v>
      </c>
      <c r="E4003">
        <v>-175858711</v>
      </c>
      <c r="F4003">
        <v>-242253976</v>
      </c>
      <c r="G4003">
        <v>28355702</v>
      </c>
      <c r="H4003">
        <v>149850957</v>
      </c>
      <c r="I4003">
        <v>-94778119</v>
      </c>
      <c r="J4003">
        <v>-714303035</v>
      </c>
      <c r="K4003">
        <v>-151218036</v>
      </c>
      <c r="L4003">
        <v>-682048873</v>
      </c>
      <c r="M4003">
        <v>-48228076</v>
      </c>
      <c r="N4003">
        <v>8291267</v>
      </c>
      <c r="O4003">
        <v>-90884720</v>
      </c>
      <c r="P4003">
        <v>156</v>
      </c>
      <c r="Q4003" t="s">
        <v>8352</v>
      </c>
    </row>
    <row r="4004" spans="1:17" x14ac:dyDescent="0.3">
      <c r="A4004" t="s">
        <v>17</v>
      </c>
      <c r="B4004" t="str">
        <f>"600797"</f>
        <v>600797</v>
      </c>
      <c r="C4004" t="s">
        <v>8353</v>
      </c>
      <c r="D4004" t="s">
        <v>508</v>
      </c>
      <c r="E4004">
        <v>-175924891</v>
      </c>
      <c r="F4004">
        <v>-253440618</v>
      </c>
      <c r="G4004">
        <v>-324461366</v>
      </c>
      <c r="H4004">
        <v>-187967543</v>
      </c>
      <c r="I4004">
        <v>-209033871</v>
      </c>
      <c r="J4004">
        <v>-327073823</v>
      </c>
      <c r="K4004">
        <v>-287077249</v>
      </c>
      <c r="L4004">
        <v>-253365135</v>
      </c>
      <c r="M4004">
        <v>-209714298</v>
      </c>
      <c r="N4004">
        <v>-185839660</v>
      </c>
      <c r="O4004">
        <v>-264303771</v>
      </c>
      <c r="P4004">
        <v>221</v>
      </c>
      <c r="Q4004" t="s">
        <v>8354</v>
      </c>
    </row>
    <row r="4005" spans="1:17" x14ac:dyDescent="0.3">
      <c r="A4005" t="s">
        <v>17</v>
      </c>
      <c r="B4005" t="str">
        <f>"688003"</f>
        <v>688003</v>
      </c>
      <c r="C4005" t="s">
        <v>8355</v>
      </c>
      <c r="D4005" t="s">
        <v>4171</v>
      </c>
      <c r="E4005">
        <v>-176757124</v>
      </c>
      <c r="F4005">
        <v>-87349583</v>
      </c>
      <c r="G4005">
        <v>-78471484</v>
      </c>
      <c r="H4005">
        <v>-69538000</v>
      </c>
      <c r="I4005">
        <v>-19414700</v>
      </c>
      <c r="P4005">
        <v>141</v>
      </c>
      <c r="Q4005" t="s">
        <v>8356</v>
      </c>
    </row>
    <row r="4006" spans="1:17" x14ac:dyDescent="0.3">
      <c r="A4006" t="s">
        <v>33</v>
      </c>
      <c r="B4006" t="str">
        <f>"200468"</f>
        <v>200468</v>
      </c>
      <c r="C4006" t="s">
        <v>8357</v>
      </c>
      <c r="E4006">
        <v>-176883229.602</v>
      </c>
      <c r="F4006">
        <v>-97046274.519999996</v>
      </c>
      <c r="G4006">
        <v>-20771639.913600001</v>
      </c>
      <c r="H4006">
        <v>-229647160.5975</v>
      </c>
      <c r="I4006">
        <v>-227273299.22049999</v>
      </c>
      <c r="J4006">
        <v>-222421112.27239999</v>
      </c>
      <c r="K4006">
        <v>-216564930.5201</v>
      </c>
      <c r="L4006">
        <v>-236852493.75</v>
      </c>
      <c r="M4006">
        <v>-112275184.82600001</v>
      </c>
      <c r="N4006">
        <v>-165662584.7448</v>
      </c>
      <c r="O4006">
        <v>-144358266.43799999</v>
      </c>
      <c r="P4006">
        <v>4</v>
      </c>
      <c r="Q4006" t="s">
        <v>8358</v>
      </c>
    </row>
    <row r="4007" spans="1:17" x14ac:dyDescent="0.3">
      <c r="A4007" t="s">
        <v>17</v>
      </c>
      <c r="B4007" t="str">
        <f>"600216"</f>
        <v>600216</v>
      </c>
      <c r="C4007" t="s">
        <v>8359</v>
      </c>
      <c r="D4007" t="s">
        <v>941</v>
      </c>
      <c r="E4007">
        <v>-177050453</v>
      </c>
      <c r="F4007">
        <v>40674099</v>
      </c>
      <c r="G4007">
        <v>174563455</v>
      </c>
      <c r="H4007">
        <v>-35624950</v>
      </c>
      <c r="I4007">
        <v>-149119376</v>
      </c>
      <c r="J4007">
        <v>19601381</v>
      </c>
      <c r="K4007">
        <v>-179730609</v>
      </c>
      <c r="L4007">
        <v>-89732996</v>
      </c>
      <c r="M4007">
        <v>-14980137</v>
      </c>
      <c r="N4007">
        <v>42952690</v>
      </c>
      <c r="O4007">
        <v>96112231</v>
      </c>
      <c r="P4007">
        <v>461</v>
      </c>
      <c r="Q4007" t="s">
        <v>8360</v>
      </c>
    </row>
    <row r="4008" spans="1:17" x14ac:dyDescent="0.3">
      <c r="A4008" t="s">
        <v>33</v>
      </c>
      <c r="B4008" t="str">
        <f>"002701"</f>
        <v>002701</v>
      </c>
      <c r="C4008" t="s">
        <v>8361</v>
      </c>
      <c r="D4008" t="s">
        <v>2115</v>
      </c>
      <c r="E4008">
        <v>-177347069</v>
      </c>
      <c r="F4008">
        <v>401284553</v>
      </c>
      <c r="G4008">
        <v>-468922594</v>
      </c>
      <c r="H4008">
        <v>661551445</v>
      </c>
      <c r="I4008">
        <v>-127380480</v>
      </c>
      <c r="J4008">
        <v>-66886567</v>
      </c>
      <c r="K4008">
        <v>323157052</v>
      </c>
      <c r="L4008">
        <v>253627580</v>
      </c>
      <c r="M4008">
        <v>167245335</v>
      </c>
      <c r="N4008">
        <v>182078311</v>
      </c>
      <c r="O4008">
        <v>84677232</v>
      </c>
      <c r="P4008">
        <v>1656</v>
      </c>
      <c r="Q4008" t="s">
        <v>8362</v>
      </c>
    </row>
    <row r="4009" spans="1:17" x14ac:dyDescent="0.3">
      <c r="A4009" t="s">
        <v>33</v>
      </c>
      <c r="B4009" t="str">
        <f>"002985"</f>
        <v>002985</v>
      </c>
      <c r="C4009" t="s">
        <v>8363</v>
      </c>
      <c r="D4009" t="s">
        <v>2262</v>
      </c>
      <c r="E4009">
        <v>-177363852</v>
      </c>
      <c r="F4009">
        <v>-48979133</v>
      </c>
      <c r="G4009">
        <v>-18487724</v>
      </c>
      <c r="H4009">
        <v>-27485598</v>
      </c>
      <c r="P4009">
        <v>548</v>
      </c>
      <c r="Q4009" t="s">
        <v>8364</v>
      </c>
    </row>
    <row r="4010" spans="1:17" x14ac:dyDescent="0.3">
      <c r="A4010" t="s">
        <v>33</v>
      </c>
      <c r="B4010" t="str">
        <f>"300349"</f>
        <v>300349</v>
      </c>
      <c r="C4010" t="s">
        <v>8365</v>
      </c>
      <c r="D4010" t="s">
        <v>2417</v>
      </c>
      <c r="E4010">
        <v>-177952696</v>
      </c>
      <c r="F4010">
        <v>-16803929</v>
      </c>
      <c r="G4010">
        <v>6039183</v>
      </c>
      <c r="H4010">
        <v>16061052</v>
      </c>
      <c r="I4010">
        <v>-20379952</v>
      </c>
      <c r="J4010">
        <v>29523923</v>
      </c>
      <c r="K4010">
        <v>-46383818</v>
      </c>
      <c r="L4010">
        <v>-19126346</v>
      </c>
      <c r="M4010">
        <v>-32053103</v>
      </c>
      <c r="N4010">
        <v>-34010006</v>
      </c>
      <c r="O4010">
        <v>-40995830</v>
      </c>
      <c r="P4010">
        <v>395</v>
      </c>
      <c r="Q4010" t="s">
        <v>8366</v>
      </c>
    </row>
    <row r="4011" spans="1:17" x14ac:dyDescent="0.3">
      <c r="A4011" t="s">
        <v>17</v>
      </c>
      <c r="B4011" t="str">
        <f>"688285"</f>
        <v>688285</v>
      </c>
      <c r="C4011" t="s">
        <v>8367</v>
      </c>
      <c r="D4011" t="s">
        <v>1703</v>
      </c>
      <c r="E4011">
        <v>-178042267</v>
      </c>
      <c r="P4011">
        <v>14</v>
      </c>
      <c r="Q4011" t="s">
        <v>8368</v>
      </c>
    </row>
    <row r="4012" spans="1:17" x14ac:dyDescent="0.3">
      <c r="A4012" t="s">
        <v>33</v>
      </c>
      <c r="B4012" t="str">
        <f>"300604"</f>
        <v>300604</v>
      </c>
      <c r="C4012" t="s">
        <v>8369</v>
      </c>
      <c r="D4012" t="s">
        <v>2201</v>
      </c>
      <c r="E4012">
        <v>-178877188</v>
      </c>
      <c r="F4012">
        <v>-70656958</v>
      </c>
      <c r="G4012">
        <v>-30147565</v>
      </c>
      <c r="H4012">
        <v>-5629149</v>
      </c>
      <c r="I4012">
        <v>5338358</v>
      </c>
      <c r="J4012">
        <v>-13386109</v>
      </c>
      <c r="K4012">
        <v>-3567611</v>
      </c>
      <c r="P4012">
        <v>370</v>
      </c>
      <c r="Q4012" t="s">
        <v>8370</v>
      </c>
    </row>
    <row r="4013" spans="1:17" x14ac:dyDescent="0.3">
      <c r="A4013" t="s">
        <v>33</v>
      </c>
      <c r="B4013" t="str">
        <f>"002775"</f>
        <v>002775</v>
      </c>
      <c r="C4013" t="s">
        <v>8371</v>
      </c>
      <c r="D4013" t="s">
        <v>2330</v>
      </c>
      <c r="E4013">
        <v>-178963612</v>
      </c>
      <c r="F4013">
        <v>-170231947</v>
      </c>
      <c r="G4013">
        <v>-183032195</v>
      </c>
      <c r="H4013">
        <v>-18337218</v>
      </c>
      <c r="I4013">
        <v>-191070478</v>
      </c>
      <c r="J4013">
        <v>-219518235</v>
      </c>
      <c r="K4013">
        <v>-27772356</v>
      </c>
      <c r="L4013">
        <v>-88764600</v>
      </c>
      <c r="M4013">
        <v>-107307500</v>
      </c>
      <c r="P4013">
        <v>218</v>
      </c>
      <c r="Q4013" t="s">
        <v>8372</v>
      </c>
    </row>
    <row r="4014" spans="1:17" x14ac:dyDescent="0.3">
      <c r="A4014" t="s">
        <v>17</v>
      </c>
      <c r="B4014" t="str">
        <f>"688390"</f>
        <v>688390</v>
      </c>
      <c r="C4014" t="s">
        <v>8373</v>
      </c>
      <c r="D4014" t="s">
        <v>2708</v>
      </c>
      <c r="E4014">
        <v>-178966249</v>
      </c>
      <c r="F4014">
        <v>-31825209</v>
      </c>
      <c r="G4014">
        <v>1981301</v>
      </c>
      <c r="P4014">
        <v>283</v>
      </c>
      <c r="Q4014" t="s">
        <v>8374</v>
      </c>
    </row>
    <row r="4015" spans="1:17" x14ac:dyDescent="0.3">
      <c r="A4015" t="s">
        <v>33</v>
      </c>
      <c r="B4015" t="str">
        <f>"000720"</f>
        <v>000720</v>
      </c>
      <c r="C4015" t="s">
        <v>8375</v>
      </c>
      <c r="D4015" t="s">
        <v>1135</v>
      </c>
      <c r="E4015">
        <v>-179174769</v>
      </c>
      <c r="F4015">
        <v>-531955575</v>
      </c>
      <c r="G4015">
        <v>146981301</v>
      </c>
      <c r="H4015">
        <v>-470006092</v>
      </c>
      <c r="I4015">
        <v>291997336</v>
      </c>
      <c r="J4015">
        <v>-38973586</v>
      </c>
      <c r="K4015">
        <v>248967137</v>
      </c>
      <c r="L4015">
        <v>157422155</v>
      </c>
      <c r="M4015">
        <v>44144172</v>
      </c>
      <c r="N4015">
        <v>245547823</v>
      </c>
      <c r="O4015">
        <v>141818619</v>
      </c>
      <c r="P4015">
        <v>122</v>
      </c>
      <c r="Q4015" t="s">
        <v>8376</v>
      </c>
    </row>
    <row r="4016" spans="1:17" x14ac:dyDescent="0.3">
      <c r="A4016" t="s">
        <v>17</v>
      </c>
      <c r="B4016" t="str">
        <f>"600817"</f>
        <v>600817</v>
      </c>
      <c r="C4016" t="s">
        <v>8377</v>
      </c>
      <c r="D4016" t="s">
        <v>320</v>
      </c>
      <c r="E4016">
        <v>-179261643</v>
      </c>
      <c r="F4016">
        <v>-229881092</v>
      </c>
      <c r="G4016">
        <v>9404770</v>
      </c>
      <c r="H4016">
        <v>2806864</v>
      </c>
      <c r="I4016">
        <v>-3526652</v>
      </c>
      <c r="J4016">
        <v>-976270</v>
      </c>
      <c r="K4016">
        <v>-61984317</v>
      </c>
      <c r="L4016">
        <v>-40626235</v>
      </c>
      <c r="M4016">
        <v>-10671625</v>
      </c>
      <c r="N4016">
        <v>5907995</v>
      </c>
      <c r="O4016">
        <v>-469569</v>
      </c>
      <c r="P4016">
        <v>102</v>
      </c>
      <c r="Q4016" t="s">
        <v>8378</v>
      </c>
    </row>
    <row r="4017" spans="1:17" x14ac:dyDescent="0.3">
      <c r="A4017" t="s">
        <v>33</v>
      </c>
      <c r="B4017" t="str">
        <f>"002321"</f>
        <v>002321</v>
      </c>
      <c r="C4017" t="s">
        <v>8379</v>
      </c>
      <c r="D4017" t="s">
        <v>2987</v>
      </c>
      <c r="E4017">
        <v>-179289424</v>
      </c>
      <c r="F4017">
        <v>-587695</v>
      </c>
      <c r="G4017">
        <v>135519071</v>
      </c>
      <c r="H4017">
        <v>30575037</v>
      </c>
      <c r="I4017">
        <v>-47106417</v>
      </c>
      <c r="J4017">
        <v>-478811082</v>
      </c>
      <c r="K4017">
        <v>115365296</v>
      </c>
      <c r="L4017">
        <v>277418484</v>
      </c>
      <c r="M4017">
        <v>79197258</v>
      </c>
      <c r="N4017">
        <v>-27308467</v>
      </c>
      <c r="O4017">
        <v>-44641072</v>
      </c>
      <c r="P4017">
        <v>111</v>
      </c>
      <c r="Q4017" t="s">
        <v>8380</v>
      </c>
    </row>
    <row r="4018" spans="1:17" x14ac:dyDescent="0.3">
      <c r="A4018" t="s">
        <v>17</v>
      </c>
      <c r="B4018" t="str">
        <f>"688586"</f>
        <v>688586</v>
      </c>
      <c r="C4018" t="s">
        <v>8381</v>
      </c>
      <c r="D4018" t="s">
        <v>2262</v>
      </c>
      <c r="E4018">
        <v>-180240807</v>
      </c>
      <c r="F4018">
        <v>-121124581</v>
      </c>
      <c r="G4018">
        <v>12921321</v>
      </c>
      <c r="H4018">
        <v>-75464898</v>
      </c>
      <c r="P4018">
        <v>70</v>
      </c>
      <c r="Q4018" t="s">
        <v>8382</v>
      </c>
    </row>
    <row r="4019" spans="1:17" x14ac:dyDescent="0.3">
      <c r="A4019" t="s">
        <v>17</v>
      </c>
      <c r="B4019" t="str">
        <f>"688208"</f>
        <v>688208</v>
      </c>
      <c r="C4019" t="s">
        <v>8383</v>
      </c>
      <c r="D4019" t="s">
        <v>1571</v>
      </c>
      <c r="E4019">
        <v>-180696518</v>
      </c>
      <c r="F4019">
        <v>44507662</v>
      </c>
      <c r="G4019">
        <v>141725302</v>
      </c>
      <c r="H4019">
        <v>39372629</v>
      </c>
      <c r="P4019">
        <v>220</v>
      </c>
      <c r="Q4019" t="s">
        <v>8384</v>
      </c>
    </row>
    <row r="4020" spans="1:17" x14ac:dyDescent="0.3">
      <c r="A4020" t="s">
        <v>33</v>
      </c>
      <c r="B4020" t="str">
        <f>"300096"</f>
        <v>300096</v>
      </c>
      <c r="C4020" t="s">
        <v>8385</v>
      </c>
      <c r="D4020" t="s">
        <v>508</v>
      </c>
      <c r="E4020">
        <v>-181576490</v>
      </c>
      <c r="F4020">
        <v>-161036894</v>
      </c>
      <c r="G4020">
        <v>-144730098</v>
      </c>
      <c r="H4020">
        <v>-122909482</v>
      </c>
      <c r="I4020">
        <v>-97904388</v>
      </c>
      <c r="J4020">
        <v>-95051593</v>
      </c>
      <c r="K4020">
        <v>-72790252</v>
      </c>
      <c r="L4020">
        <v>-29250555</v>
      </c>
      <c r="M4020">
        <v>-40184318</v>
      </c>
      <c r="N4020">
        <v>-22244287</v>
      </c>
      <c r="O4020">
        <v>-41361302</v>
      </c>
      <c r="P4020">
        <v>169</v>
      </c>
      <c r="Q4020" t="s">
        <v>8386</v>
      </c>
    </row>
    <row r="4021" spans="1:17" x14ac:dyDescent="0.3">
      <c r="A4021" t="s">
        <v>33</v>
      </c>
      <c r="B4021" t="str">
        <f>"002269"</f>
        <v>002269</v>
      </c>
      <c r="C4021" t="s">
        <v>8387</v>
      </c>
      <c r="D4021" t="s">
        <v>581</v>
      </c>
      <c r="E4021">
        <v>-181704649</v>
      </c>
      <c r="F4021">
        <v>57820763</v>
      </c>
      <c r="G4021">
        <v>-139188599</v>
      </c>
      <c r="H4021">
        <v>248312086</v>
      </c>
      <c r="I4021">
        <v>239016400</v>
      </c>
      <c r="J4021">
        <v>132081939</v>
      </c>
      <c r="K4021">
        <v>228977005</v>
      </c>
      <c r="L4021">
        <v>379745879</v>
      </c>
      <c r="M4021">
        <v>588936254</v>
      </c>
      <c r="N4021">
        <v>724261045</v>
      </c>
      <c r="O4021">
        <v>986287086</v>
      </c>
      <c r="P4021">
        <v>143</v>
      </c>
      <c r="Q4021" t="s">
        <v>8388</v>
      </c>
    </row>
    <row r="4022" spans="1:17" x14ac:dyDescent="0.3">
      <c r="A4022" t="s">
        <v>33</v>
      </c>
      <c r="B4022" t="str">
        <f>"002378"</f>
        <v>002378</v>
      </c>
      <c r="C4022" t="s">
        <v>8389</v>
      </c>
      <c r="D4022" t="s">
        <v>5249</v>
      </c>
      <c r="E4022">
        <v>-181981993</v>
      </c>
      <c r="F4022">
        <v>-172124621</v>
      </c>
      <c r="G4022">
        <v>328801</v>
      </c>
      <c r="H4022">
        <v>16287103</v>
      </c>
      <c r="I4022">
        <v>-99812591</v>
      </c>
      <c r="J4022">
        <v>-117691011</v>
      </c>
      <c r="K4022">
        <v>24521982</v>
      </c>
      <c r="L4022">
        <v>86843101</v>
      </c>
      <c r="M4022">
        <v>-38823058</v>
      </c>
      <c r="N4022">
        <v>209666057</v>
      </c>
      <c r="O4022">
        <v>-33536588</v>
      </c>
      <c r="P4022">
        <v>128</v>
      </c>
      <c r="Q4022" t="s">
        <v>8390</v>
      </c>
    </row>
    <row r="4023" spans="1:17" x14ac:dyDescent="0.3">
      <c r="A4023" t="s">
        <v>33</v>
      </c>
      <c r="B4023" t="str">
        <f>"300419"</f>
        <v>300419</v>
      </c>
      <c r="C4023" t="s">
        <v>8391</v>
      </c>
      <c r="D4023" t="s">
        <v>508</v>
      </c>
      <c r="E4023">
        <v>-182132848</v>
      </c>
      <c r="F4023">
        <v>-144000924</v>
      </c>
      <c r="G4023">
        <v>-43725973</v>
      </c>
      <c r="H4023">
        <v>-31823181</v>
      </c>
      <c r="I4023">
        <v>-59095011</v>
      </c>
      <c r="J4023">
        <v>-30317497</v>
      </c>
      <c r="K4023">
        <v>-34166355</v>
      </c>
      <c r="L4023">
        <v>-1111694</v>
      </c>
      <c r="M4023">
        <v>-19397226</v>
      </c>
      <c r="P4023">
        <v>89</v>
      </c>
      <c r="Q4023" t="s">
        <v>8392</v>
      </c>
    </row>
    <row r="4024" spans="1:17" x14ac:dyDescent="0.3">
      <c r="A4024" t="s">
        <v>33</v>
      </c>
      <c r="B4024" t="str">
        <f>"300296"</f>
        <v>300296</v>
      </c>
      <c r="C4024" t="s">
        <v>8393</v>
      </c>
      <c r="D4024" t="s">
        <v>1299</v>
      </c>
      <c r="E4024">
        <v>-182486078</v>
      </c>
      <c r="F4024">
        <v>18131141</v>
      </c>
      <c r="G4024">
        <v>-166216472</v>
      </c>
      <c r="H4024">
        <v>-298292003</v>
      </c>
      <c r="I4024">
        <v>90105672</v>
      </c>
      <c r="J4024">
        <v>-137975326</v>
      </c>
      <c r="K4024">
        <v>-113659071</v>
      </c>
      <c r="L4024">
        <v>22006069</v>
      </c>
      <c r="M4024">
        <v>-67295196</v>
      </c>
      <c r="N4024">
        <v>-71913538</v>
      </c>
      <c r="O4024">
        <v>-61834911</v>
      </c>
      <c r="P4024">
        <v>1699</v>
      </c>
      <c r="Q4024" t="s">
        <v>8394</v>
      </c>
    </row>
    <row r="4025" spans="1:17" x14ac:dyDescent="0.3">
      <c r="A4025" t="s">
        <v>17</v>
      </c>
      <c r="B4025" t="str">
        <f>"600383"</f>
        <v>600383</v>
      </c>
      <c r="C4025" t="s">
        <v>8395</v>
      </c>
      <c r="D4025" t="s">
        <v>167</v>
      </c>
      <c r="E4025">
        <v>-182725163</v>
      </c>
      <c r="F4025">
        <v>-5134168544</v>
      </c>
      <c r="G4025">
        <v>-8575347119</v>
      </c>
      <c r="H4025">
        <v>-4822651688</v>
      </c>
      <c r="I4025">
        <v>-3037772989</v>
      </c>
      <c r="J4025">
        <v>-4210380416</v>
      </c>
      <c r="K4025">
        <v>-498923883</v>
      </c>
      <c r="L4025">
        <v>-2560500512</v>
      </c>
      <c r="M4025">
        <v>-3455949645</v>
      </c>
      <c r="N4025">
        <v>-3062611853</v>
      </c>
      <c r="O4025">
        <v>-1203177953</v>
      </c>
      <c r="P4025">
        <v>2482</v>
      </c>
      <c r="Q4025" t="s">
        <v>8396</v>
      </c>
    </row>
    <row r="4026" spans="1:17" x14ac:dyDescent="0.3">
      <c r="A4026" t="s">
        <v>33</v>
      </c>
      <c r="B4026" t="str">
        <f>"300378"</f>
        <v>300378</v>
      </c>
      <c r="C4026" t="s">
        <v>8397</v>
      </c>
      <c r="D4026" t="s">
        <v>1713</v>
      </c>
      <c r="E4026">
        <v>-183361568</v>
      </c>
      <c r="F4026">
        <v>-125853365</v>
      </c>
      <c r="G4026">
        <v>-177673044</v>
      </c>
      <c r="H4026">
        <v>-104360027</v>
      </c>
      <c r="I4026">
        <v>-62851202</v>
      </c>
      <c r="J4026">
        <v>-51645917</v>
      </c>
      <c r="K4026">
        <v>-70400285</v>
      </c>
      <c r="L4026">
        <v>-38711693</v>
      </c>
      <c r="M4026">
        <v>-77477706</v>
      </c>
      <c r="N4026">
        <v>-52114714</v>
      </c>
      <c r="P4026">
        <v>195</v>
      </c>
      <c r="Q4026" t="s">
        <v>8398</v>
      </c>
    </row>
    <row r="4027" spans="1:17" x14ac:dyDescent="0.3">
      <c r="A4027" t="s">
        <v>17</v>
      </c>
      <c r="B4027" t="str">
        <f>"600975"</f>
        <v>600975</v>
      </c>
      <c r="C4027" t="s">
        <v>8399</v>
      </c>
      <c r="D4027" t="s">
        <v>1637</v>
      </c>
      <c r="E4027">
        <v>-183477427</v>
      </c>
      <c r="F4027">
        <v>-173662265</v>
      </c>
      <c r="G4027">
        <v>44238218</v>
      </c>
      <c r="H4027">
        <v>-107639919</v>
      </c>
      <c r="I4027">
        <v>22229066</v>
      </c>
      <c r="J4027">
        <v>69841634</v>
      </c>
      <c r="K4027">
        <v>77647710</v>
      </c>
      <c r="L4027">
        <v>4762814</v>
      </c>
      <c r="M4027">
        <v>-6226369</v>
      </c>
      <c r="N4027">
        <v>-20040056</v>
      </c>
      <c r="O4027">
        <v>15164728</v>
      </c>
      <c r="P4027">
        <v>305</v>
      </c>
      <c r="Q4027" t="s">
        <v>8400</v>
      </c>
    </row>
    <row r="4028" spans="1:17" x14ac:dyDescent="0.3">
      <c r="A4028" t="s">
        <v>33</v>
      </c>
      <c r="B4028" t="str">
        <f>"002968"</f>
        <v>002968</v>
      </c>
      <c r="C4028" t="s">
        <v>8401</v>
      </c>
      <c r="D4028" t="s">
        <v>2398</v>
      </c>
      <c r="E4028">
        <v>-184565339</v>
      </c>
      <c r="F4028">
        <v>-151465397</v>
      </c>
      <c r="G4028">
        <v>-100626483</v>
      </c>
      <c r="H4028">
        <v>-102802186</v>
      </c>
      <c r="P4028">
        <v>234</v>
      </c>
      <c r="Q4028" t="s">
        <v>8402</v>
      </c>
    </row>
    <row r="4029" spans="1:17" x14ac:dyDescent="0.3">
      <c r="A4029" t="s">
        <v>17</v>
      </c>
      <c r="B4029" t="str">
        <f>"600288"</f>
        <v>600288</v>
      </c>
      <c r="C4029" t="s">
        <v>8403</v>
      </c>
      <c r="D4029" t="s">
        <v>499</v>
      </c>
      <c r="E4029">
        <v>-185391972</v>
      </c>
      <c r="F4029">
        <v>-150005140</v>
      </c>
      <c r="G4029">
        <v>-118165716</v>
      </c>
      <c r="H4029">
        <v>-115570531</v>
      </c>
      <c r="I4029">
        <v>-134416764</v>
      </c>
      <c r="J4029">
        <v>-143242649</v>
      </c>
      <c r="K4029">
        <v>-170960065</v>
      </c>
      <c r="L4029">
        <v>-149543140</v>
      </c>
      <c r="M4029">
        <v>-201195905</v>
      </c>
      <c r="N4029">
        <v>-240831015</v>
      </c>
      <c r="O4029">
        <v>-194489543</v>
      </c>
      <c r="P4029">
        <v>95</v>
      </c>
      <c r="Q4029" t="s">
        <v>8404</v>
      </c>
    </row>
    <row r="4030" spans="1:17" x14ac:dyDescent="0.3">
      <c r="A4030" t="s">
        <v>17</v>
      </c>
      <c r="B4030" t="str">
        <f>"600370"</f>
        <v>600370</v>
      </c>
      <c r="C4030" t="s">
        <v>8405</v>
      </c>
      <c r="D4030" t="s">
        <v>1849</v>
      </c>
      <c r="E4030">
        <v>-186117364</v>
      </c>
      <c r="F4030">
        <v>-465416471</v>
      </c>
      <c r="G4030">
        <v>40168825</v>
      </c>
      <c r="H4030">
        <v>65179039</v>
      </c>
      <c r="I4030">
        <v>59490584</v>
      </c>
      <c r="J4030">
        <v>-3220160</v>
      </c>
      <c r="K4030">
        <v>43223507</v>
      </c>
      <c r="L4030">
        <v>63589092</v>
      </c>
      <c r="M4030">
        <v>71370886</v>
      </c>
      <c r="N4030">
        <v>9035148</v>
      </c>
      <c r="O4030">
        <v>5448194</v>
      </c>
      <c r="P4030">
        <v>101</v>
      </c>
      <c r="Q4030" t="s">
        <v>8406</v>
      </c>
    </row>
    <row r="4031" spans="1:17" x14ac:dyDescent="0.3">
      <c r="A4031" t="s">
        <v>17</v>
      </c>
      <c r="B4031" t="str">
        <f>"688315"</f>
        <v>688315</v>
      </c>
      <c r="C4031" t="s">
        <v>8407</v>
      </c>
      <c r="D4031" t="s">
        <v>4454</v>
      </c>
      <c r="E4031">
        <v>-186140305</v>
      </c>
      <c r="F4031">
        <v>-139732904</v>
      </c>
      <c r="G4031">
        <v>-315651953</v>
      </c>
      <c r="P4031">
        <v>46</v>
      </c>
      <c r="Q4031" t="s">
        <v>8408</v>
      </c>
    </row>
    <row r="4032" spans="1:17" x14ac:dyDescent="0.3">
      <c r="A4032" t="s">
        <v>33</v>
      </c>
      <c r="B4032" t="str">
        <f>"002280"</f>
        <v>002280</v>
      </c>
      <c r="C4032" t="s">
        <v>8409</v>
      </c>
      <c r="D4032" t="s">
        <v>2878</v>
      </c>
      <c r="E4032">
        <v>-187150182</v>
      </c>
      <c r="F4032">
        <v>129360289</v>
      </c>
      <c r="G4032">
        <v>125478446</v>
      </c>
      <c r="H4032">
        <v>-181639972</v>
      </c>
      <c r="I4032">
        <v>-594472716</v>
      </c>
      <c r="J4032">
        <v>-1071089836</v>
      </c>
      <c r="K4032">
        <v>-108558503</v>
      </c>
      <c r="L4032">
        <v>-79213615</v>
      </c>
      <c r="M4032">
        <v>-46053835</v>
      </c>
      <c r="N4032">
        <v>-38183578</v>
      </c>
      <c r="O4032">
        <v>-43044975</v>
      </c>
      <c r="P4032">
        <v>179</v>
      </c>
      <c r="Q4032" t="s">
        <v>8410</v>
      </c>
    </row>
    <row r="4033" spans="1:17" x14ac:dyDescent="0.3">
      <c r="A4033" t="s">
        <v>17</v>
      </c>
      <c r="B4033" t="str">
        <f>"603956"</f>
        <v>603956</v>
      </c>
      <c r="C4033" t="s">
        <v>8411</v>
      </c>
      <c r="D4033" t="s">
        <v>1895</v>
      </c>
      <c r="E4033">
        <v>-187565246</v>
      </c>
      <c r="F4033">
        <v>-95235628</v>
      </c>
      <c r="G4033">
        <v>-81732119</v>
      </c>
      <c r="H4033">
        <v>-41271904</v>
      </c>
      <c r="I4033">
        <v>-61831257</v>
      </c>
      <c r="P4033">
        <v>181</v>
      </c>
      <c r="Q4033" t="s">
        <v>8412</v>
      </c>
    </row>
    <row r="4034" spans="1:17" x14ac:dyDescent="0.3">
      <c r="A4034" t="s">
        <v>33</v>
      </c>
      <c r="B4034" t="str">
        <f>"002998"</f>
        <v>002998</v>
      </c>
      <c r="C4034" t="s">
        <v>8413</v>
      </c>
      <c r="D4034" t="s">
        <v>2145</v>
      </c>
      <c r="E4034">
        <v>-187758261</v>
      </c>
      <c r="F4034">
        <v>-130412426</v>
      </c>
      <c r="G4034">
        <v>-167005213</v>
      </c>
      <c r="P4034">
        <v>36</v>
      </c>
      <c r="Q4034" t="s">
        <v>8414</v>
      </c>
    </row>
    <row r="4035" spans="1:17" x14ac:dyDescent="0.3">
      <c r="A4035" t="s">
        <v>33</v>
      </c>
      <c r="B4035" t="str">
        <f>"002518"</f>
        <v>002518</v>
      </c>
      <c r="C4035" t="s">
        <v>8415</v>
      </c>
      <c r="D4035" t="s">
        <v>2956</v>
      </c>
      <c r="E4035">
        <v>-188015700</v>
      </c>
      <c r="F4035">
        <v>34253276</v>
      </c>
      <c r="G4035">
        <v>-87066525</v>
      </c>
      <c r="H4035">
        <v>226829133</v>
      </c>
      <c r="I4035">
        <v>-244214786</v>
      </c>
      <c r="J4035">
        <v>-33533390</v>
      </c>
      <c r="K4035">
        <v>-110031857</v>
      </c>
      <c r="L4035">
        <v>-21744624</v>
      </c>
      <c r="M4035">
        <v>-125230135</v>
      </c>
      <c r="N4035">
        <v>-37499239</v>
      </c>
      <c r="O4035">
        <v>-77607905</v>
      </c>
      <c r="P4035">
        <v>401</v>
      </c>
      <c r="Q4035" t="s">
        <v>8416</v>
      </c>
    </row>
    <row r="4036" spans="1:17" x14ac:dyDescent="0.3">
      <c r="A4036" t="s">
        <v>17</v>
      </c>
      <c r="B4036" t="str">
        <f>"600802"</f>
        <v>600802</v>
      </c>
      <c r="C4036" t="s">
        <v>8417</v>
      </c>
      <c r="D4036" t="s">
        <v>260</v>
      </c>
      <c r="E4036">
        <v>-188065065</v>
      </c>
      <c r="F4036">
        <v>26765700</v>
      </c>
      <c r="G4036">
        <v>-156741284</v>
      </c>
      <c r="H4036">
        <v>33573973</v>
      </c>
      <c r="I4036">
        <v>31679873</v>
      </c>
      <c r="J4036">
        <v>-104098445</v>
      </c>
      <c r="K4036">
        <v>-90408501</v>
      </c>
      <c r="L4036">
        <v>-130863459</v>
      </c>
      <c r="M4036">
        <v>40383986</v>
      </c>
      <c r="N4036">
        <v>-22302224</v>
      </c>
      <c r="O4036">
        <v>-84469988</v>
      </c>
      <c r="P4036">
        <v>248</v>
      </c>
      <c r="Q4036" t="s">
        <v>8418</v>
      </c>
    </row>
    <row r="4037" spans="1:17" x14ac:dyDescent="0.3">
      <c r="A4037" t="s">
        <v>17</v>
      </c>
      <c r="B4037" t="str">
        <f>"603686"</f>
        <v>603686</v>
      </c>
      <c r="C4037" t="s">
        <v>8419</v>
      </c>
      <c r="D4037" t="s">
        <v>1763</v>
      </c>
      <c r="E4037">
        <v>-188172614</v>
      </c>
      <c r="F4037">
        <v>-233172690</v>
      </c>
      <c r="G4037">
        <v>-242295843</v>
      </c>
      <c r="H4037">
        <v>-291170434</v>
      </c>
      <c r="I4037">
        <v>-356157241</v>
      </c>
      <c r="J4037">
        <v>-396566704</v>
      </c>
      <c r="K4037">
        <v>-245119074</v>
      </c>
      <c r="L4037">
        <v>-176461327</v>
      </c>
      <c r="M4037">
        <v>-161803728</v>
      </c>
      <c r="P4037">
        <v>760</v>
      </c>
      <c r="Q4037" t="s">
        <v>8420</v>
      </c>
    </row>
    <row r="4038" spans="1:17" x14ac:dyDescent="0.3">
      <c r="A4038" t="s">
        <v>33</v>
      </c>
      <c r="B4038" t="str">
        <f>"300388"</f>
        <v>300388</v>
      </c>
      <c r="C4038" t="s">
        <v>8421</v>
      </c>
      <c r="D4038" t="s">
        <v>932</v>
      </c>
      <c r="E4038">
        <v>-188200139</v>
      </c>
      <c r="F4038">
        <v>2818060</v>
      </c>
      <c r="G4038">
        <v>-119576759</v>
      </c>
      <c r="H4038">
        <v>-381960368</v>
      </c>
      <c r="I4038">
        <v>-235837694</v>
      </c>
      <c r="J4038">
        <v>-43784795</v>
      </c>
      <c r="K4038">
        <v>-382574508</v>
      </c>
      <c r="L4038">
        <v>-100384170</v>
      </c>
      <c r="M4038">
        <v>79713424</v>
      </c>
      <c r="P4038">
        <v>225</v>
      </c>
      <c r="Q4038" t="s">
        <v>8422</v>
      </c>
    </row>
    <row r="4039" spans="1:17" x14ac:dyDescent="0.3">
      <c r="A4039" t="s">
        <v>17</v>
      </c>
      <c r="B4039" t="str">
        <f>"603551"</f>
        <v>603551</v>
      </c>
      <c r="C4039" t="s">
        <v>8423</v>
      </c>
      <c r="D4039" t="s">
        <v>6881</v>
      </c>
      <c r="E4039">
        <v>-188234999</v>
      </c>
      <c r="F4039">
        <v>-157245120</v>
      </c>
      <c r="G4039">
        <v>-212637453</v>
      </c>
      <c r="H4039">
        <v>32960143</v>
      </c>
      <c r="P4039">
        <v>116</v>
      </c>
      <c r="Q4039" t="s">
        <v>8424</v>
      </c>
    </row>
    <row r="4040" spans="1:17" x14ac:dyDescent="0.3">
      <c r="A4040" t="s">
        <v>17</v>
      </c>
      <c r="B4040" t="str">
        <f>"600894"</f>
        <v>600894</v>
      </c>
      <c r="C4040" t="s">
        <v>8425</v>
      </c>
      <c r="D4040" t="s">
        <v>2528</v>
      </c>
      <c r="E4040">
        <v>-188253039</v>
      </c>
      <c r="F4040">
        <v>-150833598</v>
      </c>
      <c r="G4040">
        <v>-120412457</v>
      </c>
      <c r="H4040">
        <v>-194399074</v>
      </c>
      <c r="I4040">
        <v>-65697589</v>
      </c>
      <c r="J4040">
        <v>-46370564</v>
      </c>
      <c r="K4040">
        <v>-95296350</v>
      </c>
      <c r="L4040">
        <v>-142637024</v>
      </c>
      <c r="M4040">
        <v>-99222101</v>
      </c>
      <c r="N4040">
        <v>-41004566</v>
      </c>
      <c r="O4040">
        <v>40676869</v>
      </c>
      <c r="P4040">
        <v>394</v>
      </c>
      <c r="Q4040" t="s">
        <v>8426</v>
      </c>
    </row>
    <row r="4041" spans="1:17" x14ac:dyDescent="0.3">
      <c r="A4041" t="s">
        <v>33</v>
      </c>
      <c r="B4041" t="str">
        <f>"301150"</f>
        <v>301150</v>
      </c>
      <c r="C4041" t="s">
        <v>8427</v>
      </c>
      <c r="E4041">
        <v>-188418464</v>
      </c>
      <c r="P4041">
        <v>7</v>
      </c>
      <c r="Q4041" t="s">
        <v>8428</v>
      </c>
    </row>
    <row r="4042" spans="1:17" x14ac:dyDescent="0.3">
      <c r="A4042" t="s">
        <v>33</v>
      </c>
      <c r="B4042" t="str">
        <f>"002505"</f>
        <v>002505</v>
      </c>
      <c r="C4042" t="s">
        <v>8429</v>
      </c>
      <c r="D4042" t="s">
        <v>2987</v>
      </c>
      <c r="E4042">
        <v>-188543437</v>
      </c>
      <c r="F4042">
        <v>-554219348</v>
      </c>
      <c r="G4042">
        <v>-352805069</v>
      </c>
      <c r="H4042">
        <v>-51196985</v>
      </c>
      <c r="I4042">
        <v>65630361</v>
      </c>
      <c r="J4042">
        <v>-499741485</v>
      </c>
      <c r="K4042">
        <v>-17631774</v>
      </c>
      <c r="L4042">
        <v>-61815322</v>
      </c>
      <c r="M4042">
        <v>-110143584</v>
      </c>
      <c r="N4042">
        <v>14054246</v>
      </c>
      <c r="O4042">
        <v>19832985</v>
      </c>
      <c r="P4042">
        <v>209</v>
      </c>
      <c r="Q4042" t="s">
        <v>8430</v>
      </c>
    </row>
    <row r="4043" spans="1:17" x14ac:dyDescent="0.3">
      <c r="A4043" t="s">
        <v>33</v>
      </c>
      <c r="B4043" t="str">
        <f>"002567"</f>
        <v>002567</v>
      </c>
      <c r="C4043" t="s">
        <v>8431</v>
      </c>
      <c r="D4043" t="s">
        <v>1825</v>
      </c>
      <c r="E4043">
        <v>-188647003</v>
      </c>
      <c r="F4043">
        <v>221132590</v>
      </c>
      <c r="G4043">
        <v>169187651</v>
      </c>
      <c r="H4043">
        <v>107316596</v>
      </c>
      <c r="I4043">
        <v>-96585599</v>
      </c>
      <c r="J4043">
        <v>-57860450</v>
      </c>
      <c r="K4043">
        <v>119306206</v>
      </c>
      <c r="L4043">
        <v>47334458</v>
      </c>
      <c r="M4043">
        <v>213821806</v>
      </c>
      <c r="N4043">
        <v>3951087</v>
      </c>
      <c r="O4043">
        <v>31295907</v>
      </c>
      <c r="P4043">
        <v>451</v>
      </c>
      <c r="Q4043" t="s">
        <v>8432</v>
      </c>
    </row>
    <row r="4044" spans="1:17" x14ac:dyDescent="0.3">
      <c r="A4044" t="s">
        <v>17</v>
      </c>
      <c r="B4044" t="str">
        <f>"603843"</f>
        <v>603843</v>
      </c>
      <c r="C4044" t="s">
        <v>8433</v>
      </c>
      <c r="D4044" t="s">
        <v>1527</v>
      </c>
      <c r="E4044">
        <v>-189392783</v>
      </c>
      <c r="F4044">
        <v>-144554840</v>
      </c>
      <c r="G4044">
        <v>-200896569</v>
      </c>
      <c r="H4044">
        <v>-21905371</v>
      </c>
      <c r="I4044">
        <v>-273692583</v>
      </c>
      <c r="J4044">
        <v>-666403481</v>
      </c>
      <c r="K4044">
        <v>-327486953</v>
      </c>
      <c r="L4044">
        <v>-427984380</v>
      </c>
      <c r="P4044">
        <v>90</v>
      </c>
      <c r="Q4044" t="s">
        <v>8434</v>
      </c>
    </row>
    <row r="4045" spans="1:17" x14ac:dyDescent="0.3">
      <c r="A4045" t="s">
        <v>33</v>
      </c>
      <c r="B4045" t="str">
        <f>"300019"</f>
        <v>300019</v>
      </c>
      <c r="C4045" t="s">
        <v>8435</v>
      </c>
      <c r="D4045" t="s">
        <v>729</v>
      </c>
      <c r="E4045">
        <v>-190497774</v>
      </c>
      <c r="F4045">
        <v>-52986256</v>
      </c>
      <c r="G4045">
        <v>-26384376</v>
      </c>
      <c r="H4045">
        <v>-34888922</v>
      </c>
      <c r="I4045">
        <v>-4899935</v>
      </c>
      <c r="J4045">
        <v>4465849</v>
      </c>
      <c r="K4045">
        <v>-8566987</v>
      </c>
      <c r="L4045">
        <v>-13493957</v>
      </c>
      <c r="M4045">
        <v>-19736702</v>
      </c>
      <c r="N4045">
        <v>-23291259</v>
      </c>
      <c r="O4045">
        <v>-15668909</v>
      </c>
      <c r="P4045">
        <v>295</v>
      </c>
      <c r="Q4045" t="s">
        <v>8436</v>
      </c>
    </row>
    <row r="4046" spans="1:17" x14ac:dyDescent="0.3">
      <c r="A4046" t="s">
        <v>33</v>
      </c>
      <c r="B4046" t="str">
        <f>"002631"</f>
        <v>002631</v>
      </c>
      <c r="C4046" t="s">
        <v>8437</v>
      </c>
      <c r="D4046" t="s">
        <v>5122</v>
      </c>
      <c r="E4046">
        <v>-190629344</v>
      </c>
      <c r="F4046">
        <v>-89804468</v>
      </c>
      <c r="G4046">
        <v>-162282373</v>
      </c>
      <c r="H4046">
        <v>-102187298</v>
      </c>
      <c r="I4046">
        <v>-53827228</v>
      </c>
      <c r="J4046">
        <v>-43709663</v>
      </c>
      <c r="K4046">
        <v>-1057406</v>
      </c>
      <c r="L4046">
        <v>38408898</v>
      </c>
      <c r="M4046">
        <v>5177453</v>
      </c>
      <c r="N4046">
        <v>7303755</v>
      </c>
      <c r="O4046">
        <v>-29936291</v>
      </c>
      <c r="P4046">
        <v>156</v>
      </c>
      <c r="Q4046" t="s">
        <v>8438</v>
      </c>
    </row>
    <row r="4047" spans="1:17" x14ac:dyDescent="0.3">
      <c r="A4047" t="s">
        <v>33</v>
      </c>
      <c r="B4047" t="str">
        <f>"002617"</f>
        <v>002617</v>
      </c>
      <c r="C4047" t="s">
        <v>8439</v>
      </c>
      <c r="D4047" t="s">
        <v>1007</v>
      </c>
      <c r="E4047">
        <v>-191086367</v>
      </c>
      <c r="F4047">
        <v>-131934187</v>
      </c>
      <c r="G4047">
        <v>-14416079</v>
      </c>
      <c r="H4047">
        <v>9486937</v>
      </c>
      <c r="I4047">
        <v>33643038</v>
      </c>
      <c r="J4047">
        <v>-251794831</v>
      </c>
      <c r="K4047">
        <v>-101767251</v>
      </c>
      <c r="L4047">
        <v>-18103516</v>
      </c>
      <c r="M4047">
        <v>42229215</v>
      </c>
      <c r="N4047">
        <v>-91328352</v>
      </c>
      <c r="O4047">
        <v>21163457</v>
      </c>
      <c r="P4047">
        <v>321</v>
      </c>
      <c r="Q4047" t="s">
        <v>8440</v>
      </c>
    </row>
    <row r="4048" spans="1:17" x14ac:dyDescent="0.3">
      <c r="A4048" t="s">
        <v>17</v>
      </c>
      <c r="B4048" t="str">
        <f>"600794"</f>
        <v>600794</v>
      </c>
      <c r="C4048" t="s">
        <v>8441</v>
      </c>
      <c r="D4048" t="s">
        <v>1664</v>
      </c>
      <c r="E4048">
        <v>-191638798</v>
      </c>
      <c r="F4048">
        <v>233592876</v>
      </c>
      <c r="G4048">
        <v>381767</v>
      </c>
      <c r="H4048">
        <v>-65467681</v>
      </c>
      <c r="I4048">
        <v>-64954113</v>
      </c>
      <c r="J4048">
        <v>-285410232</v>
      </c>
      <c r="K4048">
        <v>48292859</v>
      </c>
      <c r="L4048">
        <v>216977400</v>
      </c>
      <c r="M4048">
        <v>-51756525</v>
      </c>
      <c r="N4048">
        <v>76400164</v>
      </c>
      <c r="O4048">
        <v>113848589</v>
      </c>
      <c r="P4048">
        <v>100</v>
      </c>
      <c r="Q4048" t="s">
        <v>8442</v>
      </c>
    </row>
    <row r="4049" spans="1:17" x14ac:dyDescent="0.3">
      <c r="A4049" t="s">
        <v>33</v>
      </c>
      <c r="B4049" t="str">
        <f>"002279"</f>
        <v>002279</v>
      </c>
      <c r="C4049" t="s">
        <v>8443</v>
      </c>
      <c r="D4049" t="s">
        <v>1713</v>
      </c>
      <c r="E4049">
        <v>-191768916</v>
      </c>
      <c r="F4049">
        <v>-197232737</v>
      </c>
      <c r="G4049">
        <v>-159467253</v>
      </c>
      <c r="H4049">
        <v>-213063496</v>
      </c>
      <c r="I4049">
        <v>-254623093</v>
      </c>
      <c r="J4049">
        <v>-116956482</v>
      </c>
      <c r="K4049">
        <v>-132613244</v>
      </c>
      <c r="L4049">
        <v>-57785858</v>
      </c>
      <c r="M4049">
        <v>-54348610</v>
      </c>
      <c r="N4049">
        <v>-37380552</v>
      </c>
      <c r="O4049">
        <v>-50498968</v>
      </c>
      <c r="P4049">
        <v>323</v>
      </c>
      <c r="Q4049" t="s">
        <v>8444</v>
      </c>
    </row>
    <row r="4050" spans="1:17" x14ac:dyDescent="0.3">
      <c r="A4050" t="s">
        <v>33</v>
      </c>
      <c r="B4050" t="str">
        <f>"000936"</f>
        <v>000936</v>
      </c>
      <c r="C4050" t="s">
        <v>8445</v>
      </c>
      <c r="D4050" t="s">
        <v>2145</v>
      </c>
      <c r="E4050">
        <v>-191999860</v>
      </c>
      <c r="F4050">
        <v>-46396953</v>
      </c>
      <c r="G4050">
        <v>-215753540</v>
      </c>
      <c r="H4050">
        <v>-8383778</v>
      </c>
      <c r="I4050">
        <v>-59103860</v>
      </c>
      <c r="J4050">
        <v>-61198167</v>
      </c>
      <c r="K4050">
        <v>-7369720</v>
      </c>
      <c r="L4050">
        <v>-114190686</v>
      </c>
      <c r="M4050">
        <v>-191472779</v>
      </c>
      <c r="N4050">
        <v>-175931829</v>
      </c>
      <c r="O4050">
        <v>-65119494</v>
      </c>
      <c r="P4050">
        <v>226</v>
      </c>
      <c r="Q4050" t="s">
        <v>8446</v>
      </c>
    </row>
    <row r="4051" spans="1:17" x14ac:dyDescent="0.3">
      <c r="A4051" t="s">
        <v>17</v>
      </c>
      <c r="B4051" t="str">
        <f>"600579"</f>
        <v>600579</v>
      </c>
      <c r="C4051" t="s">
        <v>8447</v>
      </c>
      <c r="D4051" t="s">
        <v>1895</v>
      </c>
      <c r="E4051">
        <v>-192887109</v>
      </c>
      <c r="F4051">
        <v>169722438</v>
      </c>
      <c r="G4051">
        <v>-222436322</v>
      </c>
      <c r="H4051">
        <v>-46088933</v>
      </c>
      <c r="I4051">
        <v>-42379932</v>
      </c>
      <c r="J4051">
        <v>-59641618</v>
      </c>
      <c r="K4051">
        <v>-34686250</v>
      </c>
      <c r="L4051">
        <v>-37904393</v>
      </c>
      <c r="M4051">
        <v>-51759915</v>
      </c>
      <c r="N4051">
        <v>28796739</v>
      </c>
      <c r="O4051">
        <v>14005715</v>
      </c>
      <c r="P4051">
        <v>72</v>
      </c>
      <c r="Q4051" t="s">
        <v>8448</v>
      </c>
    </row>
    <row r="4052" spans="1:17" x14ac:dyDescent="0.3">
      <c r="A4052" t="s">
        <v>33</v>
      </c>
      <c r="B4052" t="str">
        <f>"300866"</f>
        <v>300866</v>
      </c>
      <c r="C4052" t="s">
        <v>8449</v>
      </c>
      <c r="D4052" t="s">
        <v>1514</v>
      </c>
      <c r="E4052">
        <v>-193232217</v>
      </c>
      <c r="F4052">
        <v>-202315875</v>
      </c>
      <c r="G4052">
        <v>-37435290</v>
      </c>
      <c r="P4052">
        <v>311</v>
      </c>
      <c r="Q4052" t="s">
        <v>8450</v>
      </c>
    </row>
    <row r="4053" spans="1:17" x14ac:dyDescent="0.3">
      <c r="A4053" t="s">
        <v>33</v>
      </c>
      <c r="B4053" t="str">
        <f>"301235"</f>
        <v>301235</v>
      </c>
      <c r="C4053" t="s">
        <v>8451</v>
      </c>
      <c r="E4053">
        <v>-193250545</v>
      </c>
      <c r="P4053">
        <v>11</v>
      </c>
      <c r="Q4053" t="s">
        <v>8452</v>
      </c>
    </row>
    <row r="4054" spans="1:17" x14ac:dyDescent="0.3">
      <c r="A4054" t="s">
        <v>17</v>
      </c>
      <c r="B4054" t="str">
        <f>"603636"</f>
        <v>603636</v>
      </c>
      <c r="C4054" t="s">
        <v>8453</v>
      </c>
      <c r="D4054" t="s">
        <v>508</v>
      </c>
      <c r="E4054">
        <v>-193460645</v>
      </c>
      <c r="F4054">
        <v>-362506333</v>
      </c>
      <c r="G4054">
        <v>-180450798</v>
      </c>
      <c r="H4054">
        <v>-253096784</v>
      </c>
      <c r="I4054">
        <v>-164342074</v>
      </c>
      <c r="J4054">
        <v>-57902059</v>
      </c>
      <c r="K4054">
        <v>-43662844</v>
      </c>
      <c r="L4054">
        <v>-82893567</v>
      </c>
      <c r="M4054">
        <v>16473900</v>
      </c>
      <c r="P4054">
        <v>202</v>
      </c>
      <c r="Q4054" t="s">
        <v>8454</v>
      </c>
    </row>
    <row r="4055" spans="1:17" x14ac:dyDescent="0.3">
      <c r="A4055" t="s">
        <v>33</v>
      </c>
      <c r="B4055" t="str">
        <f>"000505"</f>
        <v>000505</v>
      </c>
      <c r="C4055" t="s">
        <v>8455</v>
      </c>
      <c r="D4055" t="s">
        <v>358</v>
      </c>
      <c r="E4055">
        <v>-193652734</v>
      </c>
      <c r="F4055">
        <v>274757224</v>
      </c>
      <c r="G4055">
        <v>328948834</v>
      </c>
      <c r="H4055">
        <v>172926738</v>
      </c>
      <c r="I4055">
        <v>671468699</v>
      </c>
      <c r="J4055">
        <v>-77228575</v>
      </c>
      <c r="K4055">
        <v>124823161</v>
      </c>
      <c r="L4055">
        <v>-48534275</v>
      </c>
      <c r="M4055">
        <v>-95995337</v>
      </c>
      <c r="N4055">
        <v>-32277707</v>
      </c>
      <c r="O4055">
        <v>-84831601</v>
      </c>
      <c r="P4055">
        <v>193</v>
      </c>
      <c r="Q4055" t="s">
        <v>8456</v>
      </c>
    </row>
    <row r="4056" spans="1:17" x14ac:dyDescent="0.3">
      <c r="A4056" t="s">
        <v>33</v>
      </c>
      <c r="B4056" t="str">
        <f>"002010"</f>
        <v>002010</v>
      </c>
      <c r="C4056" t="s">
        <v>8457</v>
      </c>
      <c r="D4056" t="s">
        <v>556</v>
      </c>
      <c r="E4056">
        <v>-194005214</v>
      </c>
      <c r="F4056">
        <v>8129119</v>
      </c>
      <c r="G4056">
        <v>76240325</v>
      </c>
      <c r="H4056">
        <v>164674815</v>
      </c>
      <c r="I4056">
        <v>-1326527394</v>
      </c>
      <c r="J4056">
        <v>-398170075</v>
      </c>
      <c r="K4056">
        <v>-214809260</v>
      </c>
      <c r="L4056">
        <v>-232045</v>
      </c>
      <c r="M4056">
        <v>-141401986</v>
      </c>
      <c r="N4056">
        <v>-144947935</v>
      </c>
      <c r="O4056">
        <v>-79686375</v>
      </c>
      <c r="P4056">
        <v>279</v>
      </c>
      <c r="Q4056" t="s">
        <v>8458</v>
      </c>
    </row>
    <row r="4057" spans="1:17" x14ac:dyDescent="0.3">
      <c r="A4057" t="s">
        <v>33</v>
      </c>
      <c r="B4057" t="str">
        <f>"002388"</f>
        <v>002388</v>
      </c>
      <c r="C4057" t="s">
        <v>8459</v>
      </c>
      <c r="D4057" t="s">
        <v>499</v>
      </c>
      <c r="E4057">
        <v>-194474226</v>
      </c>
      <c r="F4057">
        <v>-367759231</v>
      </c>
      <c r="G4057">
        <v>-139816242</v>
      </c>
      <c r="H4057">
        <v>-18776959</v>
      </c>
      <c r="I4057">
        <v>-362815925</v>
      </c>
      <c r="J4057">
        <v>3931917</v>
      </c>
      <c r="K4057">
        <v>46426165</v>
      </c>
      <c r="L4057">
        <v>49013122</v>
      </c>
      <c r="M4057">
        <v>-11239621</v>
      </c>
      <c r="N4057">
        <v>-119280</v>
      </c>
      <c r="O4057">
        <v>34371781</v>
      </c>
      <c r="P4057">
        <v>148</v>
      </c>
      <c r="Q4057" t="s">
        <v>8460</v>
      </c>
    </row>
    <row r="4058" spans="1:17" x14ac:dyDescent="0.3">
      <c r="A4058" t="s">
        <v>33</v>
      </c>
      <c r="B4058" t="str">
        <f>"002057"</f>
        <v>002057</v>
      </c>
      <c r="C4058" t="s">
        <v>8461</v>
      </c>
      <c r="D4058" t="s">
        <v>1559</v>
      </c>
      <c r="E4058">
        <v>-195323045</v>
      </c>
      <c r="F4058">
        <v>-53850053</v>
      </c>
      <c r="G4058">
        <v>-102261563</v>
      </c>
      <c r="H4058">
        <v>-78333967</v>
      </c>
      <c r="I4058">
        <v>-74107973</v>
      </c>
      <c r="J4058">
        <v>-23182484</v>
      </c>
      <c r="K4058">
        <v>-9655531</v>
      </c>
      <c r="L4058">
        <v>-861522</v>
      </c>
      <c r="M4058">
        <v>-15043199</v>
      </c>
      <c r="N4058">
        <v>-17202140</v>
      </c>
      <c r="O4058">
        <v>-17737813</v>
      </c>
      <c r="P4058">
        <v>126</v>
      </c>
      <c r="Q4058" t="s">
        <v>8462</v>
      </c>
    </row>
    <row r="4059" spans="1:17" x14ac:dyDescent="0.3">
      <c r="A4059" t="s">
        <v>33</v>
      </c>
      <c r="B4059" t="str">
        <f>"002610"</f>
        <v>002610</v>
      </c>
      <c r="C4059" t="s">
        <v>8463</v>
      </c>
      <c r="D4059" t="s">
        <v>800</v>
      </c>
      <c r="E4059">
        <v>-195596595</v>
      </c>
      <c r="F4059">
        <v>52083301</v>
      </c>
      <c r="G4059">
        <v>-23921288</v>
      </c>
      <c r="H4059">
        <v>-172976497</v>
      </c>
      <c r="I4059">
        <v>-119777757</v>
      </c>
      <c r="J4059">
        <v>2343164</v>
      </c>
      <c r="K4059">
        <v>-374471444</v>
      </c>
      <c r="L4059">
        <v>-385366998</v>
      </c>
      <c r="M4059">
        <v>57618822</v>
      </c>
      <c r="N4059">
        <v>91270607</v>
      </c>
      <c r="O4059">
        <v>-451758043</v>
      </c>
      <c r="P4059">
        <v>301</v>
      </c>
      <c r="Q4059" t="s">
        <v>8464</v>
      </c>
    </row>
    <row r="4060" spans="1:17" x14ac:dyDescent="0.3">
      <c r="A4060" t="s">
        <v>17</v>
      </c>
      <c r="B4060" t="str">
        <f>"603230"</f>
        <v>603230</v>
      </c>
      <c r="C4060" t="s">
        <v>8465</v>
      </c>
      <c r="D4060" t="s">
        <v>1054</v>
      </c>
      <c r="E4060">
        <v>-195769153</v>
      </c>
      <c r="P4060">
        <v>17</v>
      </c>
      <c r="Q4060" t="s">
        <v>8466</v>
      </c>
    </row>
    <row r="4061" spans="1:17" x14ac:dyDescent="0.3">
      <c r="A4061" t="s">
        <v>33</v>
      </c>
      <c r="B4061" t="str">
        <f>"000816"</f>
        <v>000816</v>
      </c>
      <c r="C4061" t="s">
        <v>8467</v>
      </c>
      <c r="D4061" t="s">
        <v>858</v>
      </c>
      <c r="E4061">
        <v>-196121501</v>
      </c>
      <c r="F4061">
        <v>-63695981</v>
      </c>
      <c r="G4061">
        <v>-39265761</v>
      </c>
      <c r="H4061">
        <v>-46370740</v>
      </c>
      <c r="I4061">
        <v>-33078803</v>
      </c>
      <c r="J4061">
        <v>1410719</v>
      </c>
      <c r="K4061">
        <v>26098070</v>
      </c>
      <c r="L4061">
        <v>-50767180</v>
      </c>
      <c r="M4061">
        <v>-117776751</v>
      </c>
      <c r="N4061">
        <v>-77427853</v>
      </c>
      <c r="O4061">
        <v>-28663780</v>
      </c>
      <c r="P4061">
        <v>153</v>
      </c>
      <c r="Q4061" t="s">
        <v>8468</v>
      </c>
    </row>
    <row r="4062" spans="1:17" x14ac:dyDescent="0.3">
      <c r="A4062" t="s">
        <v>17</v>
      </c>
      <c r="B4062" t="str">
        <f>"603366"</f>
        <v>603366</v>
      </c>
      <c r="C4062" t="s">
        <v>8469</v>
      </c>
      <c r="D4062" t="s">
        <v>6881</v>
      </c>
      <c r="E4062">
        <v>-197107540</v>
      </c>
      <c r="F4062">
        <v>-195477291</v>
      </c>
      <c r="G4062">
        <v>-137474429</v>
      </c>
      <c r="H4062">
        <v>-141675648</v>
      </c>
      <c r="I4062">
        <v>-129567503</v>
      </c>
      <c r="J4062">
        <v>-309312137</v>
      </c>
      <c r="K4062">
        <v>-238933695</v>
      </c>
      <c r="L4062">
        <v>-249583198</v>
      </c>
      <c r="M4062">
        <v>-258636123</v>
      </c>
      <c r="N4062">
        <v>-304692772</v>
      </c>
      <c r="O4062">
        <v>-167681286</v>
      </c>
      <c r="P4062">
        <v>121</v>
      </c>
      <c r="Q4062" t="s">
        <v>8470</v>
      </c>
    </row>
    <row r="4063" spans="1:17" x14ac:dyDescent="0.3">
      <c r="A4063" t="s">
        <v>33</v>
      </c>
      <c r="B4063" t="str">
        <f>"002642"</f>
        <v>002642</v>
      </c>
      <c r="C4063" t="s">
        <v>8471</v>
      </c>
      <c r="D4063" t="s">
        <v>508</v>
      </c>
      <c r="E4063">
        <v>-197203971</v>
      </c>
      <c r="F4063">
        <v>-334362150</v>
      </c>
      <c r="G4063">
        <v>-187079317</v>
      </c>
      <c r="H4063">
        <v>-340042760</v>
      </c>
      <c r="I4063">
        <v>-468706959</v>
      </c>
      <c r="J4063">
        <v>-179633900</v>
      </c>
      <c r="K4063">
        <v>-149561743</v>
      </c>
      <c r="L4063">
        <v>-222469769</v>
      </c>
      <c r="M4063">
        <v>-157576831</v>
      </c>
      <c r="N4063">
        <v>-113614505</v>
      </c>
      <c r="O4063">
        <v>-58354732</v>
      </c>
      <c r="P4063">
        <v>221</v>
      </c>
      <c r="Q4063" t="s">
        <v>8472</v>
      </c>
    </row>
    <row r="4064" spans="1:17" x14ac:dyDescent="0.3">
      <c r="A4064" t="s">
        <v>17</v>
      </c>
      <c r="B4064" t="str">
        <f>"603700"</f>
        <v>603700</v>
      </c>
      <c r="C4064" t="s">
        <v>8473</v>
      </c>
      <c r="D4064" t="s">
        <v>2417</v>
      </c>
      <c r="E4064">
        <v>-197306913</v>
      </c>
      <c r="F4064">
        <v>-178715550</v>
      </c>
      <c r="G4064">
        <v>-178861028</v>
      </c>
      <c r="H4064">
        <v>-137638327</v>
      </c>
      <c r="I4064">
        <v>-66079630</v>
      </c>
      <c r="P4064">
        <v>395</v>
      </c>
      <c r="Q4064" t="s">
        <v>8474</v>
      </c>
    </row>
    <row r="4065" spans="1:17" x14ac:dyDescent="0.3">
      <c r="A4065" t="s">
        <v>33</v>
      </c>
      <c r="B4065" t="str">
        <f>"301136"</f>
        <v>301136</v>
      </c>
      <c r="C4065" t="s">
        <v>8475</v>
      </c>
      <c r="D4065" t="s">
        <v>4300</v>
      </c>
      <c r="E4065">
        <v>-197606529</v>
      </c>
      <c r="P4065">
        <v>9</v>
      </c>
      <c r="Q4065" t="s">
        <v>8476</v>
      </c>
    </row>
    <row r="4066" spans="1:17" x14ac:dyDescent="0.3">
      <c r="A4066" t="s">
        <v>33</v>
      </c>
      <c r="B4066" t="str">
        <f>"301098"</f>
        <v>301098</v>
      </c>
      <c r="C4066" t="s">
        <v>8477</v>
      </c>
      <c r="D4066" t="s">
        <v>2330</v>
      </c>
      <c r="E4066">
        <v>-198633065</v>
      </c>
      <c r="P4066">
        <v>13</v>
      </c>
      <c r="Q4066" t="s">
        <v>8478</v>
      </c>
    </row>
    <row r="4067" spans="1:17" x14ac:dyDescent="0.3">
      <c r="A4067" t="s">
        <v>17</v>
      </c>
      <c r="B4067" t="str">
        <f>"603825"</f>
        <v>603825</v>
      </c>
      <c r="C4067" t="s">
        <v>8479</v>
      </c>
      <c r="D4067" t="s">
        <v>1125</v>
      </c>
      <c r="E4067">
        <v>-199011920</v>
      </c>
      <c r="F4067">
        <v>373754880</v>
      </c>
      <c r="G4067">
        <v>-306272909</v>
      </c>
      <c r="H4067">
        <v>86857914</v>
      </c>
      <c r="I4067">
        <v>-245758531</v>
      </c>
      <c r="J4067">
        <v>-173660600</v>
      </c>
      <c r="K4067">
        <v>-194949900</v>
      </c>
      <c r="P4067">
        <v>158</v>
      </c>
      <c r="Q4067" t="s">
        <v>8480</v>
      </c>
    </row>
    <row r="4068" spans="1:17" x14ac:dyDescent="0.3">
      <c r="A4068" t="s">
        <v>17</v>
      </c>
      <c r="B4068" t="str">
        <f>"600518"</f>
        <v>600518</v>
      </c>
      <c r="C4068" t="s">
        <v>8481</v>
      </c>
      <c r="D4068" t="s">
        <v>533</v>
      </c>
      <c r="E4068">
        <v>-199492838</v>
      </c>
      <c r="F4068">
        <v>89885238</v>
      </c>
      <c r="G4068">
        <v>202816855</v>
      </c>
      <c r="H4068">
        <v>673948510</v>
      </c>
      <c r="I4068">
        <v>982047982</v>
      </c>
      <c r="J4068">
        <v>1349526864</v>
      </c>
      <c r="K4068">
        <v>468865026</v>
      </c>
      <c r="L4068">
        <v>890171155</v>
      </c>
      <c r="M4068">
        <v>477403932</v>
      </c>
      <c r="N4068">
        <v>593530445</v>
      </c>
      <c r="O4068">
        <v>227700728</v>
      </c>
      <c r="P4068">
        <v>1483</v>
      </c>
      <c r="Q4068" t="s">
        <v>8482</v>
      </c>
    </row>
    <row r="4069" spans="1:17" x14ac:dyDescent="0.3">
      <c r="A4069" t="s">
        <v>33</v>
      </c>
      <c r="B4069" t="str">
        <f>"300355"</f>
        <v>300355</v>
      </c>
      <c r="C4069" t="s">
        <v>8483</v>
      </c>
      <c r="D4069" t="s">
        <v>2330</v>
      </c>
      <c r="E4069">
        <v>-200214855</v>
      </c>
      <c r="F4069">
        <v>-31712594</v>
      </c>
      <c r="G4069">
        <v>-635890696</v>
      </c>
      <c r="H4069">
        <v>-683768327</v>
      </c>
      <c r="I4069">
        <v>-1045023316</v>
      </c>
      <c r="J4069">
        <v>-312391353</v>
      </c>
      <c r="K4069">
        <v>-273775872</v>
      </c>
      <c r="L4069">
        <v>-178985995</v>
      </c>
      <c r="M4069">
        <v>-113542662</v>
      </c>
      <c r="N4069">
        <v>-44739641</v>
      </c>
      <c r="O4069">
        <v>-61046593</v>
      </c>
      <c r="P4069">
        <v>406</v>
      </c>
      <c r="Q4069" t="s">
        <v>8484</v>
      </c>
    </row>
    <row r="4070" spans="1:17" x14ac:dyDescent="0.3">
      <c r="A4070" t="s">
        <v>33</v>
      </c>
      <c r="B4070" t="str">
        <f>"002418"</f>
        <v>002418</v>
      </c>
      <c r="C4070" t="s">
        <v>8485</v>
      </c>
      <c r="D4070" t="s">
        <v>1869</v>
      </c>
      <c r="E4070">
        <v>-200253776</v>
      </c>
      <c r="F4070">
        <v>88199135</v>
      </c>
      <c r="G4070">
        <v>50201875</v>
      </c>
      <c r="H4070">
        <v>121886959</v>
      </c>
      <c r="I4070">
        <v>-322872720</v>
      </c>
      <c r="J4070">
        <v>-18645711</v>
      </c>
      <c r="K4070">
        <v>-146012168</v>
      </c>
      <c r="L4070">
        <v>-46084315</v>
      </c>
      <c r="M4070">
        <v>77080716</v>
      </c>
      <c r="N4070">
        <v>-24302203</v>
      </c>
      <c r="O4070">
        <v>-44739139</v>
      </c>
      <c r="P4070">
        <v>94</v>
      </c>
      <c r="Q4070" t="s">
        <v>8486</v>
      </c>
    </row>
    <row r="4071" spans="1:17" x14ac:dyDescent="0.3">
      <c r="A4071" t="s">
        <v>33</v>
      </c>
      <c r="B4071" t="str">
        <f>"002049"</f>
        <v>002049</v>
      </c>
      <c r="C4071" t="s">
        <v>8487</v>
      </c>
      <c r="D4071" t="s">
        <v>1277</v>
      </c>
      <c r="E4071">
        <v>-200492239</v>
      </c>
      <c r="F4071">
        <v>-86667140</v>
      </c>
      <c r="G4071">
        <v>-281065499</v>
      </c>
      <c r="H4071">
        <v>-309810011</v>
      </c>
      <c r="I4071">
        <v>-90449944</v>
      </c>
      <c r="J4071">
        <v>22956613</v>
      </c>
      <c r="K4071">
        <v>-150894018</v>
      </c>
      <c r="L4071">
        <v>163677</v>
      </c>
      <c r="M4071">
        <v>43845754</v>
      </c>
      <c r="N4071">
        <v>15617261</v>
      </c>
      <c r="O4071">
        <v>24998643</v>
      </c>
      <c r="P4071">
        <v>4605</v>
      </c>
      <c r="Q4071" t="s">
        <v>8488</v>
      </c>
    </row>
    <row r="4072" spans="1:17" x14ac:dyDescent="0.3">
      <c r="A4072" t="s">
        <v>33</v>
      </c>
      <c r="B4072" t="str">
        <f>"002609"</f>
        <v>002609</v>
      </c>
      <c r="C4072" t="s">
        <v>8489</v>
      </c>
      <c r="D4072" t="s">
        <v>508</v>
      </c>
      <c r="E4072">
        <v>-200615096</v>
      </c>
      <c r="F4072">
        <v>-171512150</v>
      </c>
      <c r="G4072">
        <v>-205720896</v>
      </c>
      <c r="H4072">
        <v>-150496574</v>
      </c>
      <c r="I4072">
        <v>-169722017</v>
      </c>
      <c r="J4072">
        <v>-108206755</v>
      </c>
      <c r="K4072">
        <v>-76513274</v>
      </c>
      <c r="L4072">
        <v>-63565142</v>
      </c>
      <c r="M4072">
        <v>-40579518</v>
      </c>
      <c r="N4072">
        <v>-52835059</v>
      </c>
      <c r="O4072">
        <v>-61241856</v>
      </c>
      <c r="P4072">
        <v>212</v>
      </c>
      <c r="Q4072" t="s">
        <v>8490</v>
      </c>
    </row>
    <row r="4073" spans="1:17" x14ac:dyDescent="0.3">
      <c r="A4073" t="s">
        <v>33</v>
      </c>
      <c r="B4073" t="str">
        <f>"002540"</f>
        <v>002540</v>
      </c>
      <c r="C4073" t="s">
        <v>8491</v>
      </c>
      <c r="D4073" t="s">
        <v>140</v>
      </c>
      <c r="E4073">
        <v>-201926243</v>
      </c>
      <c r="F4073">
        <v>-278039192</v>
      </c>
      <c r="G4073">
        <v>382878863</v>
      </c>
      <c r="H4073">
        <v>154977140</v>
      </c>
      <c r="I4073">
        <v>146670985</v>
      </c>
      <c r="J4073">
        <v>-86493704</v>
      </c>
      <c r="K4073">
        <v>11188054</v>
      </c>
      <c r="L4073">
        <v>4351992</v>
      </c>
      <c r="M4073">
        <v>-2765076</v>
      </c>
      <c r="N4073">
        <v>63805081</v>
      </c>
      <c r="O4073">
        <v>-37448358</v>
      </c>
      <c r="P4073">
        <v>161</v>
      </c>
      <c r="Q4073" t="s">
        <v>8492</v>
      </c>
    </row>
    <row r="4074" spans="1:17" x14ac:dyDescent="0.3">
      <c r="A4074" t="s">
        <v>17</v>
      </c>
      <c r="B4074" t="str">
        <f>"600416"</f>
        <v>600416</v>
      </c>
      <c r="C4074" t="s">
        <v>8493</v>
      </c>
      <c r="D4074" t="s">
        <v>8494</v>
      </c>
      <c r="E4074">
        <v>-202364049</v>
      </c>
      <c r="F4074">
        <v>349619223</v>
      </c>
      <c r="G4074">
        <v>25320153</v>
      </c>
      <c r="H4074">
        <v>-228817297</v>
      </c>
      <c r="I4074">
        <v>-540995551</v>
      </c>
      <c r="J4074">
        <v>-613353653</v>
      </c>
      <c r="K4074">
        <v>-778474418</v>
      </c>
      <c r="L4074">
        <v>-763033685</v>
      </c>
      <c r="M4074">
        <v>-454135378</v>
      </c>
      <c r="N4074">
        <v>-110097641</v>
      </c>
      <c r="O4074">
        <v>-1120850124</v>
      </c>
      <c r="P4074">
        <v>149</v>
      </c>
      <c r="Q4074" t="s">
        <v>8495</v>
      </c>
    </row>
    <row r="4075" spans="1:17" x14ac:dyDescent="0.3">
      <c r="A4075" t="s">
        <v>17</v>
      </c>
      <c r="B4075" t="str">
        <f>"601333"</f>
        <v>601333</v>
      </c>
      <c r="C4075" t="s">
        <v>8496</v>
      </c>
      <c r="D4075" t="s">
        <v>403</v>
      </c>
      <c r="E4075">
        <v>-202546932</v>
      </c>
      <c r="F4075">
        <v>-328591924</v>
      </c>
      <c r="G4075">
        <v>392515633</v>
      </c>
      <c r="H4075">
        <v>172145630</v>
      </c>
      <c r="I4075">
        <v>705666467</v>
      </c>
      <c r="J4075">
        <v>935053568</v>
      </c>
      <c r="K4075">
        <v>59032728</v>
      </c>
      <c r="L4075">
        <v>855076631</v>
      </c>
      <c r="M4075">
        <v>674922478</v>
      </c>
      <c r="N4075">
        <v>647295018</v>
      </c>
      <c r="O4075">
        <v>538787214</v>
      </c>
      <c r="P4075">
        <v>318</v>
      </c>
      <c r="Q4075" t="s">
        <v>8497</v>
      </c>
    </row>
    <row r="4076" spans="1:17" x14ac:dyDescent="0.3">
      <c r="A4076" t="s">
        <v>33</v>
      </c>
      <c r="B4076" t="str">
        <f>"002498"</f>
        <v>002498</v>
      </c>
      <c r="C4076" t="s">
        <v>8498</v>
      </c>
      <c r="D4076" t="s">
        <v>1282</v>
      </c>
      <c r="E4076">
        <v>-202554660</v>
      </c>
      <c r="F4076">
        <v>162851057</v>
      </c>
      <c r="G4076">
        <v>11443192</v>
      </c>
      <c r="H4076">
        <v>21561664</v>
      </c>
      <c r="I4076">
        <v>-103172512</v>
      </c>
      <c r="J4076">
        <v>-206122007</v>
      </c>
      <c r="K4076">
        <v>37281797</v>
      </c>
      <c r="L4076">
        <v>226369297</v>
      </c>
      <c r="M4076">
        <v>-135170304</v>
      </c>
      <c r="N4076">
        <v>-288882788</v>
      </c>
      <c r="O4076">
        <v>-30222569</v>
      </c>
      <c r="P4076">
        <v>282</v>
      </c>
      <c r="Q4076" t="s">
        <v>8499</v>
      </c>
    </row>
    <row r="4077" spans="1:17" x14ac:dyDescent="0.3">
      <c r="A4077" t="s">
        <v>33</v>
      </c>
      <c r="B4077" t="str">
        <f>"000921"</f>
        <v>000921</v>
      </c>
      <c r="C4077" t="s">
        <v>8500</v>
      </c>
      <c r="D4077" t="s">
        <v>150</v>
      </c>
      <c r="E4077">
        <v>-202583769</v>
      </c>
      <c r="F4077">
        <v>-52228510</v>
      </c>
      <c r="G4077">
        <v>51278517</v>
      </c>
      <c r="H4077">
        <v>219895563</v>
      </c>
      <c r="I4077">
        <v>-676019106</v>
      </c>
      <c r="J4077">
        <v>-283670464</v>
      </c>
      <c r="K4077">
        <v>-297155280</v>
      </c>
      <c r="L4077">
        <v>-79734934</v>
      </c>
      <c r="M4077">
        <v>-3830889</v>
      </c>
      <c r="N4077">
        <v>-10242595</v>
      </c>
      <c r="O4077">
        <v>-167278677</v>
      </c>
      <c r="P4077">
        <v>13182</v>
      </c>
      <c r="Q4077" t="s">
        <v>8501</v>
      </c>
    </row>
    <row r="4078" spans="1:17" x14ac:dyDescent="0.3">
      <c r="A4078" t="s">
        <v>17</v>
      </c>
      <c r="B4078" t="str">
        <f>"600651"</f>
        <v>600651</v>
      </c>
      <c r="C4078" t="s">
        <v>8502</v>
      </c>
      <c r="D4078" t="s">
        <v>1299</v>
      </c>
      <c r="E4078">
        <v>-202860809</v>
      </c>
      <c r="F4078">
        <v>-41333360</v>
      </c>
      <c r="G4078">
        <v>-36586867</v>
      </c>
      <c r="H4078">
        <v>-45464805</v>
      </c>
      <c r="I4078">
        <v>-119171247</v>
      </c>
      <c r="J4078">
        <v>-528867747</v>
      </c>
      <c r="K4078">
        <v>-547100315</v>
      </c>
      <c r="L4078">
        <v>-268409219</v>
      </c>
      <c r="M4078">
        <v>-22094072</v>
      </c>
      <c r="N4078">
        <v>-78681549</v>
      </c>
      <c r="O4078">
        <v>-19155225</v>
      </c>
      <c r="P4078">
        <v>112</v>
      </c>
      <c r="Q4078" t="s">
        <v>8503</v>
      </c>
    </row>
    <row r="4079" spans="1:17" x14ac:dyDescent="0.3">
      <c r="A4079" t="s">
        <v>17</v>
      </c>
      <c r="B4079" t="str">
        <f>"600088"</f>
        <v>600088</v>
      </c>
      <c r="C4079" t="s">
        <v>8504</v>
      </c>
      <c r="D4079" t="s">
        <v>1125</v>
      </c>
      <c r="E4079">
        <v>-203634426</v>
      </c>
      <c r="F4079">
        <v>-155011827</v>
      </c>
      <c r="G4079">
        <v>-73086214</v>
      </c>
      <c r="H4079">
        <v>-77386584</v>
      </c>
      <c r="I4079">
        <v>11736159</v>
      </c>
      <c r="J4079">
        <v>6569835</v>
      </c>
      <c r="K4079">
        <v>-24252930</v>
      </c>
      <c r="L4079">
        <v>-84209572</v>
      </c>
      <c r="M4079">
        <v>-74460496</v>
      </c>
      <c r="N4079">
        <v>-137955767</v>
      </c>
      <c r="O4079">
        <v>-149651924</v>
      </c>
      <c r="P4079">
        <v>114</v>
      </c>
      <c r="Q4079" t="s">
        <v>8505</v>
      </c>
    </row>
    <row r="4080" spans="1:17" x14ac:dyDescent="0.3">
      <c r="A4080" t="s">
        <v>33</v>
      </c>
      <c r="B4080" t="str">
        <f>"002339"</f>
        <v>002339</v>
      </c>
      <c r="C4080" t="s">
        <v>8506</v>
      </c>
      <c r="D4080" t="s">
        <v>1182</v>
      </c>
      <c r="E4080">
        <v>-204497156</v>
      </c>
      <c r="F4080">
        <v>-279490487</v>
      </c>
      <c r="G4080">
        <v>-64215313</v>
      </c>
      <c r="H4080">
        <v>-23929569</v>
      </c>
      <c r="I4080">
        <v>-59902545</v>
      </c>
      <c r="J4080">
        <v>-125261776</v>
      </c>
      <c r="K4080">
        <v>-173899227</v>
      </c>
      <c r="L4080">
        <v>-175119436</v>
      </c>
      <c r="M4080">
        <v>-35618368</v>
      </c>
      <c r="N4080">
        <v>-113971008</v>
      </c>
      <c r="O4080">
        <v>-101174326</v>
      </c>
      <c r="P4080">
        <v>120</v>
      </c>
      <c r="Q4080" t="s">
        <v>8507</v>
      </c>
    </row>
    <row r="4081" spans="1:17" x14ac:dyDescent="0.3">
      <c r="A4081" t="s">
        <v>17</v>
      </c>
      <c r="B4081" t="str">
        <f>"600480"</f>
        <v>600480</v>
      </c>
      <c r="C4081" t="s">
        <v>8508</v>
      </c>
      <c r="D4081" t="s">
        <v>1419</v>
      </c>
      <c r="E4081">
        <v>-205062172</v>
      </c>
      <c r="F4081">
        <v>-436352151</v>
      </c>
      <c r="G4081">
        <v>-157718572</v>
      </c>
      <c r="H4081">
        <v>-916582723</v>
      </c>
      <c r="I4081">
        <v>-800573012</v>
      </c>
      <c r="J4081">
        <v>-508419990</v>
      </c>
      <c r="K4081">
        <v>-588307625</v>
      </c>
      <c r="L4081">
        <v>-470220605</v>
      </c>
      <c r="M4081">
        <v>-315408294</v>
      </c>
      <c r="N4081">
        <v>-315013796</v>
      </c>
      <c r="O4081">
        <v>-235192982</v>
      </c>
      <c r="P4081">
        <v>171</v>
      </c>
      <c r="Q4081" t="s">
        <v>8509</v>
      </c>
    </row>
    <row r="4082" spans="1:17" x14ac:dyDescent="0.3">
      <c r="A4082" t="s">
        <v>33</v>
      </c>
      <c r="B4082" t="str">
        <f>"000657"</f>
        <v>000657</v>
      </c>
      <c r="C4082" t="s">
        <v>8510</v>
      </c>
      <c r="D4082" t="s">
        <v>5249</v>
      </c>
      <c r="E4082">
        <v>-205329708</v>
      </c>
      <c r="F4082">
        <v>-5939265</v>
      </c>
      <c r="G4082">
        <v>-133984184</v>
      </c>
      <c r="H4082">
        <v>-66395975</v>
      </c>
      <c r="I4082">
        <v>-104618627</v>
      </c>
      <c r="J4082">
        <v>-37482117</v>
      </c>
      <c r="K4082">
        <v>-97633251</v>
      </c>
      <c r="L4082">
        <v>62052917</v>
      </c>
      <c r="M4082">
        <v>-74078376</v>
      </c>
      <c r="N4082">
        <v>-2795916</v>
      </c>
      <c r="O4082">
        <v>20565023</v>
      </c>
      <c r="P4082">
        <v>177</v>
      </c>
      <c r="Q4082" t="s">
        <v>8511</v>
      </c>
    </row>
    <row r="4083" spans="1:17" x14ac:dyDescent="0.3">
      <c r="A4083" t="s">
        <v>33</v>
      </c>
      <c r="B4083" t="str">
        <f>"300590"</f>
        <v>300590</v>
      </c>
      <c r="C4083" t="s">
        <v>8512</v>
      </c>
      <c r="D4083" t="s">
        <v>1347</v>
      </c>
      <c r="E4083">
        <v>-206011159</v>
      </c>
      <c r="F4083">
        <v>-17175617</v>
      </c>
      <c r="G4083">
        <v>26803348</v>
      </c>
      <c r="H4083">
        <v>9474757</v>
      </c>
      <c r="I4083">
        <v>-910791</v>
      </c>
      <c r="J4083">
        <v>-22807171</v>
      </c>
      <c r="K4083">
        <v>24687094</v>
      </c>
      <c r="P4083">
        <v>410</v>
      </c>
      <c r="Q4083" t="s">
        <v>8513</v>
      </c>
    </row>
    <row r="4084" spans="1:17" x14ac:dyDescent="0.3">
      <c r="A4084" t="s">
        <v>33</v>
      </c>
      <c r="B4084" t="str">
        <f>"000516"</f>
        <v>000516</v>
      </c>
      <c r="C4084" t="s">
        <v>8514</v>
      </c>
      <c r="D4084" t="s">
        <v>520</v>
      </c>
      <c r="E4084">
        <v>-206292286</v>
      </c>
      <c r="F4084">
        <v>66349139</v>
      </c>
      <c r="G4084">
        <v>-144746136</v>
      </c>
      <c r="H4084">
        <v>134184700</v>
      </c>
      <c r="I4084">
        <v>-17041292</v>
      </c>
      <c r="J4084">
        <v>-52917675</v>
      </c>
      <c r="K4084">
        <v>-28281433</v>
      </c>
      <c r="L4084">
        <v>-14168709</v>
      </c>
      <c r="M4084">
        <v>-25959529</v>
      </c>
      <c r="N4084">
        <v>60683653</v>
      </c>
      <c r="O4084">
        <v>52478843</v>
      </c>
      <c r="P4084">
        <v>405</v>
      </c>
      <c r="Q4084" t="s">
        <v>8515</v>
      </c>
    </row>
    <row r="4085" spans="1:17" x14ac:dyDescent="0.3">
      <c r="A4085" t="s">
        <v>33</v>
      </c>
      <c r="B4085" t="str">
        <f>"002458"</f>
        <v>002458</v>
      </c>
      <c r="C4085" t="s">
        <v>8516</v>
      </c>
      <c r="D4085" t="s">
        <v>1285</v>
      </c>
      <c r="E4085">
        <v>-206294315</v>
      </c>
      <c r="F4085">
        <v>16124032</v>
      </c>
      <c r="G4085">
        <v>109214350</v>
      </c>
      <c r="H4085">
        <v>301278075</v>
      </c>
      <c r="I4085">
        <v>-35922308</v>
      </c>
      <c r="J4085">
        <v>-13528176</v>
      </c>
      <c r="K4085">
        <v>117770135</v>
      </c>
      <c r="L4085">
        <v>-7836796</v>
      </c>
      <c r="M4085">
        <v>-27689209</v>
      </c>
      <c r="N4085">
        <v>-16861868</v>
      </c>
      <c r="O4085">
        <v>33884534</v>
      </c>
      <c r="P4085">
        <v>815</v>
      </c>
      <c r="Q4085" t="s">
        <v>8517</v>
      </c>
    </row>
    <row r="4086" spans="1:17" x14ac:dyDescent="0.3">
      <c r="A4086" t="s">
        <v>17</v>
      </c>
      <c r="B4086" t="str">
        <f>"603338"</f>
        <v>603338</v>
      </c>
      <c r="C4086" t="s">
        <v>8518</v>
      </c>
      <c r="D4086" t="s">
        <v>320</v>
      </c>
      <c r="E4086">
        <v>-206705862</v>
      </c>
      <c r="F4086">
        <v>-350980645</v>
      </c>
      <c r="G4086">
        <v>79731701</v>
      </c>
      <c r="H4086">
        <v>-34361043</v>
      </c>
      <c r="I4086">
        <v>-57596463</v>
      </c>
      <c r="J4086">
        <v>-961530</v>
      </c>
      <c r="K4086">
        <v>-41748085</v>
      </c>
      <c r="L4086">
        <v>-13984985</v>
      </c>
      <c r="M4086">
        <v>-8155067</v>
      </c>
      <c r="P4086">
        <v>12811</v>
      </c>
      <c r="Q4086" t="s">
        <v>8519</v>
      </c>
    </row>
    <row r="4087" spans="1:17" x14ac:dyDescent="0.3">
      <c r="A4087" t="s">
        <v>17</v>
      </c>
      <c r="B4087" t="str">
        <f>"600571"</f>
        <v>600571</v>
      </c>
      <c r="C4087" t="s">
        <v>8520</v>
      </c>
      <c r="D4087" t="s">
        <v>508</v>
      </c>
      <c r="E4087">
        <v>-208013679</v>
      </c>
      <c r="F4087">
        <v>-198426425</v>
      </c>
      <c r="G4087">
        <v>-165395595</v>
      </c>
      <c r="H4087">
        <v>-212020193</v>
      </c>
      <c r="I4087">
        <v>-210264041</v>
      </c>
      <c r="J4087">
        <v>-201047585</v>
      </c>
      <c r="K4087">
        <v>-148956426</v>
      </c>
      <c r="L4087">
        <v>-145820597</v>
      </c>
      <c r="M4087">
        <v>-135126947</v>
      </c>
      <c r="N4087">
        <v>-97750862</v>
      </c>
      <c r="O4087">
        <v>-87695418</v>
      </c>
      <c r="P4087">
        <v>155</v>
      </c>
      <c r="Q4087" t="s">
        <v>8521</v>
      </c>
    </row>
    <row r="4088" spans="1:17" x14ac:dyDescent="0.3">
      <c r="A4088" t="s">
        <v>17</v>
      </c>
      <c r="B4088" t="str">
        <f>"603267"</f>
        <v>603267</v>
      </c>
      <c r="C4088" t="s">
        <v>8522</v>
      </c>
      <c r="D4088" t="s">
        <v>617</v>
      </c>
      <c r="E4088">
        <v>-208261610</v>
      </c>
      <c r="F4088">
        <v>-171062321</v>
      </c>
      <c r="G4088">
        <v>-52798661</v>
      </c>
      <c r="H4088">
        <v>-76986947</v>
      </c>
      <c r="I4088">
        <v>-73190599</v>
      </c>
      <c r="P4088">
        <v>469</v>
      </c>
      <c r="Q4088" t="s">
        <v>8523</v>
      </c>
    </row>
    <row r="4089" spans="1:17" x14ac:dyDescent="0.3">
      <c r="A4089" t="s">
        <v>33</v>
      </c>
      <c r="B4089" t="str">
        <f>"300190"</f>
        <v>300190</v>
      </c>
      <c r="C4089" t="s">
        <v>8524</v>
      </c>
      <c r="D4089" t="s">
        <v>2171</v>
      </c>
      <c r="E4089">
        <v>-208620293</v>
      </c>
      <c r="F4089">
        <v>-142287722</v>
      </c>
      <c r="G4089">
        <v>-51317815</v>
      </c>
      <c r="H4089">
        <v>-57156985</v>
      </c>
      <c r="I4089">
        <v>-91029061</v>
      </c>
      <c r="J4089">
        <v>-9458534</v>
      </c>
      <c r="K4089">
        <v>-79994789</v>
      </c>
      <c r="L4089">
        <v>-64838374</v>
      </c>
      <c r="M4089">
        <v>35002260</v>
      </c>
      <c r="N4089">
        <v>17420173</v>
      </c>
      <c r="O4089">
        <v>-35079769</v>
      </c>
      <c r="P4089">
        <v>233</v>
      </c>
      <c r="Q4089" t="s">
        <v>8525</v>
      </c>
    </row>
    <row r="4090" spans="1:17" x14ac:dyDescent="0.3">
      <c r="A4090" t="s">
        <v>33</v>
      </c>
      <c r="B4090" t="str">
        <f>"300451"</f>
        <v>300451</v>
      </c>
      <c r="C4090" t="s">
        <v>8526</v>
      </c>
      <c r="D4090" t="s">
        <v>807</v>
      </c>
      <c r="E4090">
        <v>-209403725</v>
      </c>
      <c r="F4090">
        <v>-230425614</v>
      </c>
      <c r="G4090">
        <v>-280815511</v>
      </c>
      <c r="H4090">
        <v>-179858373</v>
      </c>
      <c r="I4090">
        <v>-191742724</v>
      </c>
      <c r="J4090">
        <v>-161609781</v>
      </c>
      <c r="K4090">
        <v>-63508237</v>
      </c>
      <c r="L4090">
        <v>-63019069</v>
      </c>
      <c r="M4090">
        <v>-77205393</v>
      </c>
      <c r="P4090">
        <v>351</v>
      </c>
      <c r="Q4090" t="s">
        <v>8527</v>
      </c>
    </row>
    <row r="4091" spans="1:17" x14ac:dyDescent="0.3">
      <c r="A4091" t="s">
        <v>17</v>
      </c>
      <c r="B4091" t="str">
        <f>"600509"</f>
        <v>600509</v>
      </c>
      <c r="C4091" t="s">
        <v>8528</v>
      </c>
      <c r="D4091" t="s">
        <v>145</v>
      </c>
      <c r="E4091">
        <v>-209407747</v>
      </c>
      <c r="F4091">
        <v>225318108</v>
      </c>
      <c r="G4091">
        <v>-53357601</v>
      </c>
      <c r="H4091">
        <v>95646261</v>
      </c>
      <c r="I4091">
        <v>24226059</v>
      </c>
      <c r="J4091">
        <v>128737206</v>
      </c>
      <c r="K4091">
        <v>-214509990</v>
      </c>
      <c r="L4091">
        <v>-41890061</v>
      </c>
      <c r="M4091">
        <v>5366033</v>
      </c>
      <c r="N4091">
        <v>194094209</v>
      </c>
      <c r="O4091">
        <v>-159707561</v>
      </c>
      <c r="P4091">
        <v>142</v>
      </c>
      <c r="Q4091" t="s">
        <v>8529</v>
      </c>
    </row>
    <row r="4092" spans="1:17" x14ac:dyDescent="0.3">
      <c r="A4092" t="s">
        <v>17</v>
      </c>
      <c r="B4092" t="str">
        <f>"603011"</f>
        <v>603011</v>
      </c>
      <c r="C4092" t="s">
        <v>8530</v>
      </c>
      <c r="D4092" t="s">
        <v>1895</v>
      </c>
      <c r="E4092">
        <v>-210208719</v>
      </c>
      <c r="F4092">
        <v>-75778970</v>
      </c>
      <c r="G4092">
        <v>-85853675</v>
      </c>
      <c r="H4092">
        <v>-69321896</v>
      </c>
      <c r="I4092">
        <v>-61090452</v>
      </c>
      <c r="J4092">
        <v>-57356752</v>
      </c>
      <c r="K4092">
        <v>-5910750</v>
      </c>
      <c r="L4092">
        <v>-79281146</v>
      </c>
      <c r="M4092">
        <v>-50979911</v>
      </c>
      <c r="P4092">
        <v>82</v>
      </c>
      <c r="Q4092" t="s">
        <v>8531</v>
      </c>
    </row>
    <row r="4093" spans="1:17" x14ac:dyDescent="0.3">
      <c r="A4093" t="s">
        <v>17</v>
      </c>
      <c r="B4093" t="str">
        <f>"600363"</f>
        <v>600363</v>
      </c>
      <c r="C4093" t="s">
        <v>8532</v>
      </c>
      <c r="D4093" t="s">
        <v>1299</v>
      </c>
      <c r="E4093">
        <v>-210569364</v>
      </c>
      <c r="F4093">
        <v>-277895633</v>
      </c>
      <c r="G4093">
        <v>-98043337</v>
      </c>
      <c r="H4093">
        <v>-30527326</v>
      </c>
      <c r="I4093">
        <v>-12074162</v>
      </c>
      <c r="J4093">
        <v>-69037654</v>
      </c>
      <c r="K4093">
        <v>-44048230</v>
      </c>
      <c r="L4093">
        <v>-44510780</v>
      </c>
      <c r="M4093">
        <v>-48487558</v>
      </c>
      <c r="N4093">
        <v>-33798336</v>
      </c>
      <c r="O4093">
        <v>2717152</v>
      </c>
      <c r="P4093">
        <v>202</v>
      </c>
      <c r="Q4093" t="s">
        <v>8533</v>
      </c>
    </row>
    <row r="4094" spans="1:17" x14ac:dyDescent="0.3">
      <c r="A4094" t="s">
        <v>17</v>
      </c>
      <c r="B4094" t="str">
        <f>"688248"</f>
        <v>688248</v>
      </c>
      <c r="C4094" t="s">
        <v>8534</v>
      </c>
      <c r="D4094" t="s">
        <v>1182</v>
      </c>
      <c r="E4094">
        <v>-210994923</v>
      </c>
      <c r="P4094">
        <v>14</v>
      </c>
      <c r="Q4094" t="s">
        <v>8535</v>
      </c>
    </row>
    <row r="4095" spans="1:17" x14ac:dyDescent="0.3">
      <c r="A4095" t="s">
        <v>33</v>
      </c>
      <c r="B4095" t="str">
        <f>"300715"</f>
        <v>300715</v>
      </c>
      <c r="C4095" t="s">
        <v>8536</v>
      </c>
      <c r="D4095" t="s">
        <v>8537</v>
      </c>
      <c r="E4095">
        <v>-211055778</v>
      </c>
      <c r="F4095">
        <v>-247271452</v>
      </c>
      <c r="G4095">
        <v>-249474498</v>
      </c>
      <c r="H4095">
        <v>-155337732</v>
      </c>
      <c r="I4095">
        <v>-15497289</v>
      </c>
      <c r="J4095">
        <v>11083710</v>
      </c>
      <c r="P4095">
        <v>413</v>
      </c>
      <c r="Q4095" t="s">
        <v>8538</v>
      </c>
    </row>
    <row r="4096" spans="1:17" x14ac:dyDescent="0.3">
      <c r="A4096" t="s">
        <v>17</v>
      </c>
      <c r="B4096" t="str">
        <f>"688055"</f>
        <v>688055</v>
      </c>
      <c r="C4096" t="s">
        <v>8539</v>
      </c>
      <c r="D4096" t="s">
        <v>102</v>
      </c>
      <c r="E4096">
        <v>-211142219</v>
      </c>
      <c r="F4096">
        <v>171002719</v>
      </c>
      <c r="G4096">
        <v>-62482492</v>
      </c>
      <c r="H4096">
        <v>-80278296</v>
      </c>
      <c r="P4096">
        <v>76</v>
      </c>
      <c r="Q4096" t="s">
        <v>8540</v>
      </c>
    </row>
    <row r="4097" spans="1:17" x14ac:dyDescent="0.3">
      <c r="A4097" t="s">
        <v>33</v>
      </c>
      <c r="B4097" t="str">
        <f>"300627"</f>
        <v>300627</v>
      </c>
      <c r="C4097" t="s">
        <v>8541</v>
      </c>
      <c r="D4097" t="s">
        <v>1347</v>
      </c>
      <c r="E4097">
        <v>-212020285</v>
      </c>
      <c r="F4097">
        <v>-181228703</v>
      </c>
      <c r="G4097">
        <v>-111061945</v>
      </c>
      <c r="H4097">
        <v>-126664866</v>
      </c>
      <c r="I4097">
        <v>-122010433</v>
      </c>
      <c r="J4097">
        <v>-67859238</v>
      </c>
      <c r="K4097">
        <v>-47002349</v>
      </c>
      <c r="P4097">
        <v>295</v>
      </c>
      <c r="Q4097" t="s">
        <v>8542</v>
      </c>
    </row>
    <row r="4098" spans="1:17" x14ac:dyDescent="0.3">
      <c r="A4098" t="s">
        <v>17</v>
      </c>
      <c r="B4098" t="str">
        <f>"600859"</f>
        <v>600859</v>
      </c>
      <c r="C4098" t="s">
        <v>8543</v>
      </c>
      <c r="D4098" t="s">
        <v>989</v>
      </c>
      <c r="E4098">
        <v>-213217570</v>
      </c>
      <c r="F4098">
        <v>381978679</v>
      </c>
      <c r="G4098">
        <v>-1553212856</v>
      </c>
      <c r="H4098">
        <v>-88661057</v>
      </c>
      <c r="I4098">
        <v>-16163274</v>
      </c>
      <c r="J4098">
        <v>-168654878</v>
      </c>
      <c r="K4098">
        <v>-240019903</v>
      </c>
      <c r="L4098">
        <v>-222398150</v>
      </c>
      <c r="M4098">
        <v>-604468034</v>
      </c>
      <c r="N4098">
        <v>54454110</v>
      </c>
      <c r="O4098">
        <v>-261288597</v>
      </c>
      <c r="P4098">
        <v>553</v>
      </c>
      <c r="Q4098" t="s">
        <v>8544</v>
      </c>
    </row>
    <row r="4099" spans="1:17" x14ac:dyDescent="0.3">
      <c r="A4099" t="s">
        <v>33</v>
      </c>
      <c r="B4099" t="str">
        <f>"002882"</f>
        <v>002882</v>
      </c>
      <c r="C4099" t="s">
        <v>8545</v>
      </c>
      <c r="D4099" t="s">
        <v>1282</v>
      </c>
      <c r="E4099">
        <v>-213350015</v>
      </c>
      <c r="F4099">
        <v>-126045082</v>
      </c>
      <c r="G4099">
        <v>-27007269</v>
      </c>
      <c r="H4099">
        <v>-124926606</v>
      </c>
      <c r="I4099">
        <v>-82668740</v>
      </c>
      <c r="J4099">
        <v>-48416186</v>
      </c>
      <c r="K4099">
        <v>75932674</v>
      </c>
      <c r="P4099">
        <v>118</v>
      </c>
      <c r="Q4099" t="s">
        <v>8546</v>
      </c>
    </row>
    <row r="4100" spans="1:17" x14ac:dyDescent="0.3">
      <c r="A4100" t="s">
        <v>33</v>
      </c>
      <c r="B4100" t="str">
        <f>"000909"</f>
        <v>000909</v>
      </c>
      <c r="C4100" t="s">
        <v>8547</v>
      </c>
      <c r="D4100" t="s">
        <v>167</v>
      </c>
      <c r="E4100">
        <v>-213373703</v>
      </c>
      <c r="F4100">
        <v>162194086</v>
      </c>
      <c r="G4100">
        <v>58885638</v>
      </c>
      <c r="H4100">
        <v>-227385561</v>
      </c>
      <c r="I4100">
        <v>333613619</v>
      </c>
      <c r="J4100">
        <v>198522698</v>
      </c>
      <c r="K4100">
        <v>112841286</v>
      </c>
      <c r="L4100">
        <v>-310116095</v>
      </c>
      <c r="M4100">
        <v>-181704863</v>
      </c>
      <c r="N4100">
        <v>-120489070</v>
      </c>
      <c r="O4100">
        <v>11805399</v>
      </c>
      <c r="P4100">
        <v>206</v>
      </c>
      <c r="Q4100" t="s">
        <v>8548</v>
      </c>
    </row>
    <row r="4101" spans="1:17" x14ac:dyDescent="0.3">
      <c r="A4101" t="s">
        <v>33</v>
      </c>
      <c r="B4101" t="str">
        <f>"300377"</f>
        <v>300377</v>
      </c>
      <c r="C4101" t="s">
        <v>8549</v>
      </c>
      <c r="D4101" t="s">
        <v>807</v>
      </c>
      <c r="E4101">
        <v>-213511715</v>
      </c>
      <c r="F4101">
        <v>-98375526</v>
      </c>
      <c r="G4101">
        <v>-57888971</v>
      </c>
      <c r="H4101">
        <v>-63863880</v>
      </c>
      <c r="I4101">
        <v>-68545023</v>
      </c>
      <c r="J4101">
        <v>-92367953</v>
      </c>
      <c r="K4101">
        <v>-25899363</v>
      </c>
      <c r="L4101">
        <v>-22272341</v>
      </c>
      <c r="M4101">
        <v>-27643285</v>
      </c>
      <c r="N4101">
        <v>-19476422</v>
      </c>
      <c r="P4101">
        <v>3125</v>
      </c>
      <c r="Q4101" t="s">
        <v>8550</v>
      </c>
    </row>
    <row r="4102" spans="1:17" x14ac:dyDescent="0.3">
      <c r="A4102" t="s">
        <v>33</v>
      </c>
      <c r="B4102" t="str">
        <f>"002706"</f>
        <v>002706</v>
      </c>
      <c r="C4102" t="s">
        <v>8551</v>
      </c>
      <c r="D4102" t="s">
        <v>675</v>
      </c>
      <c r="E4102">
        <v>-214319239</v>
      </c>
      <c r="F4102">
        <v>-253722351</v>
      </c>
      <c r="G4102">
        <v>3011007</v>
      </c>
      <c r="H4102">
        <v>42961019</v>
      </c>
      <c r="I4102">
        <v>85403332</v>
      </c>
      <c r="J4102">
        <v>31390585</v>
      </c>
      <c r="K4102">
        <v>22822812</v>
      </c>
      <c r="L4102">
        <v>29749588</v>
      </c>
      <c r="M4102">
        <v>19040987</v>
      </c>
      <c r="N4102">
        <v>5169185</v>
      </c>
      <c r="P4102">
        <v>761</v>
      </c>
      <c r="Q4102" t="s">
        <v>8552</v>
      </c>
    </row>
    <row r="4103" spans="1:17" x14ac:dyDescent="0.3">
      <c r="A4103" t="s">
        <v>33</v>
      </c>
      <c r="B4103" t="str">
        <f>"300232"</f>
        <v>300232</v>
      </c>
      <c r="C4103" t="s">
        <v>8553</v>
      </c>
      <c r="D4103" t="s">
        <v>1299</v>
      </c>
      <c r="E4103">
        <v>-216728417</v>
      </c>
      <c r="F4103">
        <v>-162793324</v>
      </c>
      <c r="G4103">
        <v>-141322194</v>
      </c>
      <c r="H4103">
        <v>-67572995</v>
      </c>
      <c r="I4103">
        <v>1033988</v>
      </c>
      <c r="J4103">
        <v>-2727213</v>
      </c>
      <c r="K4103">
        <v>-1731705</v>
      </c>
      <c r="L4103">
        <v>140102</v>
      </c>
      <c r="M4103">
        <v>-30271488</v>
      </c>
      <c r="N4103">
        <v>27049370</v>
      </c>
      <c r="O4103">
        <v>-12736970</v>
      </c>
      <c r="P4103">
        <v>922</v>
      </c>
      <c r="Q4103" t="s">
        <v>8554</v>
      </c>
    </row>
    <row r="4104" spans="1:17" x14ac:dyDescent="0.3">
      <c r="A4104" t="s">
        <v>17</v>
      </c>
      <c r="B4104" t="str">
        <f>"603100"</f>
        <v>603100</v>
      </c>
      <c r="C4104" t="s">
        <v>8555</v>
      </c>
      <c r="D4104" t="s">
        <v>2417</v>
      </c>
      <c r="E4104">
        <v>-216971892</v>
      </c>
      <c r="F4104">
        <v>-98503584</v>
      </c>
      <c r="G4104">
        <v>-70236039</v>
      </c>
      <c r="H4104">
        <v>-116206768</v>
      </c>
      <c r="I4104">
        <v>-193482687</v>
      </c>
      <c r="J4104">
        <v>-156060778</v>
      </c>
      <c r="K4104">
        <v>7511362</v>
      </c>
      <c r="L4104">
        <v>-87547600</v>
      </c>
      <c r="M4104">
        <v>-99990305</v>
      </c>
      <c r="N4104">
        <v>-179839842</v>
      </c>
      <c r="P4104">
        <v>194</v>
      </c>
      <c r="Q4104" t="s">
        <v>8556</v>
      </c>
    </row>
    <row r="4105" spans="1:17" x14ac:dyDescent="0.3">
      <c r="A4105" t="s">
        <v>17</v>
      </c>
      <c r="B4105" t="str">
        <f>"688363"</f>
        <v>688363</v>
      </c>
      <c r="C4105" t="s">
        <v>8557</v>
      </c>
      <c r="D4105" t="s">
        <v>1316</v>
      </c>
      <c r="E4105">
        <v>-217169902</v>
      </c>
      <c r="F4105">
        <v>23706569</v>
      </c>
      <c r="G4105">
        <v>54075707</v>
      </c>
      <c r="H4105">
        <v>680018</v>
      </c>
      <c r="P4105">
        <v>1156</v>
      </c>
      <c r="Q4105" t="s">
        <v>8558</v>
      </c>
    </row>
    <row r="4106" spans="1:17" x14ac:dyDescent="0.3">
      <c r="A4106" t="s">
        <v>33</v>
      </c>
      <c r="B4106" t="str">
        <f>"000028"</f>
        <v>000028</v>
      </c>
      <c r="C4106" t="s">
        <v>8559</v>
      </c>
      <c r="D4106" t="s">
        <v>415</v>
      </c>
      <c r="E4106">
        <v>-217452223</v>
      </c>
      <c r="F4106">
        <v>-306748999</v>
      </c>
      <c r="G4106">
        <v>-688273849</v>
      </c>
      <c r="H4106">
        <v>-759367352</v>
      </c>
      <c r="I4106">
        <v>-864716290</v>
      </c>
      <c r="J4106">
        <v>-502263276</v>
      </c>
      <c r="K4106">
        <v>-100461466</v>
      </c>
      <c r="L4106">
        <v>182179607</v>
      </c>
      <c r="M4106">
        <v>-425683166</v>
      </c>
      <c r="N4106">
        <v>109790135</v>
      </c>
      <c r="O4106">
        <v>-271437537</v>
      </c>
      <c r="P4106">
        <v>1098</v>
      </c>
      <c r="Q4106" t="s">
        <v>8560</v>
      </c>
    </row>
    <row r="4107" spans="1:17" x14ac:dyDescent="0.3">
      <c r="A4107" t="s">
        <v>33</v>
      </c>
      <c r="B4107" t="str">
        <f>"300339"</f>
        <v>300339</v>
      </c>
      <c r="C4107" t="s">
        <v>8561</v>
      </c>
      <c r="D4107" t="s">
        <v>508</v>
      </c>
      <c r="E4107">
        <v>-218052533</v>
      </c>
      <c r="F4107">
        <v>-304058506</v>
      </c>
      <c r="G4107">
        <v>-321349808</v>
      </c>
      <c r="H4107">
        <v>-205222809</v>
      </c>
      <c r="I4107">
        <v>-397005777</v>
      </c>
      <c r="J4107">
        <v>-180199459</v>
      </c>
      <c r="K4107">
        <v>-145342235</v>
      </c>
      <c r="L4107">
        <v>-20613012</v>
      </c>
      <c r="M4107">
        <v>-43280011</v>
      </c>
      <c r="N4107">
        <v>-38146607</v>
      </c>
      <c r="O4107">
        <v>1697609</v>
      </c>
      <c r="P4107">
        <v>332</v>
      </c>
      <c r="Q4107" t="s">
        <v>8562</v>
      </c>
    </row>
    <row r="4108" spans="1:17" x14ac:dyDescent="0.3">
      <c r="A4108" t="s">
        <v>33</v>
      </c>
      <c r="B4108" t="str">
        <f>"300180"</f>
        <v>300180</v>
      </c>
      <c r="C4108" t="s">
        <v>8563</v>
      </c>
      <c r="D4108" t="s">
        <v>1483</v>
      </c>
      <c r="E4108">
        <v>-218406067</v>
      </c>
      <c r="F4108">
        <v>-125921795</v>
      </c>
      <c r="G4108">
        <v>97158023</v>
      </c>
      <c r="H4108">
        <v>22723253</v>
      </c>
      <c r="I4108">
        <v>-126371076</v>
      </c>
      <c r="J4108">
        <v>-123750821</v>
      </c>
      <c r="K4108">
        <v>-4580201</v>
      </c>
      <c r="L4108">
        <v>-26379184</v>
      </c>
      <c r="M4108">
        <v>15900518</v>
      </c>
      <c r="N4108">
        <v>24131101</v>
      </c>
      <c r="O4108">
        <v>16347168</v>
      </c>
      <c r="P4108">
        <v>141</v>
      </c>
      <c r="Q4108" t="s">
        <v>8564</v>
      </c>
    </row>
    <row r="4109" spans="1:17" x14ac:dyDescent="0.3">
      <c r="A4109" t="s">
        <v>33</v>
      </c>
      <c r="B4109" t="str">
        <f>"002026"</f>
        <v>002026</v>
      </c>
      <c r="C4109" t="s">
        <v>8565</v>
      </c>
      <c r="D4109" t="s">
        <v>164</v>
      </c>
      <c r="E4109">
        <v>-218814633</v>
      </c>
      <c r="F4109">
        <v>101692929</v>
      </c>
      <c r="G4109">
        <v>80980698</v>
      </c>
      <c r="H4109">
        <v>22405364</v>
      </c>
      <c r="I4109">
        <v>47755139</v>
      </c>
      <c r="J4109">
        <v>20327349</v>
      </c>
      <c r="K4109">
        <v>2997209</v>
      </c>
      <c r="L4109">
        <v>22836441</v>
      </c>
      <c r="M4109">
        <v>73097568</v>
      </c>
      <c r="N4109">
        <v>-1366454</v>
      </c>
      <c r="O4109">
        <v>14498297</v>
      </c>
      <c r="P4109">
        <v>208</v>
      </c>
      <c r="Q4109" t="s">
        <v>8566</v>
      </c>
    </row>
    <row r="4110" spans="1:17" x14ac:dyDescent="0.3">
      <c r="A4110" t="s">
        <v>33</v>
      </c>
      <c r="B4110" t="str">
        <f>"002805"</f>
        <v>002805</v>
      </c>
      <c r="C4110" t="s">
        <v>8567</v>
      </c>
      <c r="D4110" t="s">
        <v>1022</v>
      </c>
      <c r="E4110">
        <v>-219737412</v>
      </c>
      <c r="F4110">
        <v>15593123</v>
      </c>
      <c r="G4110">
        <v>12962321</v>
      </c>
      <c r="H4110">
        <v>-5574659</v>
      </c>
      <c r="I4110">
        <v>4247161</v>
      </c>
      <c r="J4110">
        <v>-2840830</v>
      </c>
      <c r="K4110">
        <v>16188380</v>
      </c>
      <c r="L4110">
        <v>-4477407</v>
      </c>
      <c r="P4110">
        <v>113</v>
      </c>
      <c r="Q4110" t="s">
        <v>8568</v>
      </c>
    </row>
    <row r="4111" spans="1:17" x14ac:dyDescent="0.3">
      <c r="A4111" t="s">
        <v>17</v>
      </c>
      <c r="B4111" t="str">
        <f>"688568"</f>
        <v>688568</v>
      </c>
      <c r="C4111" t="s">
        <v>8569</v>
      </c>
      <c r="D4111" t="s">
        <v>508</v>
      </c>
      <c r="E4111">
        <v>-219762414</v>
      </c>
      <c r="F4111">
        <v>-143892798</v>
      </c>
      <c r="G4111">
        <v>-94892134</v>
      </c>
      <c r="H4111">
        <v>10527936</v>
      </c>
      <c r="P4111">
        <v>98</v>
      </c>
      <c r="Q4111" t="s">
        <v>8570</v>
      </c>
    </row>
    <row r="4112" spans="1:17" x14ac:dyDescent="0.3">
      <c r="A4112" t="s">
        <v>17</v>
      </c>
      <c r="B4112" t="str">
        <f>"688369"</f>
        <v>688369</v>
      </c>
      <c r="C4112" t="s">
        <v>8571</v>
      </c>
      <c r="D4112" t="s">
        <v>1713</v>
      </c>
      <c r="E4112">
        <v>-220494730</v>
      </c>
      <c r="F4112">
        <v>-136138740</v>
      </c>
      <c r="G4112">
        <v>-116242591</v>
      </c>
      <c r="H4112">
        <v>-140644450</v>
      </c>
      <c r="P4112">
        <v>168</v>
      </c>
      <c r="Q4112" t="s">
        <v>8572</v>
      </c>
    </row>
    <row r="4113" spans="1:17" x14ac:dyDescent="0.3">
      <c r="A4113" t="s">
        <v>33</v>
      </c>
      <c r="B4113" t="str">
        <f>"300324"</f>
        <v>300324</v>
      </c>
      <c r="C4113" t="s">
        <v>8573</v>
      </c>
      <c r="D4113" t="s">
        <v>1571</v>
      </c>
      <c r="E4113">
        <v>-221286714</v>
      </c>
      <c r="F4113">
        <v>-334568760</v>
      </c>
      <c r="G4113">
        <v>-186833195</v>
      </c>
      <c r="H4113">
        <v>-237522570</v>
      </c>
      <c r="I4113">
        <v>-297843284</v>
      </c>
      <c r="J4113">
        <v>-64595667</v>
      </c>
      <c r="K4113">
        <v>-46588955</v>
      </c>
      <c r="L4113">
        <v>-60530261</v>
      </c>
      <c r="M4113">
        <v>-19839574</v>
      </c>
      <c r="N4113">
        <v>-33516268</v>
      </c>
      <c r="O4113">
        <v>-40030142</v>
      </c>
      <c r="P4113">
        <v>235</v>
      </c>
      <c r="Q4113" t="s">
        <v>8574</v>
      </c>
    </row>
    <row r="4114" spans="1:17" x14ac:dyDescent="0.3">
      <c r="A4114" t="s">
        <v>33</v>
      </c>
      <c r="B4114" t="str">
        <f>"002573"</f>
        <v>002573</v>
      </c>
      <c r="C4114" t="s">
        <v>8575</v>
      </c>
      <c r="D4114" t="s">
        <v>3158</v>
      </c>
      <c r="E4114">
        <v>-221443610</v>
      </c>
      <c r="F4114">
        <v>122005037</v>
      </c>
      <c r="G4114">
        <v>24093496</v>
      </c>
      <c r="H4114">
        <v>355161801</v>
      </c>
      <c r="I4114">
        <v>-84967139</v>
      </c>
      <c r="J4114">
        <v>16907819</v>
      </c>
      <c r="K4114">
        <v>1552117</v>
      </c>
      <c r="L4114">
        <v>15457418</v>
      </c>
      <c r="M4114">
        <v>17394864</v>
      </c>
      <c r="N4114">
        <v>59943033</v>
      </c>
      <c r="O4114">
        <v>128229864</v>
      </c>
      <c r="P4114">
        <v>613</v>
      </c>
      <c r="Q4114" t="s">
        <v>8576</v>
      </c>
    </row>
    <row r="4115" spans="1:17" x14ac:dyDescent="0.3">
      <c r="A4115" t="s">
        <v>33</v>
      </c>
      <c r="B4115" t="str">
        <f>"002443"</f>
        <v>002443</v>
      </c>
      <c r="C4115" t="s">
        <v>8577</v>
      </c>
      <c r="D4115" t="s">
        <v>253</v>
      </c>
      <c r="E4115">
        <v>-221541058</v>
      </c>
      <c r="F4115">
        <v>-157509057</v>
      </c>
      <c r="G4115">
        <v>-25951798</v>
      </c>
      <c r="H4115">
        <v>-134453025</v>
      </c>
      <c r="I4115">
        <v>-238917238</v>
      </c>
      <c r="J4115">
        <v>-167749079</v>
      </c>
      <c r="K4115">
        <v>-9725016</v>
      </c>
      <c r="L4115">
        <v>22844847</v>
      </c>
      <c r="M4115">
        <v>-90686194</v>
      </c>
      <c r="N4115">
        <v>-237934361</v>
      </c>
      <c r="O4115">
        <v>-153296166</v>
      </c>
      <c r="P4115">
        <v>257</v>
      </c>
      <c r="Q4115" t="s">
        <v>8578</v>
      </c>
    </row>
    <row r="4116" spans="1:17" x14ac:dyDescent="0.3">
      <c r="A4116" t="s">
        <v>17</v>
      </c>
      <c r="B4116" t="str">
        <f>"603711"</f>
        <v>603711</v>
      </c>
      <c r="C4116" t="s">
        <v>8579</v>
      </c>
      <c r="D4116" t="s">
        <v>1187</v>
      </c>
      <c r="E4116">
        <v>-221895289</v>
      </c>
      <c r="F4116">
        <v>-261551703</v>
      </c>
      <c r="G4116">
        <v>-477961943</v>
      </c>
      <c r="H4116">
        <v>39079136</v>
      </c>
      <c r="I4116">
        <v>-296390005</v>
      </c>
      <c r="J4116">
        <v>-418436699</v>
      </c>
      <c r="P4116">
        <v>392</v>
      </c>
      <c r="Q4116" t="s">
        <v>8580</v>
      </c>
    </row>
    <row r="4117" spans="1:17" x14ac:dyDescent="0.3">
      <c r="A4117" t="s">
        <v>17</v>
      </c>
      <c r="B4117" t="str">
        <f>"600105"</f>
        <v>600105</v>
      </c>
      <c r="C4117" t="s">
        <v>8581</v>
      </c>
      <c r="D4117" t="s">
        <v>1302</v>
      </c>
      <c r="E4117">
        <v>-222810209</v>
      </c>
      <c r="F4117">
        <v>-155660911</v>
      </c>
      <c r="G4117">
        <v>-14074763</v>
      </c>
      <c r="H4117">
        <v>-5857054</v>
      </c>
      <c r="I4117">
        <v>-43815486</v>
      </c>
      <c r="J4117">
        <v>50310995</v>
      </c>
      <c r="K4117">
        <v>-137629190</v>
      </c>
      <c r="L4117">
        <v>-73769166</v>
      </c>
      <c r="M4117">
        <v>-26056235</v>
      </c>
      <c r="N4117">
        <v>-11284670</v>
      </c>
      <c r="O4117">
        <v>-85672293</v>
      </c>
      <c r="P4117">
        <v>274</v>
      </c>
      <c r="Q4117" t="s">
        <v>8582</v>
      </c>
    </row>
    <row r="4118" spans="1:17" x14ac:dyDescent="0.3">
      <c r="A4118" t="s">
        <v>17</v>
      </c>
      <c r="B4118" t="str">
        <f>"600617"</f>
        <v>600617</v>
      </c>
      <c r="C4118" t="s">
        <v>8583</v>
      </c>
      <c r="D4118" t="s">
        <v>649</v>
      </c>
      <c r="E4118">
        <v>-223046289</v>
      </c>
      <c r="F4118">
        <v>413243180</v>
      </c>
      <c r="G4118">
        <v>-287446674</v>
      </c>
      <c r="H4118">
        <v>57732391</v>
      </c>
      <c r="I4118">
        <v>190950334</v>
      </c>
      <c r="J4118">
        <v>283441247</v>
      </c>
      <c r="K4118">
        <v>-198122023</v>
      </c>
      <c r="L4118">
        <v>323761153</v>
      </c>
      <c r="M4118">
        <v>10881228</v>
      </c>
      <c r="N4118">
        <v>392156</v>
      </c>
      <c r="O4118">
        <v>2190276</v>
      </c>
      <c r="P4118">
        <v>104</v>
      </c>
      <c r="Q4118" t="s">
        <v>8584</v>
      </c>
    </row>
    <row r="4119" spans="1:17" x14ac:dyDescent="0.3">
      <c r="A4119" t="s">
        <v>17</v>
      </c>
      <c r="B4119" t="str">
        <f>"600757"</f>
        <v>600757</v>
      </c>
      <c r="C4119" t="s">
        <v>8585</v>
      </c>
      <c r="D4119" t="s">
        <v>1054</v>
      </c>
      <c r="E4119">
        <v>-224126206</v>
      </c>
      <c r="F4119">
        <v>-240019137</v>
      </c>
      <c r="G4119">
        <v>-215971601</v>
      </c>
      <c r="H4119">
        <v>-351499116</v>
      </c>
      <c r="I4119">
        <v>-461091865</v>
      </c>
      <c r="J4119">
        <v>-605711154</v>
      </c>
      <c r="K4119">
        <v>-501408696</v>
      </c>
      <c r="L4119">
        <v>-231192164</v>
      </c>
      <c r="M4119">
        <v>-157988013</v>
      </c>
      <c r="N4119">
        <v>-124215796</v>
      </c>
      <c r="O4119">
        <v>-212070594</v>
      </c>
      <c r="P4119">
        <v>437</v>
      </c>
      <c r="Q4119" t="s">
        <v>8586</v>
      </c>
    </row>
    <row r="4120" spans="1:17" x14ac:dyDescent="0.3">
      <c r="A4120" t="s">
        <v>33</v>
      </c>
      <c r="B4120" t="str">
        <f>"301035"</f>
        <v>301035</v>
      </c>
      <c r="C4120" t="s">
        <v>8587</v>
      </c>
      <c r="D4120" t="s">
        <v>636</v>
      </c>
      <c r="E4120">
        <v>-224220206</v>
      </c>
      <c r="F4120">
        <v>-385771637</v>
      </c>
      <c r="G4120">
        <v>-429345095</v>
      </c>
      <c r="P4120">
        <v>40</v>
      </c>
      <c r="Q4120" t="s">
        <v>8588</v>
      </c>
    </row>
    <row r="4121" spans="1:17" x14ac:dyDescent="0.3">
      <c r="A4121" t="s">
        <v>17</v>
      </c>
      <c r="B4121" t="str">
        <f>"600986"</f>
        <v>600986</v>
      </c>
      <c r="C4121" t="s">
        <v>8589</v>
      </c>
      <c r="D4121" t="s">
        <v>1125</v>
      </c>
      <c r="E4121">
        <v>-224303725</v>
      </c>
      <c r="F4121">
        <v>-328174828</v>
      </c>
      <c r="G4121">
        <v>260801214</v>
      </c>
      <c r="H4121">
        <v>129660957</v>
      </c>
      <c r="I4121">
        <v>-287219160</v>
      </c>
      <c r="J4121">
        <v>-213647789</v>
      </c>
      <c r="K4121">
        <v>-129177402</v>
      </c>
      <c r="L4121">
        <v>45915356</v>
      </c>
      <c r="M4121">
        <v>37721634</v>
      </c>
      <c r="N4121">
        <v>-72057018</v>
      </c>
      <c r="O4121">
        <v>-1034121</v>
      </c>
      <c r="P4121">
        <v>239</v>
      </c>
      <c r="Q4121" t="s">
        <v>8590</v>
      </c>
    </row>
    <row r="4122" spans="1:17" x14ac:dyDescent="0.3">
      <c r="A4122" t="s">
        <v>17</v>
      </c>
      <c r="B4122" t="str">
        <f>"688225"</f>
        <v>688225</v>
      </c>
      <c r="C4122" t="s">
        <v>8591</v>
      </c>
      <c r="E4122">
        <v>-224648376</v>
      </c>
      <c r="P4122">
        <v>9</v>
      </c>
      <c r="Q4122" t="s">
        <v>8592</v>
      </c>
    </row>
    <row r="4123" spans="1:17" x14ac:dyDescent="0.3">
      <c r="A4123" t="s">
        <v>17</v>
      </c>
      <c r="B4123" t="str">
        <f>"688133"</f>
        <v>688133</v>
      </c>
      <c r="C4123" t="s">
        <v>8593</v>
      </c>
      <c r="D4123" t="s">
        <v>418</v>
      </c>
      <c r="E4123">
        <v>-226013779</v>
      </c>
      <c r="F4123">
        <v>-131221885</v>
      </c>
      <c r="G4123">
        <v>-170202221</v>
      </c>
      <c r="H4123">
        <v>-100828900</v>
      </c>
      <c r="P4123">
        <v>118</v>
      </c>
      <c r="Q4123" t="s">
        <v>8594</v>
      </c>
    </row>
    <row r="4124" spans="1:17" x14ac:dyDescent="0.3">
      <c r="A4124" t="s">
        <v>17</v>
      </c>
      <c r="B4124" t="str">
        <f>"603861"</f>
        <v>603861</v>
      </c>
      <c r="C4124" t="s">
        <v>8595</v>
      </c>
      <c r="D4124" t="s">
        <v>675</v>
      </c>
      <c r="E4124">
        <v>-226276068</v>
      </c>
      <c r="F4124">
        <v>-314270674</v>
      </c>
      <c r="G4124">
        <v>-261436175</v>
      </c>
      <c r="H4124">
        <v>-96031675</v>
      </c>
      <c r="I4124">
        <v>-264454708</v>
      </c>
      <c r="J4124">
        <v>-32244342</v>
      </c>
      <c r="K4124">
        <v>-153626548</v>
      </c>
      <c r="L4124">
        <v>-65237011</v>
      </c>
      <c r="P4124">
        <v>109</v>
      </c>
      <c r="Q4124" t="s">
        <v>8596</v>
      </c>
    </row>
    <row r="4125" spans="1:17" x14ac:dyDescent="0.3">
      <c r="A4125" t="s">
        <v>33</v>
      </c>
      <c r="B4125" t="str">
        <f>"000889"</f>
        <v>000889</v>
      </c>
      <c r="C4125" t="s">
        <v>8597</v>
      </c>
      <c r="D4125" t="s">
        <v>4393</v>
      </c>
      <c r="E4125">
        <v>-226505605</v>
      </c>
      <c r="F4125">
        <v>-232940334</v>
      </c>
      <c r="G4125">
        <v>-137082703</v>
      </c>
      <c r="H4125">
        <v>-76503645</v>
      </c>
      <c r="I4125">
        <v>-164115482</v>
      </c>
      <c r="J4125">
        <v>-103484802</v>
      </c>
      <c r="K4125">
        <v>-148906928</v>
      </c>
      <c r="L4125">
        <v>159813326</v>
      </c>
      <c r="M4125">
        <v>-3071227</v>
      </c>
      <c r="N4125">
        <v>46515036</v>
      </c>
      <c r="O4125">
        <v>48311224</v>
      </c>
      <c r="P4125">
        <v>157</v>
      </c>
      <c r="Q4125" t="s">
        <v>8598</v>
      </c>
    </row>
    <row r="4126" spans="1:17" x14ac:dyDescent="0.3">
      <c r="A4126" t="s">
        <v>17</v>
      </c>
      <c r="B4126" t="str">
        <f>"603160"</f>
        <v>603160</v>
      </c>
      <c r="C4126" t="s">
        <v>8599</v>
      </c>
      <c r="D4126" t="s">
        <v>1192</v>
      </c>
      <c r="E4126">
        <v>-226850462</v>
      </c>
      <c r="F4126">
        <v>152184571</v>
      </c>
      <c r="G4126">
        <v>-242797126</v>
      </c>
      <c r="H4126">
        <v>-39165999</v>
      </c>
      <c r="I4126">
        <v>116246690</v>
      </c>
      <c r="J4126">
        <v>124168543</v>
      </c>
      <c r="K4126">
        <v>-56678919</v>
      </c>
      <c r="P4126">
        <v>2243</v>
      </c>
      <c r="Q4126" t="s">
        <v>8600</v>
      </c>
    </row>
    <row r="4127" spans="1:17" x14ac:dyDescent="0.3">
      <c r="A4127" t="s">
        <v>17</v>
      </c>
      <c r="B4127" t="str">
        <f>"688153"</f>
        <v>688153</v>
      </c>
      <c r="C4127" t="s">
        <v>8601</v>
      </c>
      <c r="E4127">
        <v>-227027253</v>
      </c>
      <c r="F4127">
        <v>-52829617</v>
      </c>
      <c r="P4127">
        <v>8</v>
      </c>
      <c r="Q4127" t="s">
        <v>8602</v>
      </c>
    </row>
    <row r="4128" spans="1:17" x14ac:dyDescent="0.3">
      <c r="A4128" t="s">
        <v>17</v>
      </c>
      <c r="B4128" t="str">
        <f>"600983"</f>
        <v>600983</v>
      </c>
      <c r="C4128" t="s">
        <v>8603</v>
      </c>
      <c r="D4128" t="s">
        <v>474</v>
      </c>
      <c r="E4128">
        <v>-227596471</v>
      </c>
      <c r="F4128">
        <v>-58551794</v>
      </c>
      <c r="G4128">
        <v>-553563037</v>
      </c>
      <c r="H4128">
        <v>-336616186</v>
      </c>
      <c r="I4128">
        <v>-599593116</v>
      </c>
      <c r="J4128">
        <v>-1085213</v>
      </c>
      <c r="K4128">
        <v>-19168180</v>
      </c>
      <c r="L4128">
        <v>130426537</v>
      </c>
      <c r="M4128">
        <v>131740350</v>
      </c>
      <c r="N4128">
        <v>179326402</v>
      </c>
      <c r="O4128">
        <v>4899893</v>
      </c>
      <c r="P4128">
        <v>128</v>
      </c>
      <c r="Q4128" t="s">
        <v>8604</v>
      </c>
    </row>
    <row r="4129" spans="1:17" x14ac:dyDescent="0.3">
      <c r="A4129" t="s">
        <v>33</v>
      </c>
      <c r="B4129" t="str">
        <f>"000895"</f>
        <v>000895</v>
      </c>
      <c r="C4129" t="s">
        <v>8605</v>
      </c>
      <c r="D4129" t="s">
        <v>740</v>
      </c>
      <c r="E4129">
        <v>-228133419</v>
      </c>
      <c r="F4129">
        <v>1403883284</v>
      </c>
      <c r="G4129">
        <v>1785116837</v>
      </c>
      <c r="H4129">
        <v>330107363</v>
      </c>
      <c r="I4129">
        <v>1260796863</v>
      </c>
      <c r="J4129">
        <v>1548020986</v>
      </c>
      <c r="K4129">
        <v>1858341238</v>
      </c>
      <c r="L4129">
        <v>1184496054</v>
      </c>
      <c r="M4129">
        <v>365920955</v>
      </c>
      <c r="N4129">
        <v>762038745</v>
      </c>
      <c r="O4129">
        <v>-147315352</v>
      </c>
      <c r="P4129">
        <v>37259</v>
      </c>
      <c r="Q4129" t="s">
        <v>8606</v>
      </c>
    </row>
    <row r="4130" spans="1:17" x14ac:dyDescent="0.3">
      <c r="A4130" t="s">
        <v>17</v>
      </c>
      <c r="B4130" t="str">
        <f>"603877"</f>
        <v>603877</v>
      </c>
      <c r="C4130" t="s">
        <v>8607</v>
      </c>
      <c r="D4130" t="s">
        <v>581</v>
      </c>
      <c r="E4130">
        <v>-228185450</v>
      </c>
      <c r="F4130">
        <v>-196783381</v>
      </c>
      <c r="G4130">
        <v>-182240558</v>
      </c>
      <c r="H4130">
        <v>-270566590</v>
      </c>
      <c r="I4130">
        <v>-113263473</v>
      </c>
      <c r="J4130">
        <v>-16957104</v>
      </c>
      <c r="K4130">
        <v>-92338491</v>
      </c>
      <c r="P4130">
        <v>364</v>
      </c>
      <c r="Q4130" t="s">
        <v>8608</v>
      </c>
    </row>
    <row r="4131" spans="1:17" x14ac:dyDescent="0.3">
      <c r="A4131" t="s">
        <v>33</v>
      </c>
      <c r="B4131" t="str">
        <f>"000777"</f>
        <v>000777</v>
      </c>
      <c r="C4131" t="s">
        <v>8609</v>
      </c>
      <c r="D4131" t="s">
        <v>164</v>
      </c>
      <c r="E4131">
        <v>-228502300</v>
      </c>
      <c r="F4131">
        <v>-11493826</v>
      </c>
      <c r="G4131">
        <v>-54042981</v>
      </c>
      <c r="H4131">
        <v>-124503471</v>
      </c>
      <c r="I4131">
        <v>-109263150</v>
      </c>
      <c r="J4131">
        <v>-32772575</v>
      </c>
      <c r="K4131">
        <v>-66831644</v>
      </c>
      <c r="L4131">
        <v>-98098281</v>
      </c>
      <c r="M4131">
        <v>-111526173</v>
      </c>
      <c r="N4131">
        <v>-14064215</v>
      </c>
      <c r="O4131">
        <v>-51128357</v>
      </c>
      <c r="P4131">
        <v>131</v>
      </c>
      <c r="Q4131" t="s">
        <v>8610</v>
      </c>
    </row>
    <row r="4132" spans="1:17" x14ac:dyDescent="0.3">
      <c r="A4132" t="s">
        <v>17</v>
      </c>
      <c r="B4132" t="str">
        <f>"600562"</f>
        <v>600562</v>
      </c>
      <c r="C4132" t="s">
        <v>8611</v>
      </c>
      <c r="D4132" t="s">
        <v>617</v>
      </c>
      <c r="E4132">
        <v>-229173180</v>
      </c>
      <c r="F4132">
        <v>-8507476</v>
      </c>
      <c r="G4132">
        <v>151506443</v>
      </c>
      <c r="H4132">
        <v>-77889168</v>
      </c>
      <c r="I4132">
        <v>-113402426</v>
      </c>
      <c r="J4132">
        <v>-100456632</v>
      </c>
      <c r="K4132">
        <v>-28006123</v>
      </c>
      <c r="L4132">
        <v>-37117249</v>
      </c>
      <c r="M4132">
        <v>-67856164</v>
      </c>
      <c r="N4132">
        <v>-7883913</v>
      </c>
      <c r="O4132">
        <v>-8949063</v>
      </c>
      <c r="P4132">
        <v>283</v>
      </c>
      <c r="Q4132" t="s">
        <v>8612</v>
      </c>
    </row>
    <row r="4133" spans="1:17" x14ac:dyDescent="0.3">
      <c r="A4133" t="s">
        <v>17</v>
      </c>
      <c r="B4133" t="str">
        <f>"600456"</f>
        <v>600456</v>
      </c>
      <c r="C4133" t="s">
        <v>8613</v>
      </c>
      <c r="D4133" t="s">
        <v>720</v>
      </c>
      <c r="E4133">
        <v>-229991404</v>
      </c>
      <c r="F4133">
        <v>-610717707</v>
      </c>
      <c r="G4133">
        <v>-54614126</v>
      </c>
      <c r="H4133">
        <v>-100612958</v>
      </c>
      <c r="I4133">
        <v>-24228823</v>
      </c>
      <c r="J4133">
        <v>-207357353</v>
      </c>
      <c r="K4133">
        <v>-48373971</v>
      </c>
      <c r="L4133">
        <v>-122872903</v>
      </c>
      <c r="M4133">
        <v>97463002</v>
      </c>
      <c r="N4133">
        <v>-72377134</v>
      </c>
      <c r="O4133">
        <v>-100382496</v>
      </c>
      <c r="P4133">
        <v>330</v>
      </c>
      <c r="Q4133" t="s">
        <v>8614</v>
      </c>
    </row>
    <row r="4134" spans="1:17" x14ac:dyDescent="0.3">
      <c r="A4134" t="s">
        <v>17</v>
      </c>
      <c r="B4134" t="str">
        <f>"600876"</f>
        <v>600876</v>
      </c>
      <c r="C4134" t="s">
        <v>8615</v>
      </c>
      <c r="D4134" t="s">
        <v>1025</v>
      </c>
      <c r="E4134">
        <v>-230032056</v>
      </c>
      <c r="F4134">
        <v>37336076</v>
      </c>
      <c r="G4134">
        <v>-37488585</v>
      </c>
      <c r="H4134">
        <v>-129951288</v>
      </c>
      <c r="I4134">
        <v>-27530182</v>
      </c>
      <c r="J4134">
        <v>-29306073</v>
      </c>
      <c r="K4134">
        <v>-59887500</v>
      </c>
      <c r="L4134">
        <v>-43524086</v>
      </c>
      <c r="M4134">
        <v>-4499326</v>
      </c>
      <c r="N4134">
        <v>-6734547</v>
      </c>
      <c r="O4134">
        <v>-55070685</v>
      </c>
      <c r="P4134">
        <v>175</v>
      </c>
      <c r="Q4134" t="s">
        <v>8616</v>
      </c>
    </row>
    <row r="4135" spans="1:17" x14ac:dyDescent="0.3">
      <c r="A4135" t="s">
        <v>17</v>
      </c>
      <c r="B4135" t="str">
        <f>"600517"</f>
        <v>600517</v>
      </c>
      <c r="C4135" t="s">
        <v>8617</v>
      </c>
      <c r="D4135" t="s">
        <v>298</v>
      </c>
      <c r="E4135">
        <v>-230621843</v>
      </c>
      <c r="F4135">
        <v>670530686</v>
      </c>
      <c r="G4135">
        <v>1395779806</v>
      </c>
      <c r="H4135">
        <v>-387385198</v>
      </c>
      <c r="I4135">
        <v>-685748442</v>
      </c>
      <c r="J4135">
        <v>-479403443</v>
      </c>
      <c r="K4135">
        <v>-586320707</v>
      </c>
      <c r="L4135">
        <v>-325926172</v>
      </c>
      <c r="M4135">
        <v>-260458511</v>
      </c>
      <c r="N4135">
        <v>-191715234</v>
      </c>
      <c r="O4135">
        <v>-23848305</v>
      </c>
      <c r="P4135">
        <v>246</v>
      </c>
      <c r="Q4135" t="s">
        <v>8618</v>
      </c>
    </row>
    <row r="4136" spans="1:17" x14ac:dyDescent="0.3">
      <c r="A4136" t="s">
        <v>17</v>
      </c>
      <c r="B4136" t="str">
        <f>"600167"</f>
        <v>600167</v>
      </c>
      <c r="C4136" t="s">
        <v>8619</v>
      </c>
      <c r="D4136" t="s">
        <v>1094</v>
      </c>
      <c r="E4136">
        <v>-231193815</v>
      </c>
      <c r="F4136">
        <v>-365283481</v>
      </c>
      <c r="G4136">
        <v>-604039507</v>
      </c>
      <c r="H4136">
        <v>-84846868</v>
      </c>
      <c r="I4136">
        <v>-370183202</v>
      </c>
      <c r="J4136">
        <v>-279332582</v>
      </c>
      <c r="K4136">
        <v>-93968614</v>
      </c>
      <c r="L4136">
        <v>-971023901</v>
      </c>
      <c r="M4136">
        <v>-67582817</v>
      </c>
      <c r="N4136">
        <v>-39318178</v>
      </c>
      <c r="O4136">
        <v>-35644401</v>
      </c>
      <c r="P4136">
        <v>39750</v>
      </c>
      <c r="Q4136" t="s">
        <v>8620</v>
      </c>
    </row>
    <row r="4137" spans="1:17" x14ac:dyDescent="0.3">
      <c r="A4137" t="s">
        <v>33</v>
      </c>
      <c r="B4137" t="str">
        <f>"002819"</f>
        <v>002819</v>
      </c>
      <c r="C4137" t="s">
        <v>8621</v>
      </c>
      <c r="D4137" t="s">
        <v>2417</v>
      </c>
      <c r="E4137">
        <v>-231354220</v>
      </c>
      <c r="F4137">
        <v>-65679601</v>
      </c>
      <c r="G4137">
        <v>-20729631</v>
      </c>
      <c r="H4137">
        <v>-43604054</v>
      </c>
      <c r="I4137">
        <v>-104583392</v>
      </c>
      <c r="J4137">
        <v>-18025371</v>
      </c>
      <c r="K4137">
        <v>-26420689</v>
      </c>
      <c r="P4137">
        <v>139</v>
      </c>
      <c r="Q4137" t="s">
        <v>8622</v>
      </c>
    </row>
    <row r="4138" spans="1:17" x14ac:dyDescent="0.3">
      <c r="A4138" t="s">
        <v>17</v>
      </c>
      <c r="B4138" t="str">
        <f>"688077"</f>
        <v>688077</v>
      </c>
      <c r="C4138" t="s">
        <v>8623</v>
      </c>
      <c r="D4138" t="s">
        <v>1559</v>
      </c>
      <c r="E4138">
        <v>-231373200</v>
      </c>
      <c r="F4138">
        <v>-5801591</v>
      </c>
      <c r="G4138">
        <v>11199689</v>
      </c>
      <c r="H4138">
        <v>1232084</v>
      </c>
      <c r="P4138">
        <v>78</v>
      </c>
      <c r="Q4138" t="s">
        <v>8624</v>
      </c>
    </row>
    <row r="4139" spans="1:17" x14ac:dyDescent="0.3">
      <c r="A4139" t="s">
        <v>33</v>
      </c>
      <c r="B4139" t="str">
        <f>"300659"</f>
        <v>300659</v>
      </c>
      <c r="C4139" t="s">
        <v>8625</v>
      </c>
      <c r="D4139" t="s">
        <v>1571</v>
      </c>
      <c r="E4139">
        <v>-231750337</v>
      </c>
      <c r="F4139">
        <v>-111485264</v>
      </c>
      <c r="G4139">
        <v>-97040086</v>
      </c>
      <c r="H4139">
        <v>-94435542</v>
      </c>
      <c r="I4139">
        <v>-67486472</v>
      </c>
      <c r="J4139">
        <v>-37545276</v>
      </c>
      <c r="K4139">
        <v>-53973169</v>
      </c>
      <c r="P4139">
        <v>272</v>
      </c>
      <c r="Q4139" t="s">
        <v>8626</v>
      </c>
    </row>
    <row r="4140" spans="1:17" x14ac:dyDescent="0.3">
      <c r="A4140" t="s">
        <v>33</v>
      </c>
      <c r="B4140" t="str">
        <f>"300161"</f>
        <v>300161</v>
      </c>
      <c r="C4140" t="s">
        <v>8627</v>
      </c>
      <c r="D4140" t="s">
        <v>1910</v>
      </c>
      <c r="E4140">
        <v>-231869407</v>
      </c>
      <c r="F4140">
        <v>-99760852</v>
      </c>
      <c r="G4140">
        <v>-88908501</v>
      </c>
      <c r="H4140">
        <v>-122180344</v>
      </c>
      <c r="I4140">
        <v>-75380838</v>
      </c>
      <c r="J4140">
        <v>-135963804</v>
      </c>
      <c r="K4140">
        <v>-73909684</v>
      </c>
      <c r="L4140">
        <v>-52784397</v>
      </c>
      <c r="M4140">
        <v>560454</v>
      </c>
      <c r="N4140">
        <v>-20208277</v>
      </c>
      <c r="O4140">
        <v>-22807628</v>
      </c>
      <c r="P4140">
        <v>159</v>
      </c>
      <c r="Q4140" t="s">
        <v>8628</v>
      </c>
    </row>
    <row r="4141" spans="1:17" x14ac:dyDescent="0.3">
      <c r="A4141" t="s">
        <v>33</v>
      </c>
      <c r="B4141" t="str">
        <f>"300513"</f>
        <v>300513</v>
      </c>
      <c r="C4141" t="s">
        <v>8629</v>
      </c>
      <c r="D4141" t="s">
        <v>4393</v>
      </c>
      <c r="E4141">
        <v>-232177407</v>
      </c>
      <c r="F4141">
        <v>-132335306</v>
      </c>
      <c r="G4141">
        <v>-174516727</v>
      </c>
      <c r="H4141">
        <v>-98701586</v>
      </c>
      <c r="I4141">
        <v>-62238489</v>
      </c>
      <c r="J4141">
        <v>-42786221</v>
      </c>
      <c r="K4141">
        <v>-10712646</v>
      </c>
      <c r="P4141">
        <v>160</v>
      </c>
      <c r="Q4141" t="s">
        <v>8630</v>
      </c>
    </row>
    <row r="4142" spans="1:17" x14ac:dyDescent="0.3">
      <c r="A4142" t="s">
        <v>17</v>
      </c>
      <c r="B4142" t="str">
        <f>"603690"</f>
        <v>603690</v>
      </c>
      <c r="C4142" t="s">
        <v>8631</v>
      </c>
      <c r="D4142" t="s">
        <v>2201</v>
      </c>
      <c r="E4142">
        <v>-232528984</v>
      </c>
      <c r="F4142">
        <v>-74042629</v>
      </c>
      <c r="G4142">
        <v>-163662785</v>
      </c>
      <c r="H4142">
        <v>-9218204</v>
      </c>
      <c r="I4142">
        <v>-35994168</v>
      </c>
      <c r="J4142">
        <v>-41094470</v>
      </c>
      <c r="K4142">
        <v>-11315532</v>
      </c>
      <c r="P4142">
        <v>450</v>
      </c>
      <c r="Q4142" t="s">
        <v>8632</v>
      </c>
    </row>
    <row r="4143" spans="1:17" x14ac:dyDescent="0.3">
      <c r="A4143" t="s">
        <v>33</v>
      </c>
      <c r="B4143" t="str">
        <f>"002225"</f>
        <v>002225</v>
      </c>
      <c r="C4143" t="s">
        <v>8633</v>
      </c>
      <c r="D4143" t="s">
        <v>5005</v>
      </c>
      <c r="E4143">
        <v>-233072271</v>
      </c>
      <c r="F4143">
        <v>-116732069</v>
      </c>
      <c r="G4143">
        <v>79987978</v>
      </c>
      <c r="H4143">
        <v>61607827</v>
      </c>
      <c r="I4143">
        <v>55060363</v>
      </c>
      <c r="J4143">
        <v>-1479318</v>
      </c>
      <c r="K4143">
        <v>-46760476</v>
      </c>
      <c r="L4143">
        <v>7535911</v>
      </c>
      <c r="M4143">
        <v>21585324</v>
      </c>
      <c r="N4143">
        <v>24012575</v>
      </c>
      <c r="O4143">
        <v>-10182668</v>
      </c>
      <c r="P4143">
        <v>142</v>
      </c>
      <c r="Q4143" t="s">
        <v>8634</v>
      </c>
    </row>
    <row r="4144" spans="1:17" x14ac:dyDescent="0.3">
      <c r="A4144" t="s">
        <v>17</v>
      </c>
      <c r="B4144" t="str">
        <f>"600800"</f>
        <v>600800</v>
      </c>
      <c r="C4144" t="s">
        <v>8635</v>
      </c>
      <c r="D4144" t="s">
        <v>732</v>
      </c>
      <c r="E4144">
        <v>-233991222</v>
      </c>
      <c r="F4144">
        <v>242569344</v>
      </c>
      <c r="G4144">
        <v>25365493</v>
      </c>
      <c r="H4144">
        <v>-26710098</v>
      </c>
      <c r="I4144">
        <v>-23251747</v>
      </c>
      <c r="J4144">
        <v>-18505530</v>
      </c>
      <c r="K4144">
        <v>-23951748</v>
      </c>
      <c r="L4144">
        <v>-28439842</v>
      </c>
      <c r="M4144">
        <v>-17796522</v>
      </c>
      <c r="N4144">
        <v>-86051267</v>
      </c>
      <c r="O4144">
        <v>-48539892</v>
      </c>
      <c r="P4144">
        <v>147</v>
      </c>
      <c r="Q4144" t="s">
        <v>8636</v>
      </c>
    </row>
    <row r="4145" spans="1:17" x14ac:dyDescent="0.3">
      <c r="A4145" t="s">
        <v>17</v>
      </c>
      <c r="B4145" t="str">
        <f>"601608"</f>
        <v>601608</v>
      </c>
      <c r="C4145" t="s">
        <v>8637</v>
      </c>
      <c r="D4145" t="s">
        <v>1132</v>
      </c>
      <c r="E4145">
        <v>-234777417</v>
      </c>
      <c r="F4145">
        <v>-389950518</v>
      </c>
      <c r="G4145">
        <v>-202811251</v>
      </c>
      <c r="H4145">
        <v>-251162701</v>
      </c>
      <c r="I4145">
        <v>-157089106</v>
      </c>
      <c r="J4145">
        <v>226862749</v>
      </c>
      <c r="K4145">
        <v>-183244635</v>
      </c>
      <c r="L4145">
        <v>-382621204</v>
      </c>
      <c r="M4145">
        <v>-194638390</v>
      </c>
      <c r="N4145">
        <v>-255132267</v>
      </c>
      <c r="O4145">
        <v>-108108789</v>
      </c>
      <c r="P4145">
        <v>178</v>
      </c>
      <c r="Q4145" t="s">
        <v>8638</v>
      </c>
    </row>
    <row r="4146" spans="1:17" x14ac:dyDescent="0.3">
      <c r="A4146" t="s">
        <v>33</v>
      </c>
      <c r="B4146" t="str">
        <f>"002457"</f>
        <v>002457</v>
      </c>
      <c r="C4146" t="s">
        <v>8639</v>
      </c>
      <c r="D4146" t="s">
        <v>1169</v>
      </c>
      <c r="E4146">
        <v>-237546295</v>
      </c>
      <c r="F4146">
        <v>-286255781</v>
      </c>
      <c r="G4146">
        <v>-99476360</v>
      </c>
      <c r="H4146">
        <v>-66693835</v>
      </c>
      <c r="I4146">
        <v>-204345976</v>
      </c>
      <c r="J4146">
        <v>-29865833</v>
      </c>
      <c r="K4146">
        <v>-2414147</v>
      </c>
      <c r="L4146">
        <v>52776917</v>
      </c>
      <c r="M4146">
        <v>-36685957</v>
      </c>
      <c r="N4146">
        <v>-4755784</v>
      </c>
      <c r="O4146">
        <v>-42704417</v>
      </c>
      <c r="P4146">
        <v>132</v>
      </c>
      <c r="Q4146" t="s">
        <v>8640</v>
      </c>
    </row>
    <row r="4147" spans="1:17" x14ac:dyDescent="0.3">
      <c r="A4147" t="s">
        <v>33</v>
      </c>
      <c r="B4147" t="str">
        <f>"000969"</f>
        <v>000969</v>
      </c>
      <c r="C4147" t="s">
        <v>8641</v>
      </c>
      <c r="D4147" t="s">
        <v>2576</v>
      </c>
      <c r="E4147">
        <v>-238876879</v>
      </c>
      <c r="F4147">
        <v>-101563239</v>
      </c>
      <c r="G4147">
        <v>97426482</v>
      </c>
      <c r="H4147">
        <v>44315723</v>
      </c>
      <c r="I4147">
        <v>-75078818</v>
      </c>
      <c r="J4147">
        <v>-210808943</v>
      </c>
      <c r="K4147">
        <v>-55693359</v>
      </c>
      <c r="L4147">
        <v>-174457548</v>
      </c>
      <c r="M4147">
        <v>-105008223</v>
      </c>
      <c r="N4147">
        <v>-35536760</v>
      </c>
      <c r="O4147">
        <v>-118966347</v>
      </c>
      <c r="P4147">
        <v>224</v>
      </c>
      <c r="Q4147" t="s">
        <v>8642</v>
      </c>
    </row>
    <row r="4148" spans="1:17" x14ac:dyDescent="0.3">
      <c r="A4148" t="s">
        <v>33</v>
      </c>
      <c r="B4148" t="str">
        <f>"200505"</f>
        <v>200505</v>
      </c>
      <c r="C4148" t="s">
        <v>8643</v>
      </c>
      <c r="E4148">
        <v>-238967473.75600001</v>
      </c>
      <c r="F4148">
        <v>325449931.82800001</v>
      </c>
      <c r="G4148">
        <v>359508180.67860001</v>
      </c>
      <c r="H4148">
        <v>202168649.39579999</v>
      </c>
      <c r="I4148">
        <v>839671608.09949994</v>
      </c>
      <c r="J4148">
        <v>-87129278.314999998</v>
      </c>
      <c r="K4148">
        <v>149950063.30930001</v>
      </c>
      <c r="L4148">
        <v>-60667843.75</v>
      </c>
      <c r="M4148">
        <v>-119840578.71080001</v>
      </c>
      <c r="N4148">
        <v>-40340678.2086</v>
      </c>
      <c r="O4148">
        <v>-104597364.03300001</v>
      </c>
      <c r="P4148">
        <v>16</v>
      </c>
      <c r="Q4148" t="s">
        <v>8644</v>
      </c>
    </row>
    <row r="4149" spans="1:17" x14ac:dyDescent="0.3">
      <c r="A4149" t="s">
        <v>17</v>
      </c>
      <c r="B4149" t="str">
        <f>"603660"</f>
        <v>603660</v>
      </c>
      <c r="C4149" t="s">
        <v>8645</v>
      </c>
      <c r="D4149" t="s">
        <v>1571</v>
      </c>
      <c r="E4149">
        <v>-238975425</v>
      </c>
      <c r="F4149">
        <v>-115988694</v>
      </c>
      <c r="G4149">
        <v>-92219948</v>
      </c>
      <c r="H4149">
        <v>-31106067</v>
      </c>
      <c r="I4149">
        <v>-71730726</v>
      </c>
      <c r="J4149">
        <v>57901000</v>
      </c>
      <c r="K4149">
        <v>-65527723</v>
      </c>
      <c r="P4149">
        <v>291</v>
      </c>
      <c r="Q4149" t="s">
        <v>8646</v>
      </c>
    </row>
    <row r="4150" spans="1:17" x14ac:dyDescent="0.3">
      <c r="A4150" t="s">
        <v>33</v>
      </c>
      <c r="B4150" t="str">
        <f>"000680"</f>
        <v>000680</v>
      </c>
      <c r="C4150" t="s">
        <v>8647</v>
      </c>
      <c r="D4150" t="s">
        <v>320</v>
      </c>
      <c r="E4150">
        <v>-239205942</v>
      </c>
      <c r="F4150">
        <v>303102973</v>
      </c>
      <c r="G4150">
        <v>15241735</v>
      </c>
      <c r="H4150">
        <v>-35268173</v>
      </c>
      <c r="I4150">
        <v>-89516967</v>
      </c>
      <c r="J4150">
        <v>38489785</v>
      </c>
      <c r="K4150">
        <v>-89593257</v>
      </c>
      <c r="L4150">
        <v>-88077241</v>
      </c>
      <c r="M4150">
        <v>62146119</v>
      </c>
      <c r="N4150">
        <v>-46620238</v>
      </c>
      <c r="O4150">
        <v>220117147</v>
      </c>
      <c r="P4150">
        <v>120</v>
      </c>
      <c r="Q4150" t="s">
        <v>8648</v>
      </c>
    </row>
    <row r="4151" spans="1:17" x14ac:dyDescent="0.3">
      <c r="A4151" t="s">
        <v>33</v>
      </c>
      <c r="B4151" t="str">
        <f>"000514"</f>
        <v>000514</v>
      </c>
      <c r="C4151" t="s">
        <v>8649</v>
      </c>
      <c r="D4151" t="s">
        <v>167</v>
      </c>
      <c r="E4151">
        <v>-240676834</v>
      </c>
      <c r="F4151">
        <v>71351949</v>
      </c>
      <c r="G4151">
        <v>-1514280679</v>
      </c>
      <c r="H4151">
        <v>-19119107</v>
      </c>
      <c r="I4151">
        <v>14110662</v>
      </c>
      <c r="J4151">
        <v>184554701</v>
      </c>
      <c r="K4151">
        <v>-91580019</v>
      </c>
      <c r="L4151">
        <v>-132080969</v>
      </c>
      <c r="M4151">
        <v>70782163</v>
      </c>
      <c r="N4151">
        <v>456109057</v>
      </c>
      <c r="O4151">
        <v>-137274597</v>
      </c>
      <c r="P4151">
        <v>113</v>
      </c>
      <c r="Q4151" t="s">
        <v>8650</v>
      </c>
    </row>
    <row r="4152" spans="1:17" x14ac:dyDescent="0.3">
      <c r="A4152" t="s">
        <v>33</v>
      </c>
      <c r="B4152" t="str">
        <f>"301091"</f>
        <v>301091</v>
      </c>
      <c r="C4152" t="s">
        <v>8651</v>
      </c>
      <c r="D4152" t="s">
        <v>4300</v>
      </c>
      <c r="E4152">
        <v>-241066300</v>
      </c>
      <c r="F4152">
        <v>-278768183</v>
      </c>
      <c r="P4152">
        <v>25</v>
      </c>
      <c r="Q4152" t="s">
        <v>8652</v>
      </c>
    </row>
    <row r="4153" spans="1:17" x14ac:dyDescent="0.3">
      <c r="A4153" t="s">
        <v>17</v>
      </c>
      <c r="B4153" t="str">
        <f>"600661"</f>
        <v>600661</v>
      </c>
      <c r="C4153" t="s">
        <v>8653</v>
      </c>
      <c r="D4153" t="s">
        <v>761</v>
      </c>
      <c r="E4153">
        <v>-242948059</v>
      </c>
      <c r="F4153">
        <v>-28479582</v>
      </c>
      <c r="G4153">
        <v>-198691984</v>
      </c>
      <c r="H4153">
        <v>-269447103</v>
      </c>
      <c r="I4153">
        <v>-15488266</v>
      </c>
      <c r="J4153">
        <v>-15734392</v>
      </c>
      <c r="K4153">
        <v>37897738</v>
      </c>
      <c r="L4153">
        <v>-39015090</v>
      </c>
      <c r="M4153">
        <v>-18089296</v>
      </c>
      <c r="N4153">
        <v>-20030997</v>
      </c>
      <c r="O4153">
        <v>-31495407</v>
      </c>
      <c r="P4153">
        <v>147</v>
      </c>
      <c r="Q4153" t="s">
        <v>8654</v>
      </c>
    </row>
    <row r="4154" spans="1:17" x14ac:dyDescent="0.3">
      <c r="A4154" t="s">
        <v>33</v>
      </c>
      <c r="B4154" t="str">
        <f>"002135"</f>
        <v>002135</v>
      </c>
      <c r="C4154" t="s">
        <v>8655</v>
      </c>
      <c r="D4154" t="s">
        <v>2307</v>
      </c>
      <c r="E4154">
        <v>-243231025</v>
      </c>
      <c r="F4154">
        <v>-70207243</v>
      </c>
      <c r="G4154">
        <v>272557312</v>
      </c>
      <c r="H4154">
        <v>408344045</v>
      </c>
      <c r="I4154">
        <v>-147641672</v>
      </c>
      <c r="J4154">
        <v>169307692</v>
      </c>
      <c r="K4154">
        <v>-10578502</v>
      </c>
      <c r="L4154">
        <v>212863262</v>
      </c>
      <c r="M4154">
        <v>117746717</v>
      </c>
      <c r="N4154">
        <v>93508924</v>
      </c>
      <c r="O4154">
        <v>-126243141</v>
      </c>
      <c r="P4154">
        <v>163</v>
      </c>
      <c r="Q4154" t="s">
        <v>8656</v>
      </c>
    </row>
    <row r="4155" spans="1:17" x14ac:dyDescent="0.3">
      <c r="A4155" t="s">
        <v>17</v>
      </c>
      <c r="B4155" t="str">
        <f>"603901"</f>
        <v>603901</v>
      </c>
      <c r="C4155" t="s">
        <v>8657</v>
      </c>
      <c r="D4155" t="s">
        <v>2269</v>
      </c>
      <c r="E4155">
        <v>-244171407</v>
      </c>
      <c r="F4155">
        <v>-59846764</v>
      </c>
      <c r="G4155">
        <v>-59321899</v>
      </c>
      <c r="H4155">
        <v>-83699739</v>
      </c>
      <c r="I4155">
        <v>-56735878</v>
      </c>
      <c r="J4155">
        <v>-78864483</v>
      </c>
      <c r="K4155">
        <v>-58572734</v>
      </c>
      <c r="L4155">
        <v>-70522411</v>
      </c>
      <c r="M4155">
        <v>-87932721</v>
      </c>
      <c r="P4155">
        <v>140</v>
      </c>
      <c r="Q4155" t="s">
        <v>8658</v>
      </c>
    </row>
    <row r="4156" spans="1:17" x14ac:dyDescent="0.3">
      <c r="A4156" t="s">
        <v>33</v>
      </c>
      <c r="B4156" t="str">
        <f>"301116"</f>
        <v>301116</v>
      </c>
      <c r="C4156" t="s">
        <v>8659</v>
      </c>
      <c r="D4156" t="s">
        <v>1285</v>
      </c>
      <c r="E4156">
        <v>-245021682</v>
      </c>
      <c r="P4156">
        <v>11</v>
      </c>
      <c r="Q4156" t="s">
        <v>8660</v>
      </c>
    </row>
    <row r="4157" spans="1:17" x14ac:dyDescent="0.3">
      <c r="A4157" t="s">
        <v>33</v>
      </c>
      <c r="B4157" t="str">
        <f>"300034"</f>
        <v>300034</v>
      </c>
      <c r="C4157" t="s">
        <v>8661</v>
      </c>
      <c r="D4157" t="s">
        <v>2262</v>
      </c>
      <c r="E4157">
        <v>-245027653</v>
      </c>
      <c r="F4157">
        <v>-224684614</v>
      </c>
      <c r="G4157">
        <v>-65715651</v>
      </c>
      <c r="H4157">
        <v>-35415863</v>
      </c>
      <c r="I4157">
        <v>-34025775</v>
      </c>
      <c r="J4157">
        <v>-90122751</v>
      </c>
      <c r="K4157">
        <v>-36033596</v>
      </c>
      <c r="L4157">
        <v>-80466667</v>
      </c>
      <c r="M4157">
        <v>-117246042</v>
      </c>
      <c r="N4157">
        <v>-66727804</v>
      </c>
      <c r="O4157">
        <v>-51868786</v>
      </c>
      <c r="P4157">
        <v>282</v>
      </c>
      <c r="Q4157" t="s">
        <v>8662</v>
      </c>
    </row>
    <row r="4158" spans="1:17" x14ac:dyDescent="0.3">
      <c r="A4158" t="s">
        <v>17</v>
      </c>
      <c r="B4158" t="str">
        <f>"603458"</f>
        <v>603458</v>
      </c>
      <c r="C4158" t="s">
        <v>8663</v>
      </c>
      <c r="D4158" t="s">
        <v>4300</v>
      </c>
      <c r="E4158">
        <v>-245255486</v>
      </c>
      <c r="F4158">
        <v>-257204986</v>
      </c>
      <c r="G4158">
        <v>-86275972</v>
      </c>
      <c r="H4158">
        <v>-380505446</v>
      </c>
      <c r="I4158">
        <v>-244530405</v>
      </c>
      <c r="J4158">
        <v>-140715300</v>
      </c>
      <c r="K4158">
        <v>77556300</v>
      </c>
      <c r="P4158">
        <v>474</v>
      </c>
      <c r="Q4158" t="s">
        <v>8664</v>
      </c>
    </row>
    <row r="4159" spans="1:17" x14ac:dyDescent="0.3">
      <c r="A4159" t="s">
        <v>33</v>
      </c>
      <c r="B4159" t="str">
        <f>"002893"</f>
        <v>002893</v>
      </c>
      <c r="C4159" t="s">
        <v>8665</v>
      </c>
      <c r="D4159" t="s">
        <v>1094</v>
      </c>
      <c r="E4159">
        <v>-246426267</v>
      </c>
      <c r="F4159">
        <v>-215067906</v>
      </c>
      <c r="G4159">
        <v>-228918446</v>
      </c>
      <c r="H4159">
        <v>-206867978</v>
      </c>
      <c r="I4159">
        <v>-248599669</v>
      </c>
      <c r="J4159">
        <v>-217621981</v>
      </c>
      <c r="P4159">
        <v>92</v>
      </c>
      <c r="Q4159" t="s">
        <v>8666</v>
      </c>
    </row>
    <row r="4160" spans="1:17" x14ac:dyDescent="0.3">
      <c r="A4160" t="s">
        <v>33</v>
      </c>
      <c r="B4160" t="str">
        <f>"300432"</f>
        <v>300432</v>
      </c>
      <c r="C4160" t="s">
        <v>8667</v>
      </c>
      <c r="D4160" t="s">
        <v>858</v>
      </c>
      <c r="E4160">
        <v>-249283207</v>
      </c>
      <c r="F4160">
        <v>7249285</v>
      </c>
      <c r="G4160">
        <v>114001802</v>
      </c>
      <c r="H4160">
        <v>47628980</v>
      </c>
      <c r="I4160">
        <v>-40114339</v>
      </c>
      <c r="J4160">
        <v>-25548677</v>
      </c>
      <c r="K4160">
        <v>38667157</v>
      </c>
      <c r="L4160">
        <v>10985994</v>
      </c>
      <c r="M4160">
        <v>18880276</v>
      </c>
      <c r="P4160">
        <v>304</v>
      </c>
      <c r="Q4160" t="s">
        <v>8668</v>
      </c>
    </row>
    <row r="4161" spans="1:17" x14ac:dyDescent="0.3">
      <c r="A4161" t="s">
        <v>17</v>
      </c>
      <c r="B4161" t="str">
        <f>"688590"</f>
        <v>688590</v>
      </c>
      <c r="C4161" t="s">
        <v>8669</v>
      </c>
      <c r="D4161" t="s">
        <v>807</v>
      </c>
      <c r="E4161">
        <v>-249462295</v>
      </c>
      <c r="F4161">
        <v>-199259267</v>
      </c>
      <c r="G4161">
        <v>-178018012</v>
      </c>
      <c r="H4161">
        <v>-180061600</v>
      </c>
      <c r="P4161">
        <v>29</v>
      </c>
      <c r="Q4161" t="s">
        <v>8670</v>
      </c>
    </row>
    <row r="4162" spans="1:17" x14ac:dyDescent="0.3">
      <c r="A4162" t="s">
        <v>33</v>
      </c>
      <c r="B4162" t="str">
        <f>"000561"</f>
        <v>000561</v>
      </c>
      <c r="C4162" t="s">
        <v>8671</v>
      </c>
      <c r="D4162" t="s">
        <v>2262</v>
      </c>
      <c r="E4162">
        <v>-250184555</v>
      </c>
      <c r="F4162">
        <v>-78806806</v>
      </c>
      <c r="G4162">
        <v>-45728945</v>
      </c>
      <c r="H4162">
        <v>-96086093</v>
      </c>
      <c r="I4162">
        <v>-48411798</v>
      </c>
      <c r="J4162">
        <v>-34602066</v>
      </c>
      <c r="K4162">
        <v>-17722721</v>
      </c>
      <c r="L4162">
        <v>-73429654</v>
      </c>
      <c r="M4162">
        <v>-111249732</v>
      </c>
      <c r="N4162">
        <v>-16747907</v>
      </c>
      <c r="O4162">
        <v>-123079335</v>
      </c>
      <c r="P4162">
        <v>134</v>
      </c>
      <c r="Q4162" t="s">
        <v>8672</v>
      </c>
    </row>
    <row r="4163" spans="1:17" x14ac:dyDescent="0.3">
      <c r="A4163" t="s">
        <v>17</v>
      </c>
      <c r="B4163" t="str">
        <f>"688122"</f>
        <v>688122</v>
      </c>
      <c r="C4163" t="s">
        <v>8673</v>
      </c>
      <c r="D4163" t="s">
        <v>2262</v>
      </c>
      <c r="E4163">
        <v>-250216923</v>
      </c>
      <c r="F4163">
        <v>39150963</v>
      </c>
      <c r="G4163">
        <v>-132963538</v>
      </c>
      <c r="H4163">
        <v>-109780400</v>
      </c>
      <c r="I4163">
        <v>-17980000</v>
      </c>
      <c r="P4163">
        <v>309</v>
      </c>
      <c r="Q4163" t="s">
        <v>8674</v>
      </c>
    </row>
    <row r="4164" spans="1:17" x14ac:dyDescent="0.3">
      <c r="A4164" t="s">
        <v>33</v>
      </c>
      <c r="B4164" t="str">
        <f>"002376"</f>
        <v>002376</v>
      </c>
      <c r="C4164" t="s">
        <v>8675</v>
      </c>
      <c r="D4164" t="s">
        <v>1571</v>
      </c>
      <c r="E4164">
        <v>-250240377</v>
      </c>
      <c r="F4164">
        <v>-136682597</v>
      </c>
      <c r="G4164">
        <v>-16847862</v>
      </c>
      <c r="H4164">
        <v>-56302222</v>
      </c>
      <c r="I4164">
        <v>-15552582</v>
      </c>
      <c r="J4164">
        <v>66758739</v>
      </c>
      <c r="K4164">
        <v>-18205512</v>
      </c>
      <c r="L4164">
        <v>42203653</v>
      </c>
      <c r="M4164">
        <v>-52131544</v>
      </c>
      <c r="N4164">
        <v>-43495975</v>
      </c>
      <c r="O4164">
        <v>-36836885</v>
      </c>
      <c r="P4164">
        <v>298</v>
      </c>
      <c r="Q4164" t="s">
        <v>8676</v>
      </c>
    </row>
    <row r="4165" spans="1:17" x14ac:dyDescent="0.3">
      <c r="A4165" t="s">
        <v>33</v>
      </c>
      <c r="B4165" t="str">
        <f>"003038"</f>
        <v>003038</v>
      </c>
      <c r="C4165" t="s">
        <v>8677</v>
      </c>
      <c r="D4165" t="s">
        <v>140</v>
      </c>
      <c r="E4165">
        <v>-250289914</v>
      </c>
      <c r="F4165">
        <v>-179042201</v>
      </c>
      <c r="G4165">
        <v>-44617949</v>
      </c>
      <c r="P4165">
        <v>74</v>
      </c>
      <c r="Q4165" t="s">
        <v>8678</v>
      </c>
    </row>
    <row r="4166" spans="1:17" x14ac:dyDescent="0.3">
      <c r="A4166" t="s">
        <v>33</v>
      </c>
      <c r="B4166" t="str">
        <f>"300266"</f>
        <v>300266</v>
      </c>
      <c r="C4166" t="s">
        <v>8679</v>
      </c>
      <c r="D4166" t="s">
        <v>932</v>
      </c>
      <c r="E4166">
        <v>-250809978</v>
      </c>
      <c r="F4166">
        <v>-75100854</v>
      </c>
      <c r="G4166">
        <v>-53825633</v>
      </c>
      <c r="H4166">
        <v>81415974</v>
      </c>
      <c r="I4166">
        <v>-129977292</v>
      </c>
      <c r="J4166">
        <v>-184134840</v>
      </c>
      <c r="K4166">
        <v>-67606098</v>
      </c>
      <c r="L4166">
        <v>-58017916</v>
      </c>
      <c r="M4166">
        <v>12295320</v>
      </c>
      <c r="N4166">
        <v>-1124088</v>
      </c>
      <c r="O4166">
        <v>1900922</v>
      </c>
      <c r="P4166">
        <v>145</v>
      </c>
      <c r="Q4166" t="s">
        <v>8680</v>
      </c>
    </row>
    <row r="4167" spans="1:17" x14ac:dyDescent="0.3">
      <c r="A4167" t="s">
        <v>17</v>
      </c>
      <c r="B4167" t="str">
        <f>"600545"</f>
        <v>600545</v>
      </c>
      <c r="C4167" t="s">
        <v>8681</v>
      </c>
      <c r="D4167" t="s">
        <v>2847</v>
      </c>
      <c r="E4167">
        <v>-251003000</v>
      </c>
      <c r="F4167">
        <v>529124000</v>
      </c>
      <c r="G4167">
        <v>-1243307000</v>
      </c>
      <c r="H4167">
        <v>-830342000</v>
      </c>
      <c r="I4167">
        <v>-1278777000</v>
      </c>
      <c r="J4167">
        <v>-221248057</v>
      </c>
      <c r="K4167">
        <v>-165792593</v>
      </c>
      <c r="L4167">
        <v>-378996523</v>
      </c>
      <c r="M4167">
        <v>407315185</v>
      </c>
      <c r="N4167">
        <v>104688532</v>
      </c>
      <c r="O4167">
        <v>-265177718</v>
      </c>
      <c r="P4167">
        <v>134</v>
      </c>
      <c r="Q4167" t="s">
        <v>8682</v>
      </c>
    </row>
    <row r="4168" spans="1:17" x14ac:dyDescent="0.3">
      <c r="A4168" t="s">
        <v>33</v>
      </c>
      <c r="B4168" t="str">
        <f>"002116"</f>
        <v>002116</v>
      </c>
      <c r="C4168" t="s">
        <v>8683</v>
      </c>
      <c r="D4168" t="s">
        <v>1454</v>
      </c>
      <c r="E4168">
        <v>-251114347</v>
      </c>
      <c r="F4168">
        <v>-242391029</v>
      </c>
      <c r="G4168">
        <v>118432112</v>
      </c>
      <c r="H4168">
        <v>44686819</v>
      </c>
      <c r="I4168">
        <v>-104862774</v>
      </c>
      <c r="J4168">
        <v>-130782204</v>
      </c>
      <c r="K4168">
        <v>-117739263</v>
      </c>
      <c r="L4168">
        <v>-113988546</v>
      </c>
      <c r="M4168">
        <v>-41007310</v>
      </c>
      <c r="N4168">
        <v>-135598643</v>
      </c>
      <c r="O4168">
        <v>-173715793</v>
      </c>
      <c r="P4168">
        <v>176</v>
      </c>
      <c r="Q4168" t="s">
        <v>8684</v>
      </c>
    </row>
    <row r="4169" spans="1:17" x14ac:dyDescent="0.3">
      <c r="A4169" t="s">
        <v>17</v>
      </c>
      <c r="B4169" t="str">
        <f>"600184"</f>
        <v>600184</v>
      </c>
      <c r="C4169" t="s">
        <v>8685</v>
      </c>
      <c r="D4169" t="s">
        <v>967</v>
      </c>
      <c r="E4169">
        <v>-251584016</v>
      </c>
      <c r="F4169">
        <v>-775413122</v>
      </c>
      <c r="G4169">
        <v>-208195616</v>
      </c>
      <c r="H4169">
        <v>-144424220</v>
      </c>
      <c r="I4169">
        <v>203454345</v>
      </c>
      <c r="J4169">
        <v>-126791633</v>
      </c>
      <c r="K4169">
        <v>-309512366</v>
      </c>
      <c r="L4169">
        <v>-361425041</v>
      </c>
      <c r="M4169">
        <v>-111781669</v>
      </c>
      <c r="N4169">
        <v>-135994765</v>
      </c>
      <c r="O4169">
        <v>-35365077</v>
      </c>
      <c r="P4169">
        <v>143</v>
      </c>
      <c r="Q4169" t="s">
        <v>8686</v>
      </c>
    </row>
    <row r="4170" spans="1:17" x14ac:dyDescent="0.3">
      <c r="A4170" t="s">
        <v>33</v>
      </c>
      <c r="B4170" t="str">
        <f>"300892"</f>
        <v>300892</v>
      </c>
      <c r="C4170" t="s">
        <v>8687</v>
      </c>
      <c r="D4170" t="s">
        <v>1592</v>
      </c>
      <c r="E4170">
        <v>-252380534</v>
      </c>
      <c r="F4170">
        <v>-15314485</v>
      </c>
      <c r="G4170">
        <v>-67649849</v>
      </c>
      <c r="P4170">
        <v>99</v>
      </c>
      <c r="Q4170" t="s">
        <v>8688</v>
      </c>
    </row>
    <row r="4171" spans="1:17" x14ac:dyDescent="0.3">
      <c r="A4171" t="s">
        <v>33</v>
      </c>
      <c r="B4171" t="str">
        <f>"300447"</f>
        <v>300447</v>
      </c>
      <c r="C4171" t="s">
        <v>8689</v>
      </c>
      <c r="D4171" t="s">
        <v>617</v>
      </c>
      <c r="E4171">
        <v>-255774360</v>
      </c>
      <c r="F4171">
        <v>-136772122</v>
      </c>
      <c r="G4171">
        <v>-48361657</v>
      </c>
      <c r="H4171">
        <v>11419792</v>
      </c>
      <c r="I4171">
        <v>-47305639</v>
      </c>
      <c r="J4171">
        <v>-73178491</v>
      </c>
      <c r="K4171">
        <v>-22460412</v>
      </c>
      <c r="L4171">
        <v>-1657452</v>
      </c>
      <c r="P4171">
        <v>119</v>
      </c>
      <c r="Q4171" t="s">
        <v>8690</v>
      </c>
    </row>
    <row r="4172" spans="1:17" x14ac:dyDescent="0.3">
      <c r="A4172" t="s">
        <v>17</v>
      </c>
      <c r="B4172" t="str">
        <f>"600526"</f>
        <v>600526</v>
      </c>
      <c r="C4172" t="s">
        <v>8691</v>
      </c>
      <c r="D4172" t="s">
        <v>1763</v>
      </c>
      <c r="E4172">
        <v>-257167492</v>
      </c>
      <c r="F4172">
        <v>-214526482</v>
      </c>
      <c r="G4172">
        <v>-112828664</v>
      </c>
      <c r="H4172">
        <v>-196108800</v>
      </c>
      <c r="I4172">
        <v>-361238196</v>
      </c>
      <c r="J4172">
        <v>-324049430</v>
      </c>
      <c r="K4172">
        <v>-22168176</v>
      </c>
      <c r="L4172">
        <v>-116079276</v>
      </c>
      <c r="M4172">
        <v>-370095698</v>
      </c>
      <c r="N4172">
        <v>-62476348</v>
      </c>
      <c r="O4172">
        <v>-10857792</v>
      </c>
      <c r="P4172">
        <v>114</v>
      </c>
      <c r="Q4172" t="s">
        <v>8692</v>
      </c>
    </row>
    <row r="4173" spans="1:17" x14ac:dyDescent="0.3">
      <c r="A4173" t="s">
        <v>17</v>
      </c>
      <c r="B4173" t="str">
        <f>"688676"</f>
        <v>688676</v>
      </c>
      <c r="C4173" t="s">
        <v>8693</v>
      </c>
      <c r="D4173" t="s">
        <v>298</v>
      </c>
      <c r="E4173">
        <v>-257825590</v>
      </c>
      <c r="F4173">
        <v>-128031211</v>
      </c>
      <c r="G4173">
        <v>-83284940</v>
      </c>
      <c r="P4173">
        <v>42</v>
      </c>
      <c r="Q4173" t="s">
        <v>8694</v>
      </c>
    </row>
    <row r="4174" spans="1:17" x14ac:dyDescent="0.3">
      <c r="A4174" t="s">
        <v>33</v>
      </c>
      <c r="B4174" t="str">
        <f>"000038"</f>
        <v>000038</v>
      </c>
      <c r="C4174" t="s">
        <v>8695</v>
      </c>
      <c r="D4174" t="s">
        <v>523</v>
      </c>
      <c r="E4174">
        <v>-258400076</v>
      </c>
      <c r="F4174">
        <v>-167924040</v>
      </c>
      <c r="G4174">
        <v>31852407</v>
      </c>
      <c r="H4174">
        <v>-60177199</v>
      </c>
      <c r="I4174">
        <v>11732061</v>
      </c>
      <c r="J4174">
        <v>-2859953</v>
      </c>
      <c r="K4174">
        <v>124702987</v>
      </c>
      <c r="L4174">
        <v>4636967</v>
      </c>
      <c r="M4174">
        <v>9172636</v>
      </c>
      <c r="N4174">
        <v>-2028759</v>
      </c>
      <c r="O4174">
        <v>-1843278</v>
      </c>
      <c r="P4174">
        <v>113</v>
      </c>
      <c r="Q4174" t="s">
        <v>8696</v>
      </c>
    </row>
    <row r="4175" spans="1:17" x14ac:dyDescent="0.3">
      <c r="A4175" t="s">
        <v>17</v>
      </c>
      <c r="B4175" t="str">
        <f>"600446"</f>
        <v>600446</v>
      </c>
      <c r="C4175" t="s">
        <v>8697</v>
      </c>
      <c r="D4175" t="s">
        <v>508</v>
      </c>
      <c r="E4175">
        <v>-258512330</v>
      </c>
      <c r="F4175">
        <v>21791412</v>
      </c>
      <c r="G4175">
        <v>-47544985</v>
      </c>
      <c r="H4175">
        <v>-233962589</v>
      </c>
      <c r="I4175">
        <v>-140534183</v>
      </c>
      <c r="J4175">
        <v>-223986671</v>
      </c>
      <c r="K4175">
        <v>-14682556</v>
      </c>
      <c r="L4175">
        <v>-15870982</v>
      </c>
      <c r="M4175">
        <v>-24018421</v>
      </c>
      <c r="N4175">
        <v>-28159871</v>
      </c>
      <c r="O4175">
        <v>-47046322</v>
      </c>
      <c r="P4175">
        <v>334</v>
      </c>
      <c r="Q4175" t="s">
        <v>8698</v>
      </c>
    </row>
    <row r="4176" spans="1:17" x14ac:dyDescent="0.3">
      <c r="A4176" t="s">
        <v>33</v>
      </c>
      <c r="B4176" t="str">
        <f>"002419"</f>
        <v>002419</v>
      </c>
      <c r="C4176" t="s">
        <v>8699</v>
      </c>
      <c r="D4176" t="s">
        <v>989</v>
      </c>
      <c r="E4176">
        <v>-258996601</v>
      </c>
      <c r="F4176">
        <v>346128649</v>
      </c>
      <c r="G4176">
        <v>-1446627811</v>
      </c>
      <c r="H4176">
        <v>-430399085</v>
      </c>
      <c r="I4176">
        <v>-10953502</v>
      </c>
      <c r="J4176">
        <v>-652369541</v>
      </c>
      <c r="K4176">
        <v>-272040576</v>
      </c>
      <c r="L4176">
        <v>-17357731</v>
      </c>
      <c r="M4176">
        <v>-336845773</v>
      </c>
      <c r="N4176">
        <v>-76812256</v>
      </c>
      <c r="O4176">
        <v>-651899901</v>
      </c>
      <c r="P4176">
        <v>421</v>
      </c>
      <c r="Q4176" t="s">
        <v>8700</v>
      </c>
    </row>
    <row r="4177" spans="1:17" x14ac:dyDescent="0.3">
      <c r="A4177" t="s">
        <v>33</v>
      </c>
      <c r="B4177" t="str">
        <f>"002481"</f>
        <v>002481</v>
      </c>
      <c r="C4177" t="s">
        <v>8701</v>
      </c>
      <c r="D4177" t="s">
        <v>1820</v>
      </c>
      <c r="E4177">
        <v>-259457922</v>
      </c>
      <c r="F4177">
        <v>119444896</v>
      </c>
      <c r="G4177">
        <v>22656962</v>
      </c>
      <c r="H4177">
        <v>47695974</v>
      </c>
      <c r="I4177">
        <v>-164380419</v>
      </c>
      <c r="J4177">
        <v>-75255829</v>
      </c>
      <c r="K4177">
        <v>21230257</v>
      </c>
      <c r="L4177">
        <v>92950181</v>
      </c>
      <c r="M4177">
        <v>66567319</v>
      </c>
      <c r="N4177">
        <v>58590601</v>
      </c>
      <c r="O4177">
        <v>44819458</v>
      </c>
      <c r="P4177">
        <v>331</v>
      </c>
      <c r="Q4177" t="s">
        <v>8702</v>
      </c>
    </row>
    <row r="4178" spans="1:17" x14ac:dyDescent="0.3">
      <c r="A4178" t="s">
        <v>33</v>
      </c>
      <c r="B4178" t="str">
        <f>"000963"</f>
        <v>000963</v>
      </c>
      <c r="C4178" t="s">
        <v>8703</v>
      </c>
      <c r="D4178" t="s">
        <v>590</v>
      </c>
      <c r="E4178">
        <v>-260603628</v>
      </c>
      <c r="F4178">
        <v>302314164</v>
      </c>
      <c r="G4178">
        <v>218779624</v>
      </c>
      <c r="H4178">
        <v>-433890842</v>
      </c>
      <c r="I4178">
        <v>-557420306</v>
      </c>
      <c r="J4178">
        <v>-881508812</v>
      </c>
      <c r="K4178">
        <v>-619505186</v>
      </c>
      <c r="L4178">
        <v>-348393881</v>
      </c>
      <c r="M4178">
        <v>-464830345</v>
      </c>
      <c r="N4178">
        <v>-391033558</v>
      </c>
      <c r="O4178">
        <v>-277055139</v>
      </c>
      <c r="P4178">
        <v>59262</v>
      </c>
      <c r="Q4178" t="s">
        <v>8704</v>
      </c>
    </row>
    <row r="4179" spans="1:17" x14ac:dyDescent="0.3">
      <c r="A4179" t="s">
        <v>17</v>
      </c>
      <c r="B4179" t="str">
        <f>"688062"</f>
        <v>688062</v>
      </c>
      <c r="C4179" t="s">
        <v>8705</v>
      </c>
      <c r="D4179" t="s">
        <v>590</v>
      </c>
      <c r="E4179">
        <v>-260821428</v>
      </c>
      <c r="P4179">
        <v>14</v>
      </c>
      <c r="Q4179" t="s">
        <v>8706</v>
      </c>
    </row>
    <row r="4180" spans="1:17" x14ac:dyDescent="0.3">
      <c r="A4180" t="s">
        <v>17</v>
      </c>
      <c r="B4180" t="str">
        <f>"600195"</f>
        <v>600195</v>
      </c>
      <c r="C4180" t="s">
        <v>8707</v>
      </c>
      <c r="D4180" t="s">
        <v>2035</v>
      </c>
      <c r="E4180">
        <v>-261001756</v>
      </c>
      <c r="F4180">
        <v>-225566084</v>
      </c>
      <c r="G4180">
        <v>100479585</v>
      </c>
      <c r="H4180">
        <v>-254781179</v>
      </c>
      <c r="I4180">
        <v>-194980158</v>
      </c>
      <c r="J4180">
        <v>-267824810</v>
      </c>
      <c r="K4180">
        <v>-272605618</v>
      </c>
      <c r="L4180">
        <v>35242064</v>
      </c>
      <c r="M4180">
        <v>-265747595</v>
      </c>
      <c r="N4180">
        <v>-145753152</v>
      </c>
      <c r="O4180">
        <v>-291878617</v>
      </c>
      <c r="P4180">
        <v>371</v>
      </c>
      <c r="Q4180" t="s">
        <v>8708</v>
      </c>
    </row>
    <row r="4181" spans="1:17" x14ac:dyDescent="0.3">
      <c r="A4181" t="s">
        <v>17</v>
      </c>
      <c r="B4181" t="str">
        <f>"605365"</f>
        <v>605365</v>
      </c>
      <c r="C4181" t="s">
        <v>8709</v>
      </c>
      <c r="D4181" t="s">
        <v>1955</v>
      </c>
      <c r="E4181">
        <v>-262089336</v>
      </c>
      <c r="F4181">
        <v>-101801765</v>
      </c>
      <c r="G4181">
        <v>84602781</v>
      </c>
      <c r="P4181">
        <v>28</v>
      </c>
      <c r="Q4181" t="s">
        <v>8710</v>
      </c>
    </row>
    <row r="4182" spans="1:17" x14ac:dyDescent="0.3">
      <c r="A4182" t="s">
        <v>33</v>
      </c>
      <c r="B4182" t="str">
        <f>"000821"</f>
        <v>000821</v>
      </c>
      <c r="C4182" t="s">
        <v>8711</v>
      </c>
      <c r="D4182" t="s">
        <v>2269</v>
      </c>
      <c r="E4182">
        <v>-262639433</v>
      </c>
      <c r="F4182">
        <v>-143074635</v>
      </c>
      <c r="G4182">
        <v>-85553427</v>
      </c>
      <c r="H4182">
        <v>-150969155</v>
      </c>
      <c r="I4182">
        <v>-54708311</v>
      </c>
      <c r="J4182">
        <v>1964484</v>
      </c>
      <c r="K4182">
        <v>-25584611</v>
      </c>
      <c r="L4182">
        <v>14653634</v>
      </c>
      <c r="M4182">
        <v>15825495</v>
      </c>
      <c r="N4182">
        <v>-5510863</v>
      </c>
      <c r="O4182">
        <v>10480876</v>
      </c>
      <c r="P4182">
        <v>166</v>
      </c>
      <c r="Q4182" t="s">
        <v>8712</v>
      </c>
    </row>
    <row r="4183" spans="1:17" x14ac:dyDescent="0.3">
      <c r="A4183" t="s">
        <v>17</v>
      </c>
      <c r="B4183" t="str">
        <f>"600662"</f>
        <v>600662</v>
      </c>
      <c r="C4183" t="s">
        <v>8713</v>
      </c>
      <c r="D4183" t="s">
        <v>1216</v>
      </c>
      <c r="E4183">
        <v>-263414666</v>
      </c>
      <c r="F4183">
        <v>70546426</v>
      </c>
      <c r="G4183">
        <v>28092244</v>
      </c>
      <c r="H4183">
        <v>37587223</v>
      </c>
      <c r="I4183">
        <v>41472254</v>
      </c>
      <c r="J4183">
        <v>-34865666</v>
      </c>
      <c r="K4183">
        <v>108726495</v>
      </c>
      <c r="L4183">
        <v>53791981</v>
      </c>
      <c r="M4183">
        <v>27420709</v>
      </c>
      <c r="N4183">
        <v>76579925</v>
      </c>
      <c r="O4183">
        <v>23884138</v>
      </c>
      <c r="P4183">
        <v>130</v>
      </c>
      <c r="Q4183" t="s">
        <v>8714</v>
      </c>
    </row>
    <row r="4184" spans="1:17" x14ac:dyDescent="0.3">
      <c r="A4184" t="s">
        <v>33</v>
      </c>
      <c r="B4184" t="str">
        <f>"300348"</f>
        <v>300348</v>
      </c>
      <c r="C4184" t="s">
        <v>8715</v>
      </c>
      <c r="D4184" t="s">
        <v>807</v>
      </c>
      <c r="E4184">
        <v>-263416222</v>
      </c>
      <c r="F4184">
        <v>-114030003</v>
      </c>
      <c r="G4184">
        <v>-182082802</v>
      </c>
      <c r="H4184">
        <v>-131980639</v>
      </c>
      <c r="I4184">
        <v>-115442102</v>
      </c>
      <c r="J4184">
        <v>-99512598</v>
      </c>
      <c r="K4184">
        <v>-86859068</v>
      </c>
      <c r="L4184">
        <v>-36756563</v>
      </c>
      <c r="M4184">
        <v>-32877974</v>
      </c>
      <c r="N4184">
        <v>-38677348</v>
      </c>
      <c r="O4184">
        <v>-31075699</v>
      </c>
      <c r="P4184">
        <v>364</v>
      </c>
      <c r="Q4184" t="s">
        <v>8716</v>
      </c>
    </row>
    <row r="4185" spans="1:17" x14ac:dyDescent="0.3">
      <c r="A4185" t="s">
        <v>33</v>
      </c>
      <c r="B4185" t="str">
        <f>"300541"</f>
        <v>300541</v>
      </c>
      <c r="C4185" t="s">
        <v>8717</v>
      </c>
      <c r="D4185" t="s">
        <v>508</v>
      </c>
      <c r="E4185">
        <v>-264083065</v>
      </c>
      <c r="F4185">
        <v>-508621435</v>
      </c>
      <c r="G4185">
        <v>173832933</v>
      </c>
      <c r="H4185">
        <v>-301398256</v>
      </c>
      <c r="I4185">
        <v>-157730979</v>
      </c>
      <c r="J4185">
        <v>-219491909</v>
      </c>
      <c r="K4185">
        <v>-315845466</v>
      </c>
      <c r="P4185">
        <v>177</v>
      </c>
      <c r="Q4185" t="s">
        <v>8718</v>
      </c>
    </row>
    <row r="4186" spans="1:17" x14ac:dyDescent="0.3">
      <c r="A4186" t="s">
        <v>17</v>
      </c>
      <c r="B4186" t="str">
        <f>"600168"</f>
        <v>600168</v>
      </c>
      <c r="C4186" t="s">
        <v>8719</v>
      </c>
      <c r="D4186" t="s">
        <v>932</v>
      </c>
      <c r="E4186">
        <v>-264718170</v>
      </c>
      <c r="F4186">
        <v>-11719532</v>
      </c>
      <c r="G4186">
        <v>-94011878</v>
      </c>
      <c r="H4186">
        <v>57926837</v>
      </c>
      <c r="I4186">
        <v>25414017</v>
      </c>
      <c r="J4186">
        <v>34227600</v>
      </c>
      <c r="K4186">
        <v>18567320</v>
      </c>
      <c r="L4186">
        <v>143439227</v>
      </c>
      <c r="M4186">
        <v>120803845</v>
      </c>
      <c r="N4186">
        <v>27775213</v>
      </c>
      <c r="O4186">
        <v>163630</v>
      </c>
      <c r="P4186">
        <v>168</v>
      </c>
      <c r="Q4186" t="s">
        <v>8720</v>
      </c>
    </row>
    <row r="4187" spans="1:17" x14ac:dyDescent="0.3">
      <c r="A4187" t="s">
        <v>33</v>
      </c>
      <c r="B4187" t="str">
        <f>"002745"</f>
        <v>002745</v>
      </c>
      <c r="C4187" t="s">
        <v>8721</v>
      </c>
      <c r="D4187" t="s">
        <v>1299</v>
      </c>
      <c r="E4187">
        <v>-265427695</v>
      </c>
      <c r="F4187">
        <v>765133589</v>
      </c>
      <c r="G4187">
        <v>352481015</v>
      </c>
      <c r="H4187">
        <v>-104459124</v>
      </c>
      <c r="I4187">
        <v>174242164</v>
      </c>
      <c r="J4187">
        <v>5236319</v>
      </c>
      <c r="K4187">
        <v>49488515</v>
      </c>
      <c r="L4187">
        <v>-79731463</v>
      </c>
      <c r="M4187">
        <v>18352463</v>
      </c>
      <c r="P4187">
        <v>324</v>
      </c>
      <c r="Q4187" t="s">
        <v>8722</v>
      </c>
    </row>
    <row r="4188" spans="1:17" x14ac:dyDescent="0.3">
      <c r="A4188" t="s">
        <v>33</v>
      </c>
      <c r="B4188" t="str">
        <f>"002063"</f>
        <v>002063</v>
      </c>
      <c r="C4188" t="s">
        <v>8723</v>
      </c>
      <c r="D4188" t="s">
        <v>807</v>
      </c>
      <c r="E4188">
        <v>-266114272</v>
      </c>
      <c r="F4188">
        <v>-244430397</v>
      </c>
      <c r="G4188">
        <v>-199910213</v>
      </c>
      <c r="H4188">
        <v>-298204712</v>
      </c>
      <c r="I4188">
        <v>-248907933</v>
      </c>
      <c r="J4188">
        <v>-225369616</v>
      </c>
      <c r="K4188">
        <v>-221215799</v>
      </c>
      <c r="L4188">
        <v>-99910812</v>
      </c>
      <c r="M4188">
        <v>-106529859</v>
      </c>
      <c r="N4188">
        <v>-101020260</v>
      </c>
      <c r="O4188">
        <v>-77908302</v>
      </c>
      <c r="P4188">
        <v>489</v>
      </c>
      <c r="Q4188" t="s">
        <v>8724</v>
      </c>
    </row>
    <row r="4189" spans="1:17" x14ac:dyDescent="0.3">
      <c r="A4189" t="s">
        <v>33</v>
      </c>
      <c r="B4189" t="str">
        <f>"002774"</f>
        <v>002774</v>
      </c>
      <c r="C4189" t="s">
        <v>8725</v>
      </c>
      <c r="D4189" t="s">
        <v>2528</v>
      </c>
      <c r="E4189">
        <v>-266990682</v>
      </c>
      <c r="F4189">
        <v>-19874868</v>
      </c>
      <c r="G4189">
        <v>-77486008</v>
      </c>
      <c r="H4189">
        <v>-50664050</v>
      </c>
      <c r="I4189">
        <v>-29689403</v>
      </c>
      <c r="J4189">
        <v>23261180</v>
      </c>
      <c r="K4189">
        <v>-18112613</v>
      </c>
      <c r="P4189">
        <v>77</v>
      </c>
      <c r="Q4189" t="s">
        <v>8726</v>
      </c>
    </row>
    <row r="4190" spans="1:17" x14ac:dyDescent="0.3">
      <c r="A4190" t="s">
        <v>17</v>
      </c>
      <c r="B4190" t="str">
        <f>"601858"</f>
        <v>601858</v>
      </c>
      <c r="C4190" t="s">
        <v>8727</v>
      </c>
      <c r="D4190" t="s">
        <v>1501</v>
      </c>
      <c r="E4190">
        <v>-267118999</v>
      </c>
      <c r="F4190">
        <v>-279134652</v>
      </c>
      <c r="G4190">
        <v>-916525152</v>
      </c>
      <c r="H4190">
        <v>-1900739723</v>
      </c>
      <c r="I4190">
        <v>-1396808903</v>
      </c>
      <c r="J4190">
        <v>-181896963</v>
      </c>
      <c r="K4190">
        <v>-180604168</v>
      </c>
      <c r="P4190">
        <v>178</v>
      </c>
      <c r="Q4190" t="s">
        <v>8728</v>
      </c>
    </row>
    <row r="4191" spans="1:17" x14ac:dyDescent="0.3">
      <c r="A4191" t="s">
        <v>33</v>
      </c>
      <c r="B4191" t="str">
        <f>"002325"</f>
        <v>002325</v>
      </c>
      <c r="C4191" t="s">
        <v>8729</v>
      </c>
      <c r="D4191" t="s">
        <v>1779</v>
      </c>
      <c r="E4191">
        <v>-267657974</v>
      </c>
      <c r="F4191">
        <v>-319610887</v>
      </c>
      <c r="G4191">
        <v>-31535913</v>
      </c>
      <c r="H4191">
        <v>161306404</v>
      </c>
      <c r="I4191">
        <v>282890928</v>
      </c>
      <c r="J4191">
        <v>-286815525</v>
      </c>
      <c r="K4191">
        <v>-230880604</v>
      </c>
      <c r="L4191">
        <v>8005526</v>
      </c>
      <c r="M4191">
        <v>-99105950</v>
      </c>
      <c r="N4191">
        <v>-120609105</v>
      </c>
      <c r="O4191">
        <v>-125162648</v>
      </c>
      <c r="P4191">
        <v>171</v>
      </c>
      <c r="Q4191" t="s">
        <v>8730</v>
      </c>
    </row>
    <row r="4192" spans="1:17" x14ac:dyDescent="0.3">
      <c r="A4192" t="s">
        <v>33</v>
      </c>
      <c r="B4192" t="str">
        <f>"200028"</f>
        <v>200028</v>
      </c>
      <c r="C4192" t="s">
        <v>8731</v>
      </c>
      <c r="E4192">
        <v>-268336043.18200001</v>
      </c>
      <c r="F4192">
        <v>-363344189.31550002</v>
      </c>
      <c r="G4192">
        <v>-752214489.57210004</v>
      </c>
      <c r="H4192">
        <v>-887776371.22319996</v>
      </c>
      <c r="I4192">
        <v>-1081327720.645</v>
      </c>
      <c r="J4192">
        <v>-566653427.98319995</v>
      </c>
      <c r="K4192">
        <v>-120684359.1058</v>
      </c>
      <c r="L4192">
        <v>227724508.75</v>
      </c>
      <c r="M4192">
        <v>-531422864.43440002</v>
      </c>
      <c r="N4192">
        <v>137215710.72299999</v>
      </c>
      <c r="O4192">
        <v>-334682483.12099999</v>
      </c>
      <c r="P4192">
        <v>209</v>
      </c>
      <c r="Q4192" t="s">
        <v>8732</v>
      </c>
    </row>
    <row r="4193" spans="1:17" x14ac:dyDescent="0.3">
      <c r="A4193" t="s">
        <v>17</v>
      </c>
      <c r="B4193" t="str">
        <f>"600110"</f>
        <v>600110</v>
      </c>
      <c r="C4193" t="s">
        <v>8733</v>
      </c>
      <c r="D4193" t="s">
        <v>153</v>
      </c>
      <c r="E4193">
        <v>-268344294</v>
      </c>
      <c r="F4193">
        <v>-216585106</v>
      </c>
      <c r="G4193">
        <v>1052413</v>
      </c>
      <c r="H4193">
        <v>-113254914</v>
      </c>
      <c r="I4193">
        <v>336157945</v>
      </c>
      <c r="J4193">
        <v>30873757</v>
      </c>
      <c r="K4193">
        <v>-393254092</v>
      </c>
      <c r="L4193">
        <v>258955715</v>
      </c>
      <c r="M4193">
        <v>-238522908</v>
      </c>
      <c r="N4193">
        <v>-276177862</v>
      </c>
      <c r="O4193">
        <v>157386134</v>
      </c>
      <c r="P4193">
        <v>339</v>
      </c>
      <c r="Q4193" t="s">
        <v>8734</v>
      </c>
    </row>
    <row r="4194" spans="1:17" x14ac:dyDescent="0.3">
      <c r="A4194" t="s">
        <v>17</v>
      </c>
      <c r="B4194" t="str">
        <f>"603611"</f>
        <v>603611</v>
      </c>
      <c r="C4194" t="s">
        <v>8735</v>
      </c>
      <c r="D4194" t="s">
        <v>320</v>
      </c>
      <c r="E4194">
        <v>-268580083</v>
      </c>
      <c r="F4194">
        <v>-71253738</v>
      </c>
      <c r="G4194">
        <v>-69518673</v>
      </c>
      <c r="H4194">
        <v>-54686560</v>
      </c>
      <c r="I4194">
        <v>-83122172</v>
      </c>
      <c r="J4194">
        <v>-29857569</v>
      </c>
      <c r="K4194">
        <v>1085652</v>
      </c>
      <c r="L4194">
        <v>-31343083</v>
      </c>
      <c r="M4194">
        <v>16272057</v>
      </c>
      <c r="P4194">
        <v>315</v>
      </c>
      <c r="Q4194" t="s">
        <v>8736</v>
      </c>
    </row>
    <row r="4195" spans="1:17" x14ac:dyDescent="0.3">
      <c r="A4195" t="s">
        <v>33</v>
      </c>
      <c r="B4195" t="str">
        <f>"300024"</f>
        <v>300024</v>
      </c>
      <c r="C4195" t="s">
        <v>1142</v>
      </c>
      <c r="D4195" t="s">
        <v>1142</v>
      </c>
      <c r="E4195">
        <v>-268667560</v>
      </c>
      <c r="F4195">
        <v>-370000608</v>
      </c>
      <c r="G4195">
        <v>-142963588</v>
      </c>
      <c r="H4195">
        <v>-370379763</v>
      </c>
      <c r="I4195">
        <v>-317497081</v>
      </c>
      <c r="J4195">
        <v>-287590726</v>
      </c>
      <c r="K4195">
        <v>-157429394</v>
      </c>
      <c r="L4195">
        <v>-191537089</v>
      </c>
      <c r="M4195">
        <v>-101500635</v>
      </c>
      <c r="N4195">
        <v>-105967923</v>
      </c>
      <c r="O4195">
        <v>-81496380</v>
      </c>
      <c r="P4195">
        <v>547</v>
      </c>
      <c r="Q4195" t="s">
        <v>8737</v>
      </c>
    </row>
    <row r="4196" spans="1:17" x14ac:dyDescent="0.3">
      <c r="A4196" t="s">
        <v>17</v>
      </c>
      <c r="B4196" t="str">
        <f>"600336"</f>
        <v>600336</v>
      </c>
      <c r="C4196" t="s">
        <v>8738</v>
      </c>
      <c r="D4196" t="s">
        <v>474</v>
      </c>
      <c r="E4196">
        <v>-272442729</v>
      </c>
      <c r="F4196">
        <v>189586309</v>
      </c>
      <c r="G4196">
        <v>195591581</v>
      </c>
      <c r="H4196">
        <v>388161815</v>
      </c>
      <c r="I4196">
        <v>-345788373</v>
      </c>
      <c r="J4196">
        <v>-47847772</v>
      </c>
      <c r="K4196">
        <v>-20352609</v>
      </c>
      <c r="L4196">
        <v>-29504010</v>
      </c>
      <c r="M4196">
        <v>-152924368</v>
      </c>
      <c r="N4196">
        <v>40173551</v>
      </c>
      <c r="O4196">
        <v>-68404855</v>
      </c>
      <c r="P4196">
        <v>223</v>
      </c>
      <c r="Q4196" t="s">
        <v>8739</v>
      </c>
    </row>
    <row r="4197" spans="1:17" x14ac:dyDescent="0.3">
      <c r="A4197" t="s">
        <v>33</v>
      </c>
      <c r="B4197" t="str">
        <f>"002212"</f>
        <v>002212</v>
      </c>
      <c r="C4197" t="s">
        <v>8740</v>
      </c>
      <c r="D4197" t="s">
        <v>1713</v>
      </c>
      <c r="E4197">
        <v>-272460711</v>
      </c>
      <c r="F4197">
        <v>-212909079</v>
      </c>
      <c r="G4197">
        <v>-44404844</v>
      </c>
      <c r="H4197">
        <v>-18155440</v>
      </c>
      <c r="I4197">
        <v>-90202440</v>
      </c>
      <c r="J4197">
        <v>-229461709</v>
      </c>
      <c r="K4197">
        <v>32995756</v>
      </c>
      <c r="L4197">
        <v>45387090</v>
      </c>
      <c r="M4197">
        <v>53463445</v>
      </c>
      <c r="N4197">
        <v>71011886</v>
      </c>
      <c r="O4197">
        <v>110150674</v>
      </c>
      <c r="P4197">
        <v>249</v>
      </c>
      <c r="Q4197" t="s">
        <v>8741</v>
      </c>
    </row>
    <row r="4198" spans="1:17" x14ac:dyDescent="0.3">
      <c r="A4198" t="s">
        <v>33</v>
      </c>
      <c r="B4198" t="str">
        <f>"300525"</f>
        <v>300525</v>
      </c>
      <c r="C4198" t="s">
        <v>8742</v>
      </c>
      <c r="D4198" t="s">
        <v>807</v>
      </c>
      <c r="E4198">
        <v>-272727742</v>
      </c>
      <c r="F4198">
        <v>-214315367</v>
      </c>
      <c r="G4198">
        <v>-218429494</v>
      </c>
      <c r="H4198">
        <v>-115802529</v>
      </c>
      <c r="I4198">
        <v>-67079018</v>
      </c>
      <c r="J4198">
        <v>-34114562</v>
      </c>
      <c r="K4198">
        <v>-25852458</v>
      </c>
      <c r="P4198">
        <v>241</v>
      </c>
      <c r="Q4198" t="s">
        <v>8743</v>
      </c>
    </row>
    <row r="4199" spans="1:17" x14ac:dyDescent="0.3">
      <c r="A4199" t="s">
        <v>33</v>
      </c>
      <c r="B4199" t="str">
        <f>"301126"</f>
        <v>301126</v>
      </c>
      <c r="C4199" t="s">
        <v>8744</v>
      </c>
      <c r="D4199" t="s">
        <v>415</v>
      </c>
      <c r="E4199">
        <v>-273388666</v>
      </c>
      <c r="P4199">
        <v>14</v>
      </c>
      <c r="Q4199" t="s">
        <v>8745</v>
      </c>
    </row>
    <row r="4200" spans="1:17" x14ac:dyDescent="0.3">
      <c r="A4200" t="s">
        <v>33</v>
      </c>
      <c r="B4200" t="str">
        <f>"000738"</f>
        <v>000738</v>
      </c>
      <c r="C4200" t="s">
        <v>8746</v>
      </c>
      <c r="D4200" t="s">
        <v>2262</v>
      </c>
      <c r="E4200">
        <v>-273754265</v>
      </c>
      <c r="F4200">
        <v>-232248239</v>
      </c>
      <c r="G4200">
        <v>-173030224</v>
      </c>
      <c r="H4200">
        <v>-84558407</v>
      </c>
      <c r="I4200">
        <v>-311867231</v>
      </c>
      <c r="J4200">
        <v>-181215146</v>
      </c>
      <c r="K4200">
        <v>-130397734</v>
      </c>
      <c r="L4200">
        <v>-139044681</v>
      </c>
      <c r="M4200">
        <v>-207711165</v>
      </c>
      <c r="N4200">
        <v>-44631970</v>
      </c>
      <c r="O4200">
        <v>-73417141</v>
      </c>
      <c r="P4200">
        <v>324</v>
      </c>
      <c r="Q4200" t="s">
        <v>8747</v>
      </c>
    </row>
    <row r="4201" spans="1:17" x14ac:dyDescent="0.3">
      <c r="A4201" t="s">
        <v>17</v>
      </c>
      <c r="B4201" t="str">
        <f>"688012"</f>
        <v>688012</v>
      </c>
      <c r="C4201" t="s">
        <v>8748</v>
      </c>
      <c r="D4201" t="s">
        <v>2201</v>
      </c>
      <c r="E4201">
        <v>-273934107</v>
      </c>
      <c r="F4201">
        <v>-77394097</v>
      </c>
      <c r="G4201">
        <v>248652463</v>
      </c>
      <c r="H4201">
        <v>-228786493</v>
      </c>
      <c r="I4201">
        <v>19665734</v>
      </c>
      <c r="P4201">
        <v>620</v>
      </c>
      <c r="Q4201" t="s">
        <v>8749</v>
      </c>
    </row>
    <row r="4202" spans="1:17" x14ac:dyDescent="0.3">
      <c r="A4202" t="s">
        <v>17</v>
      </c>
      <c r="B4202" t="str">
        <f>"603176"</f>
        <v>603176</v>
      </c>
      <c r="C4202" t="s">
        <v>8750</v>
      </c>
      <c r="D4202" t="s">
        <v>1527</v>
      </c>
      <c r="E4202">
        <v>-274344169</v>
      </c>
      <c r="P4202">
        <v>17</v>
      </c>
      <c r="Q4202" t="s">
        <v>8751</v>
      </c>
    </row>
    <row r="4203" spans="1:17" x14ac:dyDescent="0.3">
      <c r="A4203" t="s">
        <v>33</v>
      </c>
      <c r="B4203" t="str">
        <f>"002542"</f>
        <v>002542</v>
      </c>
      <c r="C4203" t="s">
        <v>8752</v>
      </c>
      <c r="D4203" t="s">
        <v>1454</v>
      </c>
      <c r="E4203">
        <v>-274801138</v>
      </c>
      <c r="F4203">
        <v>-402481473</v>
      </c>
      <c r="G4203">
        <v>-97477569</v>
      </c>
      <c r="H4203">
        <v>-60775724</v>
      </c>
      <c r="I4203">
        <v>-48915330</v>
      </c>
      <c r="J4203">
        <v>-83178296</v>
      </c>
      <c r="K4203">
        <v>-157943675</v>
      </c>
      <c r="L4203">
        <v>-19561139</v>
      </c>
      <c r="M4203">
        <v>-13946527</v>
      </c>
      <c r="N4203">
        <v>-6164778</v>
      </c>
      <c r="O4203">
        <v>2594816</v>
      </c>
      <c r="P4203">
        <v>161</v>
      </c>
      <c r="Q4203" t="s">
        <v>8753</v>
      </c>
    </row>
    <row r="4204" spans="1:17" x14ac:dyDescent="0.3">
      <c r="A4204" t="s">
        <v>17</v>
      </c>
      <c r="B4204" t="str">
        <f>"601869"</f>
        <v>601869</v>
      </c>
      <c r="C4204" t="s">
        <v>8754</v>
      </c>
      <c r="D4204" t="s">
        <v>1302</v>
      </c>
      <c r="E4204">
        <v>-277078031</v>
      </c>
      <c r="F4204">
        <v>-372956016</v>
      </c>
      <c r="G4204">
        <v>-274937756</v>
      </c>
      <c r="H4204">
        <v>-378768963</v>
      </c>
      <c r="I4204">
        <v>-265842115</v>
      </c>
      <c r="J4204">
        <v>-216845882</v>
      </c>
      <c r="P4204">
        <v>403</v>
      </c>
      <c r="Q4204" t="s">
        <v>8755</v>
      </c>
    </row>
    <row r="4205" spans="1:17" x14ac:dyDescent="0.3">
      <c r="A4205" t="s">
        <v>33</v>
      </c>
      <c r="B4205" t="str">
        <f>"000632"</f>
        <v>000632</v>
      </c>
      <c r="C4205" t="s">
        <v>8756</v>
      </c>
      <c r="D4205" t="s">
        <v>523</v>
      </c>
      <c r="E4205">
        <v>-279031719</v>
      </c>
      <c r="F4205">
        <v>86836870</v>
      </c>
      <c r="G4205">
        <v>-259907558</v>
      </c>
      <c r="H4205">
        <v>476258190</v>
      </c>
      <c r="I4205">
        <v>383033583</v>
      </c>
      <c r="J4205">
        <v>-150668671</v>
      </c>
      <c r="K4205">
        <v>-277514259</v>
      </c>
      <c r="L4205">
        <v>-134236916</v>
      </c>
      <c r="M4205">
        <v>-255812191</v>
      </c>
      <c r="N4205">
        <v>-75406983</v>
      </c>
      <c r="O4205">
        <v>-77406318</v>
      </c>
      <c r="P4205">
        <v>69</v>
      </c>
      <c r="Q4205" t="s">
        <v>8757</v>
      </c>
    </row>
    <row r="4206" spans="1:17" x14ac:dyDescent="0.3">
      <c r="A4206" t="s">
        <v>33</v>
      </c>
      <c r="B4206" t="str">
        <f>"003040"</f>
        <v>003040</v>
      </c>
      <c r="C4206" t="s">
        <v>8758</v>
      </c>
      <c r="D4206" t="s">
        <v>1347</v>
      </c>
      <c r="E4206">
        <v>-279343920</v>
      </c>
      <c r="F4206">
        <v>-162522872</v>
      </c>
      <c r="G4206">
        <v>-191846241</v>
      </c>
      <c r="P4206">
        <v>61</v>
      </c>
      <c r="Q4206" t="s">
        <v>8759</v>
      </c>
    </row>
    <row r="4207" spans="1:17" x14ac:dyDescent="0.3">
      <c r="A4207" t="s">
        <v>33</v>
      </c>
      <c r="B4207" t="str">
        <f>"002153"</f>
        <v>002153</v>
      </c>
      <c r="C4207" t="s">
        <v>8760</v>
      </c>
      <c r="D4207" t="s">
        <v>807</v>
      </c>
      <c r="E4207">
        <v>-280592028</v>
      </c>
      <c r="F4207">
        <v>-141065669</v>
      </c>
      <c r="G4207">
        <v>-238848254</v>
      </c>
      <c r="H4207">
        <v>-139797218</v>
      </c>
      <c r="I4207">
        <v>-87476561</v>
      </c>
      <c r="J4207">
        <v>-39859737</v>
      </c>
      <c r="K4207">
        <v>-48700891</v>
      </c>
      <c r="L4207">
        <v>-7139253</v>
      </c>
      <c r="M4207">
        <v>91064895</v>
      </c>
      <c r="N4207">
        <v>30216353</v>
      </c>
      <c r="O4207">
        <v>26585998</v>
      </c>
      <c r="P4207">
        <v>679</v>
      </c>
      <c r="Q4207" t="s">
        <v>8761</v>
      </c>
    </row>
    <row r="4208" spans="1:17" x14ac:dyDescent="0.3">
      <c r="A4208" t="s">
        <v>33</v>
      </c>
      <c r="B4208" t="str">
        <f>"002367"</f>
        <v>002367</v>
      </c>
      <c r="C4208" t="s">
        <v>8762</v>
      </c>
      <c r="D4208" t="s">
        <v>2528</v>
      </c>
      <c r="E4208">
        <v>-280827180</v>
      </c>
      <c r="F4208">
        <v>-230807976</v>
      </c>
      <c r="G4208">
        <v>-103673680</v>
      </c>
      <c r="H4208">
        <v>-49014518</v>
      </c>
      <c r="I4208">
        <v>-137800150</v>
      </c>
      <c r="J4208">
        <v>27826648</v>
      </c>
      <c r="K4208">
        <v>63082931</v>
      </c>
      <c r="L4208">
        <v>-194619750</v>
      </c>
      <c r="M4208">
        <v>-63141219</v>
      </c>
      <c r="N4208">
        <v>-130588017</v>
      </c>
      <c r="O4208">
        <v>-117385170</v>
      </c>
      <c r="P4208">
        <v>388</v>
      </c>
      <c r="Q4208" t="s">
        <v>8763</v>
      </c>
    </row>
    <row r="4209" spans="1:17" x14ac:dyDescent="0.3">
      <c r="A4209" t="s">
        <v>17</v>
      </c>
      <c r="B4209" t="str">
        <f>"600449"</f>
        <v>600449</v>
      </c>
      <c r="C4209" t="s">
        <v>8764</v>
      </c>
      <c r="D4209" t="s">
        <v>260</v>
      </c>
      <c r="E4209">
        <v>-282771701</v>
      </c>
      <c r="F4209">
        <v>213801740</v>
      </c>
      <c r="G4209">
        <v>116929320</v>
      </c>
      <c r="H4209">
        <v>167344920</v>
      </c>
      <c r="I4209">
        <v>92384181</v>
      </c>
      <c r="J4209">
        <v>207208254</v>
      </c>
      <c r="K4209">
        <v>37976921</v>
      </c>
      <c r="L4209">
        <v>-6489616</v>
      </c>
      <c r="M4209">
        <v>97549828</v>
      </c>
      <c r="N4209">
        <v>210399465</v>
      </c>
      <c r="O4209">
        <v>15147346</v>
      </c>
      <c r="P4209">
        <v>558</v>
      </c>
      <c r="Q4209" t="s">
        <v>8765</v>
      </c>
    </row>
    <row r="4210" spans="1:17" x14ac:dyDescent="0.3">
      <c r="A4210" t="s">
        <v>33</v>
      </c>
      <c r="B4210" t="str">
        <f>"002572"</f>
        <v>002572</v>
      </c>
      <c r="C4210" t="s">
        <v>8766</v>
      </c>
      <c r="D4210" t="s">
        <v>5122</v>
      </c>
      <c r="E4210">
        <v>-283404977</v>
      </c>
      <c r="F4210">
        <v>-661709174</v>
      </c>
      <c r="G4210">
        <v>-619905381</v>
      </c>
      <c r="H4210">
        <v>-418990588</v>
      </c>
      <c r="I4210">
        <v>-249950604</v>
      </c>
      <c r="J4210">
        <v>-170058456</v>
      </c>
      <c r="K4210">
        <v>-39147617</v>
      </c>
      <c r="L4210">
        <v>29938338</v>
      </c>
      <c r="M4210">
        <v>1687294</v>
      </c>
      <c r="N4210">
        <v>-10399658</v>
      </c>
      <c r="O4210">
        <v>-13228713</v>
      </c>
      <c r="P4210">
        <v>9141</v>
      </c>
      <c r="Q4210" t="s">
        <v>8767</v>
      </c>
    </row>
    <row r="4211" spans="1:17" x14ac:dyDescent="0.3">
      <c r="A4211" t="s">
        <v>17</v>
      </c>
      <c r="B4211" t="str">
        <f>"600496"</f>
        <v>600496</v>
      </c>
      <c r="C4211" t="s">
        <v>8768</v>
      </c>
      <c r="D4211" t="s">
        <v>2307</v>
      </c>
      <c r="E4211">
        <v>-283515361</v>
      </c>
      <c r="F4211">
        <v>-553803996</v>
      </c>
      <c r="G4211">
        <v>252312552</v>
      </c>
      <c r="H4211">
        <v>281054259</v>
      </c>
      <c r="I4211">
        <v>-326942293</v>
      </c>
      <c r="J4211">
        <v>-296929296</v>
      </c>
      <c r="K4211">
        <v>-155872972</v>
      </c>
      <c r="L4211">
        <v>90322511</v>
      </c>
      <c r="M4211">
        <v>68483605</v>
      </c>
      <c r="N4211">
        <v>-153359122</v>
      </c>
      <c r="O4211">
        <v>-17046366</v>
      </c>
      <c r="P4211">
        <v>249</v>
      </c>
      <c r="Q4211" t="s">
        <v>8769</v>
      </c>
    </row>
    <row r="4212" spans="1:17" x14ac:dyDescent="0.3">
      <c r="A4212" t="s">
        <v>33</v>
      </c>
      <c r="B4212" t="str">
        <f>"300925"</f>
        <v>300925</v>
      </c>
      <c r="C4212" t="s">
        <v>8770</v>
      </c>
      <c r="D4212" t="s">
        <v>807</v>
      </c>
      <c r="E4212">
        <v>-284008470</v>
      </c>
      <c r="F4212">
        <v>-151697746</v>
      </c>
      <c r="G4212">
        <v>-124398232</v>
      </c>
      <c r="P4212">
        <v>72</v>
      </c>
      <c r="Q4212" t="s">
        <v>8771</v>
      </c>
    </row>
    <row r="4213" spans="1:17" x14ac:dyDescent="0.3">
      <c r="A4213" t="s">
        <v>33</v>
      </c>
      <c r="B4213" t="str">
        <f>"000957"</f>
        <v>000957</v>
      </c>
      <c r="C4213" t="s">
        <v>8772</v>
      </c>
      <c r="D4213" t="s">
        <v>1122</v>
      </c>
      <c r="E4213">
        <v>-284915314</v>
      </c>
      <c r="F4213">
        <v>-69881126</v>
      </c>
      <c r="G4213">
        <v>802590443</v>
      </c>
      <c r="H4213">
        <v>272600625</v>
      </c>
      <c r="I4213">
        <v>-635731845</v>
      </c>
      <c r="J4213">
        <v>146897200</v>
      </c>
      <c r="K4213">
        <v>76270845</v>
      </c>
      <c r="L4213">
        <v>-461833180</v>
      </c>
      <c r="M4213">
        <v>-248617533</v>
      </c>
      <c r="N4213">
        <v>-66482941</v>
      </c>
      <c r="O4213">
        <v>-16132363</v>
      </c>
      <c r="P4213">
        <v>227</v>
      </c>
      <c r="Q4213" t="s">
        <v>8773</v>
      </c>
    </row>
    <row r="4214" spans="1:17" x14ac:dyDescent="0.3">
      <c r="A4214" t="s">
        <v>33</v>
      </c>
      <c r="B4214" t="str">
        <f>"002180"</f>
        <v>002180</v>
      </c>
      <c r="C4214" t="s">
        <v>8774</v>
      </c>
      <c r="D4214" t="s">
        <v>1277</v>
      </c>
      <c r="E4214">
        <v>-285051795</v>
      </c>
      <c r="F4214">
        <v>-86421161</v>
      </c>
      <c r="G4214">
        <v>-760472216</v>
      </c>
      <c r="H4214">
        <v>-473672587</v>
      </c>
      <c r="I4214">
        <v>-26756853</v>
      </c>
      <c r="J4214">
        <v>-363982314</v>
      </c>
      <c r="K4214">
        <v>80465048</v>
      </c>
      <c r="L4214">
        <v>37484268</v>
      </c>
      <c r="M4214">
        <v>-17041667</v>
      </c>
      <c r="N4214">
        <v>-7144556</v>
      </c>
      <c r="O4214">
        <v>-11221681</v>
      </c>
      <c r="P4214">
        <v>472</v>
      </c>
      <c r="Q4214" t="s">
        <v>8775</v>
      </c>
    </row>
    <row r="4215" spans="1:17" x14ac:dyDescent="0.3">
      <c r="A4215" t="s">
        <v>33</v>
      </c>
      <c r="B4215" t="str">
        <f>"300933"</f>
        <v>300933</v>
      </c>
      <c r="C4215" t="s">
        <v>8776</v>
      </c>
      <c r="D4215" t="s">
        <v>1282</v>
      </c>
      <c r="E4215">
        <v>-285220618</v>
      </c>
      <c r="F4215">
        <v>-248834315</v>
      </c>
      <c r="G4215">
        <v>-205519276</v>
      </c>
      <c r="P4215">
        <v>30</v>
      </c>
      <c r="Q4215" t="s">
        <v>8777</v>
      </c>
    </row>
    <row r="4216" spans="1:17" x14ac:dyDescent="0.3">
      <c r="A4216" t="s">
        <v>33</v>
      </c>
      <c r="B4216" t="str">
        <f>"002841"</f>
        <v>002841</v>
      </c>
      <c r="C4216" t="s">
        <v>8778</v>
      </c>
      <c r="D4216" t="s">
        <v>5834</v>
      </c>
      <c r="E4216">
        <v>-285483043</v>
      </c>
      <c r="F4216">
        <v>163274117</v>
      </c>
      <c r="G4216">
        <v>-560130795</v>
      </c>
      <c r="H4216">
        <v>-103108324</v>
      </c>
      <c r="I4216">
        <v>-126159390</v>
      </c>
      <c r="J4216">
        <v>-319188068</v>
      </c>
      <c r="K4216">
        <v>4744680</v>
      </c>
      <c r="P4216">
        <v>3102</v>
      </c>
      <c r="Q4216" t="s">
        <v>8779</v>
      </c>
    </row>
    <row r="4217" spans="1:17" x14ac:dyDescent="0.3">
      <c r="A4217" t="s">
        <v>33</v>
      </c>
      <c r="B4217" t="str">
        <f>"300223"</f>
        <v>300223</v>
      </c>
      <c r="C4217" t="s">
        <v>8780</v>
      </c>
      <c r="D4217" t="s">
        <v>1277</v>
      </c>
      <c r="E4217">
        <v>-286106357</v>
      </c>
      <c r="F4217">
        <v>189719481</v>
      </c>
      <c r="G4217">
        <v>-43113679</v>
      </c>
      <c r="H4217">
        <v>-11257340</v>
      </c>
      <c r="I4217">
        <v>4192816</v>
      </c>
      <c r="J4217">
        <v>-15098275</v>
      </c>
      <c r="K4217">
        <v>-28948359</v>
      </c>
      <c r="L4217">
        <v>1164940</v>
      </c>
      <c r="M4217">
        <v>3941102</v>
      </c>
      <c r="N4217">
        <v>-788891</v>
      </c>
      <c r="O4217">
        <v>12649152</v>
      </c>
      <c r="P4217">
        <v>612</v>
      </c>
      <c r="Q4217" t="s">
        <v>8781</v>
      </c>
    </row>
    <row r="4218" spans="1:17" x14ac:dyDescent="0.3">
      <c r="A4218" t="s">
        <v>33</v>
      </c>
      <c r="B4218" t="str">
        <f>"002060"</f>
        <v>002060</v>
      </c>
      <c r="C4218" t="s">
        <v>8782</v>
      </c>
      <c r="D4218" t="s">
        <v>1527</v>
      </c>
      <c r="E4218">
        <v>-287503426</v>
      </c>
      <c r="F4218">
        <v>-837104063</v>
      </c>
      <c r="G4218">
        <v>-654725692</v>
      </c>
      <c r="H4218">
        <v>-51235588</v>
      </c>
      <c r="I4218">
        <v>-120664525</v>
      </c>
      <c r="J4218">
        <v>-366728858</v>
      </c>
      <c r="K4218">
        <v>-206949671</v>
      </c>
      <c r="L4218">
        <v>-64976717</v>
      </c>
      <c r="M4218">
        <v>7896835</v>
      </c>
      <c r="N4218">
        <v>-231651861</v>
      </c>
      <c r="O4218">
        <v>-568770814</v>
      </c>
      <c r="P4218">
        <v>169</v>
      </c>
      <c r="Q4218" t="s">
        <v>8783</v>
      </c>
    </row>
    <row r="4219" spans="1:17" x14ac:dyDescent="0.3">
      <c r="A4219" t="s">
        <v>17</v>
      </c>
      <c r="B4219" t="str">
        <f>"603466"</f>
        <v>603466</v>
      </c>
      <c r="C4219" t="s">
        <v>8784</v>
      </c>
      <c r="D4219" t="s">
        <v>8785</v>
      </c>
      <c r="E4219">
        <v>-287827168</v>
      </c>
      <c r="F4219">
        <v>-209278536</v>
      </c>
      <c r="G4219">
        <v>-191676220</v>
      </c>
      <c r="H4219">
        <v>-100675967</v>
      </c>
      <c r="I4219">
        <v>18131423</v>
      </c>
      <c r="J4219">
        <v>30152231</v>
      </c>
      <c r="P4219">
        <v>406</v>
      </c>
      <c r="Q4219" t="s">
        <v>8786</v>
      </c>
    </row>
    <row r="4220" spans="1:17" x14ac:dyDescent="0.3">
      <c r="A4220" t="s">
        <v>33</v>
      </c>
      <c r="B4220" t="str">
        <f>"002705"</f>
        <v>002705</v>
      </c>
      <c r="C4220" t="s">
        <v>8787</v>
      </c>
      <c r="D4220" t="s">
        <v>849</v>
      </c>
      <c r="E4220">
        <v>-287967354</v>
      </c>
      <c r="F4220">
        <v>-141016931</v>
      </c>
      <c r="G4220">
        <v>102430558</v>
      </c>
      <c r="H4220">
        <v>144306430</v>
      </c>
      <c r="I4220">
        <v>107285701</v>
      </c>
      <c r="J4220">
        <v>-185777165</v>
      </c>
      <c r="K4220">
        <v>-83463578</v>
      </c>
      <c r="L4220">
        <v>-26026069</v>
      </c>
      <c r="M4220">
        <v>-199850349</v>
      </c>
      <c r="N4220">
        <v>43057701</v>
      </c>
      <c r="P4220">
        <v>1093</v>
      </c>
      <c r="Q4220" t="s">
        <v>8788</v>
      </c>
    </row>
    <row r="4221" spans="1:17" x14ac:dyDescent="0.3">
      <c r="A4221" t="s">
        <v>17</v>
      </c>
      <c r="B4221" t="str">
        <f>"600551"</f>
        <v>600551</v>
      </c>
      <c r="C4221" t="s">
        <v>8789</v>
      </c>
      <c r="D4221" t="s">
        <v>1501</v>
      </c>
      <c r="E4221">
        <v>-288050402</v>
      </c>
      <c r="F4221">
        <v>-376963353</v>
      </c>
      <c r="G4221">
        <v>-417583868</v>
      </c>
      <c r="H4221">
        <v>-292934721</v>
      </c>
      <c r="I4221">
        <v>-388718953</v>
      </c>
      <c r="J4221">
        <v>-567643287</v>
      </c>
      <c r="K4221">
        <v>-470101319</v>
      </c>
      <c r="L4221">
        <v>-352037589</v>
      </c>
      <c r="M4221">
        <v>-145059574</v>
      </c>
      <c r="N4221">
        <v>-11191107</v>
      </c>
      <c r="O4221">
        <v>-112726136</v>
      </c>
      <c r="P4221">
        <v>134</v>
      </c>
      <c r="Q4221" t="s">
        <v>8790</v>
      </c>
    </row>
    <row r="4222" spans="1:17" x14ac:dyDescent="0.3">
      <c r="A4222" t="s">
        <v>17</v>
      </c>
      <c r="B4222" t="str">
        <f>"600686"</f>
        <v>600686</v>
      </c>
      <c r="C4222" t="s">
        <v>8791</v>
      </c>
      <c r="D4222" t="s">
        <v>1122</v>
      </c>
      <c r="E4222">
        <v>-288268060</v>
      </c>
      <c r="F4222">
        <v>463102474</v>
      </c>
      <c r="G4222">
        <v>63917338</v>
      </c>
      <c r="H4222">
        <v>-91242080</v>
      </c>
      <c r="I4222">
        <v>-666115238</v>
      </c>
      <c r="J4222">
        <v>11050607</v>
      </c>
      <c r="K4222">
        <v>-1469156930</v>
      </c>
      <c r="L4222">
        <v>-940518606</v>
      </c>
      <c r="M4222">
        <v>-1998989454</v>
      </c>
      <c r="N4222">
        <v>-1383793078</v>
      </c>
      <c r="O4222">
        <v>-877097341</v>
      </c>
      <c r="P4222">
        <v>177</v>
      </c>
      <c r="Q4222" t="s">
        <v>8792</v>
      </c>
    </row>
    <row r="4223" spans="1:17" x14ac:dyDescent="0.3">
      <c r="A4223" t="s">
        <v>33</v>
      </c>
      <c r="B4223" t="str">
        <f>"300527"</f>
        <v>300527</v>
      </c>
      <c r="C4223" t="s">
        <v>8793</v>
      </c>
      <c r="D4223" t="s">
        <v>967</v>
      </c>
      <c r="E4223">
        <v>-288511026</v>
      </c>
      <c r="F4223">
        <v>-323082107</v>
      </c>
      <c r="G4223">
        <v>-176886606</v>
      </c>
      <c r="H4223">
        <v>-96486072</v>
      </c>
      <c r="I4223">
        <v>-238310364</v>
      </c>
      <c r="J4223">
        <v>-224540616</v>
      </c>
      <c r="K4223">
        <v>-432567315</v>
      </c>
      <c r="P4223">
        <v>144</v>
      </c>
      <c r="Q4223" t="s">
        <v>8794</v>
      </c>
    </row>
    <row r="4224" spans="1:17" x14ac:dyDescent="0.3">
      <c r="A4224" t="s">
        <v>33</v>
      </c>
      <c r="B4224" t="str">
        <f>"300872"</f>
        <v>300872</v>
      </c>
      <c r="C4224" t="s">
        <v>8795</v>
      </c>
      <c r="D4224" t="s">
        <v>508</v>
      </c>
      <c r="E4224">
        <v>-290080339</v>
      </c>
      <c r="F4224">
        <v>-279559717</v>
      </c>
      <c r="G4224">
        <v>-214457515</v>
      </c>
      <c r="P4224">
        <v>74</v>
      </c>
      <c r="Q4224" t="s">
        <v>8796</v>
      </c>
    </row>
    <row r="4225" spans="1:17" x14ac:dyDescent="0.3">
      <c r="A4225" t="s">
        <v>17</v>
      </c>
      <c r="B4225" t="str">
        <f>"600460"</f>
        <v>600460</v>
      </c>
      <c r="C4225" t="s">
        <v>8797</v>
      </c>
      <c r="D4225" t="s">
        <v>1274</v>
      </c>
      <c r="E4225">
        <v>-290183494</v>
      </c>
      <c r="F4225">
        <v>-35533371</v>
      </c>
      <c r="G4225">
        <v>-93748470</v>
      </c>
      <c r="H4225">
        <v>-10444142</v>
      </c>
      <c r="I4225">
        <v>-63152341</v>
      </c>
      <c r="J4225">
        <v>-25495748</v>
      </c>
      <c r="K4225">
        <v>7158180</v>
      </c>
      <c r="L4225">
        <v>-17506405</v>
      </c>
      <c r="M4225">
        <v>-20388903</v>
      </c>
      <c r="N4225">
        <v>4241612</v>
      </c>
      <c r="O4225">
        <v>37172804</v>
      </c>
      <c r="P4225">
        <v>1167</v>
      </c>
      <c r="Q4225" t="s">
        <v>8798</v>
      </c>
    </row>
    <row r="4226" spans="1:17" x14ac:dyDescent="0.3">
      <c r="A4226" t="s">
        <v>17</v>
      </c>
      <c r="B4226" t="str">
        <f>"600550"</f>
        <v>600550</v>
      </c>
      <c r="C4226" t="s">
        <v>8799</v>
      </c>
      <c r="D4226" t="s">
        <v>298</v>
      </c>
      <c r="E4226">
        <v>-290578394</v>
      </c>
      <c r="F4226">
        <v>-84225975</v>
      </c>
      <c r="G4226">
        <v>-292129921</v>
      </c>
      <c r="H4226">
        <v>-192255293</v>
      </c>
      <c r="I4226">
        <v>31759320</v>
      </c>
      <c r="J4226">
        <v>6331647</v>
      </c>
      <c r="K4226">
        <v>-274360069</v>
      </c>
      <c r="L4226">
        <v>-560166379</v>
      </c>
      <c r="M4226">
        <v>-101876846</v>
      </c>
      <c r="N4226">
        <v>202106530</v>
      </c>
      <c r="O4226">
        <v>-265161490</v>
      </c>
      <c r="P4226">
        <v>183</v>
      </c>
      <c r="Q4226" t="s">
        <v>8800</v>
      </c>
    </row>
    <row r="4227" spans="1:17" x14ac:dyDescent="0.3">
      <c r="A4227" t="s">
        <v>17</v>
      </c>
      <c r="B4227" t="str">
        <f>"600337"</f>
        <v>600337</v>
      </c>
      <c r="C4227" t="s">
        <v>8801</v>
      </c>
      <c r="D4227" t="s">
        <v>664</v>
      </c>
      <c r="E4227">
        <v>-291129447</v>
      </c>
      <c r="F4227">
        <v>99782549</v>
      </c>
      <c r="G4227">
        <v>-121909845</v>
      </c>
      <c r="H4227">
        <v>-296939076</v>
      </c>
      <c r="I4227">
        <v>-172049335</v>
      </c>
      <c r="J4227">
        <v>108254630</v>
      </c>
      <c r="K4227">
        <v>16969875</v>
      </c>
      <c r="L4227">
        <v>19155265</v>
      </c>
      <c r="M4227">
        <v>-60087003</v>
      </c>
      <c r="N4227">
        <v>-104736276</v>
      </c>
      <c r="O4227">
        <v>-184331849</v>
      </c>
      <c r="P4227">
        <v>226</v>
      </c>
      <c r="Q4227" t="s">
        <v>8802</v>
      </c>
    </row>
    <row r="4228" spans="1:17" x14ac:dyDescent="0.3">
      <c r="A4228" t="s">
        <v>17</v>
      </c>
      <c r="B4228" t="str">
        <f>"601162"</f>
        <v>601162</v>
      </c>
      <c r="C4228" t="s">
        <v>8803</v>
      </c>
      <c r="D4228" t="s">
        <v>52</v>
      </c>
      <c r="E4228">
        <v>-292794816</v>
      </c>
      <c r="F4228">
        <v>3167107976</v>
      </c>
      <c r="G4228">
        <v>3029928670</v>
      </c>
      <c r="H4228">
        <v>-602721581</v>
      </c>
      <c r="I4228">
        <v>-540311749</v>
      </c>
      <c r="K4228">
        <v>-1893989763</v>
      </c>
      <c r="L4228">
        <v>-3514530</v>
      </c>
      <c r="M4228">
        <v>20490297</v>
      </c>
      <c r="P4228">
        <v>897</v>
      </c>
      <c r="Q4228" t="s">
        <v>8804</v>
      </c>
    </row>
    <row r="4229" spans="1:17" x14ac:dyDescent="0.3">
      <c r="A4229" t="s">
        <v>17</v>
      </c>
      <c r="B4229" t="str">
        <f>"603801"</f>
        <v>603801</v>
      </c>
      <c r="C4229" t="s">
        <v>8805</v>
      </c>
      <c r="D4229" t="s">
        <v>5122</v>
      </c>
      <c r="E4229">
        <v>-292885858</v>
      </c>
      <c r="F4229">
        <v>-197904839</v>
      </c>
      <c r="G4229">
        <v>-216500677</v>
      </c>
      <c r="H4229">
        <v>-127838690</v>
      </c>
      <c r="I4229">
        <v>-159203734</v>
      </c>
      <c r="J4229">
        <v>-81167858</v>
      </c>
      <c r="K4229">
        <v>-58582777</v>
      </c>
      <c r="P4229">
        <v>768</v>
      </c>
      <c r="Q4229" t="s">
        <v>8806</v>
      </c>
    </row>
    <row r="4230" spans="1:17" x14ac:dyDescent="0.3">
      <c r="A4230" t="s">
        <v>17</v>
      </c>
      <c r="B4230" t="str">
        <f>"688368"</f>
        <v>688368</v>
      </c>
      <c r="C4230" t="s">
        <v>8807</v>
      </c>
      <c r="D4230" t="s">
        <v>1192</v>
      </c>
      <c r="E4230">
        <v>-293729699</v>
      </c>
      <c r="F4230">
        <v>21403659</v>
      </c>
      <c r="G4230">
        <v>-45034404</v>
      </c>
      <c r="H4230">
        <v>5500914</v>
      </c>
      <c r="I4230">
        <v>-12085800</v>
      </c>
      <c r="J4230">
        <v>-18334863</v>
      </c>
      <c r="P4230">
        <v>213</v>
      </c>
      <c r="Q4230" t="s">
        <v>8808</v>
      </c>
    </row>
    <row r="4231" spans="1:17" x14ac:dyDescent="0.3">
      <c r="A4231" t="s">
        <v>33</v>
      </c>
      <c r="B4231" t="str">
        <f>"300170"</f>
        <v>300170</v>
      </c>
      <c r="C4231" t="s">
        <v>8809</v>
      </c>
      <c r="D4231" t="s">
        <v>508</v>
      </c>
      <c r="E4231">
        <v>-295373319</v>
      </c>
      <c r="F4231">
        <v>-156078131</v>
      </c>
      <c r="G4231">
        <v>-153471274</v>
      </c>
      <c r="H4231">
        <v>-293783063</v>
      </c>
      <c r="I4231">
        <v>-203654131</v>
      </c>
      <c r="J4231">
        <v>-286693218</v>
      </c>
      <c r="K4231">
        <v>-225029818</v>
      </c>
      <c r="L4231">
        <v>-83724000</v>
      </c>
      <c r="M4231">
        <v>-73381375</v>
      </c>
      <c r="N4231">
        <v>-23025002</v>
      </c>
      <c r="O4231">
        <v>-44447130</v>
      </c>
      <c r="P4231">
        <v>3198</v>
      </c>
      <c r="Q4231" t="s">
        <v>8810</v>
      </c>
    </row>
    <row r="4232" spans="1:17" x14ac:dyDescent="0.3">
      <c r="A4232" t="s">
        <v>17</v>
      </c>
      <c r="B4232" t="str">
        <f>"603018"</f>
        <v>603018</v>
      </c>
      <c r="C4232" t="s">
        <v>8811</v>
      </c>
      <c r="D4232" t="s">
        <v>4300</v>
      </c>
      <c r="E4232">
        <v>-296019165</v>
      </c>
      <c r="F4232">
        <v>-324456564</v>
      </c>
      <c r="G4232">
        <v>-68932322</v>
      </c>
      <c r="H4232">
        <v>-124907190</v>
      </c>
      <c r="I4232">
        <v>-127006863</v>
      </c>
      <c r="J4232">
        <v>-146590151</v>
      </c>
      <c r="K4232">
        <v>-44544994</v>
      </c>
      <c r="L4232">
        <v>-110923573</v>
      </c>
      <c r="M4232">
        <v>-65755068</v>
      </c>
      <c r="P4232">
        <v>400</v>
      </c>
      <c r="Q4232" t="s">
        <v>8812</v>
      </c>
    </row>
    <row r="4233" spans="1:17" x14ac:dyDescent="0.3">
      <c r="A4233" t="s">
        <v>33</v>
      </c>
      <c r="B4233" t="str">
        <f>"000030"</f>
        <v>000030</v>
      </c>
      <c r="C4233" t="s">
        <v>8813</v>
      </c>
      <c r="D4233" t="s">
        <v>858</v>
      </c>
      <c r="E4233">
        <v>-297504616</v>
      </c>
      <c r="F4233">
        <v>238081330</v>
      </c>
      <c r="G4233">
        <v>162330074</v>
      </c>
      <c r="H4233">
        <v>-140672835</v>
      </c>
      <c r="I4233">
        <v>165332991</v>
      </c>
      <c r="J4233">
        <v>90644806</v>
      </c>
      <c r="K4233">
        <v>40001942</v>
      </c>
      <c r="L4233">
        <v>85639885</v>
      </c>
      <c r="M4233">
        <v>175487434</v>
      </c>
      <c r="N4233">
        <v>-106231201</v>
      </c>
      <c r="O4233">
        <v>-471684</v>
      </c>
      <c r="P4233">
        <v>330</v>
      </c>
      <c r="Q4233" t="s">
        <v>8814</v>
      </c>
    </row>
    <row r="4234" spans="1:17" x14ac:dyDescent="0.3">
      <c r="A4234" t="s">
        <v>17</v>
      </c>
      <c r="B4234" t="str">
        <f>"603737"</f>
        <v>603737</v>
      </c>
      <c r="C4234" t="s">
        <v>8815</v>
      </c>
      <c r="D4234" t="s">
        <v>8816</v>
      </c>
      <c r="E4234">
        <v>-297578969</v>
      </c>
      <c r="F4234">
        <v>-448173910</v>
      </c>
      <c r="G4234">
        <v>-829312270</v>
      </c>
      <c r="H4234">
        <v>-227980101</v>
      </c>
      <c r="I4234">
        <v>-96112765</v>
      </c>
      <c r="J4234">
        <v>-136127826</v>
      </c>
      <c r="K4234">
        <v>-53224139</v>
      </c>
      <c r="L4234">
        <v>-22650256</v>
      </c>
      <c r="P4234">
        <v>1048</v>
      </c>
      <c r="Q4234" t="s">
        <v>8817</v>
      </c>
    </row>
    <row r="4235" spans="1:17" x14ac:dyDescent="0.3">
      <c r="A4235" t="s">
        <v>33</v>
      </c>
      <c r="B4235" t="str">
        <f>"000619"</f>
        <v>000619</v>
      </c>
      <c r="C4235" t="s">
        <v>8818</v>
      </c>
      <c r="D4235" t="s">
        <v>2632</v>
      </c>
      <c r="E4235">
        <v>-297720658</v>
      </c>
      <c r="F4235">
        <v>-32398000</v>
      </c>
      <c r="G4235">
        <v>-117622736</v>
      </c>
      <c r="H4235">
        <v>-164664577</v>
      </c>
      <c r="I4235">
        <v>-92545795</v>
      </c>
      <c r="J4235">
        <v>-122454304</v>
      </c>
      <c r="K4235">
        <v>-6190976</v>
      </c>
      <c r="L4235">
        <v>179188645</v>
      </c>
      <c r="M4235">
        <v>9595841</v>
      </c>
      <c r="N4235">
        <v>57013001</v>
      </c>
      <c r="O4235">
        <v>-78845813</v>
      </c>
      <c r="P4235">
        <v>98</v>
      </c>
      <c r="Q4235" t="s">
        <v>8819</v>
      </c>
    </row>
    <row r="4236" spans="1:17" x14ac:dyDescent="0.3">
      <c r="A4236" t="s">
        <v>33</v>
      </c>
      <c r="B4236" t="str">
        <f>"000572"</f>
        <v>000572</v>
      </c>
      <c r="C4236" t="s">
        <v>8820</v>
      </c>
      <c r="D4236" t="s">
        <v>641</v>
      </c>
      <c r="E4236">
        <v>-298995788</v>
      </c>
      <c r="F4236">
        <v>-175878747</v>
      </c>
      <c r="G4236">
        <v>-379074225</v>
      </c>
      <c r="H4236">
        <v>152788483</v>
      </c>
      <c r="I4236">
        <v>-85792039</v>
      </c>
      <c r="J4236">
        <v>-88682251</v>
      </c>
      <c r="K4236">
        <v>570481494</v>
      </c>
      <c r="L4236">
        <v>714140104</v>
      </c>
      <c r="M4236">
        <v>290404886</v>
      </c>
      <c r="N4236">
        <v>233090718</v>
      </c>
      <c r="O4236">
        <v>280391792</v>
      </c>
      <c r="P4236">
        <v>151</v>
      </c>
      <c r="Q4236" t="s">
        <v>8821</v>
      </c>
    </row>
    <row r="4237" spans="1:17" x14ac:dyDescent="0.3">
      <c r="A4237" t="s">
        <v>33</v>
      </c>
      <c r="B4237" t="str">
        <f>"000070"</f>
        <v>000070</v>
      </c>
      <c r="C4237" t="s">
        <v>8822</v>
      </c>
      <c r="D4237" t="s">
        <v>1302</v>
      </c>
      <c r="E4237">
        <v>-299778379</v>
      </c>
      <c r="F4237">
        <v>-365289133</v>
      </c>
      <c r="G4237">
        <v>-273496195</v>
      </c>
      <c r="H4237">
        <v>-346415249</v>
      </c>
      <c r="I4237">
        <v>-594971282</v>
      </c>
      <c r="J4237">
        <v>-350174623</v>
      </c>
      <c r="K4237">
        <v>-192188869</v>
      </c>
      <c r="L4237">
        <v>-25415082</v>
      </c>
      <c r="M4237">
        <v>967755</v>
      </c>
      <c r="N4237">
        <v>-42745413</v>
      </c>
      <c r="O4237">
        <v>-80449218</v>
      </c>
      <c r="P4237">
        <v>334</v>
      </c>
      <c r="Q4237" t="s">
        <v>8823</v>
      </c>
    </row>
    <row r="4238" spans="1:17" x14ac:dyDescent="0.3">
      <c r="A4238" t="s">
        <v>33</v>
      </c>
      <c r="B4238" t="str">
        <f>"000811"</f>
        <v>000811</v>
      </c>
      <c r="C4238" t="s">
        <v>8824</v>
      </c>
      <c r="D4238" t="s">
        <v>2883</v>
      </c>
      <c r="E4238">
        <v>-300116152</v>
      </c>
      <c r="F4238">
        <v>-250671327</v>
      </c>
      <c r="G4238">
        <v>-225805435</v>
      </c>
      <c r="H4238">
        <v>-183751954</v>
      </c>
      <c r="I4238">
        <v>-122113025</v>
      </c>
      <c r="J4238">
        <v>-119127100</v>
      </c>
      <c r="K4238">
        <v>-1324094</v>
      </c>
      <c r="L4238">
        <v>-21077617</v>
      </c>
      <c r="M4238">
        <v>-5048420</v>
      </c>
      <c r="N4238">
        <v>-34519409</v>
      </c>
      <c r="O4238">
        <v>-1593018</v>
      </c>
      <c r="P4238">
        <v>224</v>
      </c>
      <c r="Q4238" t="s">
        <v>8825</v>
      </c>
    </row>
    <row r="4239" spans="1:17" x14ac:dyDescent="0.3">
      <c r="A4239" t="s">
        <v>17</v>
      </c>
      <c r="B4239" t="str">
        <f>"600855"</f>
        <v>600855</v>
      </c>
      <c r="C4239" t="s">
        <v>8826</v>
      </c>
      <c r="D4239" t="s">
        <v>1571</v>
      </c>
      <c r="E4239">
        <v>-300865491</v>
      </c>
      <c r="F4239">
        <v>-401064591</v>
      </c>
      <c r="G4239">
        <v>-264117252</v>
      </c>
      <c r="H4239">
        <v>-255234430</v>
      </c>
      <c r="I4239">
        <v>-204479785</v>
      </c>
      <c r="J4239">
        <v>-224861350</v>
      </c>
      <c r="K4239">
        <v>-186984664</v>
      </c>
      <c r="L4239">
        <v>-76025348</v>
      </c>
      <c r="M4239">
        <v>-93099277</v>
      </c>
      <c r="N4239">
        <v>-57393409</v>
      </c>
      <c r="O4239">
        <v>-34083947</v>
      </c>
      <c r="P4239">
        <v>139</v>
      </c>
      <c r="Q4239" t="s">
        <v>8827</v>
      </c>
    </row>
    <row r="4240" spans="1:17" x14ac:dyDescent="0.3">
      <c r="A4240" t="s">
        <v>33</v>
      </c>
      <c r="B4240" t="str">
        <f>"300982"</f>
        <v>300982</v>
      </c>
      <c r="C4240" t="s">
        <v>8828</v>
      </c>
      <c r="D4240" t="s">
        <v>1527</v>
      </c>
      <c r="E4240">
        <v>-301146536</v>
      </c>
      <c r="F4240">
        <v>-21026852</v>
      </c>
      <c r="G4240">
        <v>-38264437</v>
      </c>
      <c r="P4240">
        <v>65</v>
      </c>
      <c r="Q4240" t="s">
        <v>8829</v>
      </c>
    </row>
    <row r="4241" spans="1:17" x14ac:dyDescent="0.3">
      <c r="A4241" t="s">
        <v>33</v>
      </c>
      <c r="B4241" t="str">
        <f>"300495"</f>
        <v>300495</v>
      </c>
      <c r="C4241" t="s">
        <v>8830</v>
      </c>
      <c r="D4241" t="s">
        <v>2330</v>
      </c>
      <c r="E4241">
        <v>-301925615</v>
      </c>
      <c r="F4241">
        <v>29072049</v>
      </c>
      <c r="G4241">
        <v>-106725396</v>
      </c>
      <c r="H4241">
        <v>-39035555</v>
      </c>
      <c r="I4241">
        <v>-40776879</v>
      </c>
      <c r="J4241">
        <v>-170725102</v>
      </c>
      <c r="K4241">
        <v>-118148833</v>
      </c>
      <c r="L4241">
        <v>-60549900</v>
      </c>
      <c r="M4241">
        <v>-36861900</v>
      </c>
      <c r="P4241">
        <v>103</v>
      </c>
      <c r="Q4241" t="s">
        <v>8831</v>
      </c>
    </row>
    <row r="4242" spans="1:17" x14ac:dyDescent="0.3">
      <c r="A4242" t="s">
        <v>33</v>
      </c>
      <c r="B4242" t="str">
        <f>"000055"</f>
        <v>000055</v>
      </c>
      <c r="C4242" t="s">
        <v>8832</v>
      </c>
      <c r="D4242" t="s">
        <v>2632</v>
      </c>
      <c r="E4242">
        <v>-304745093</v>
      </c>
      <c r="F4242">
        <v>-423296464</v>
      </c>
      <c r="G4242">
        <v>-339105047</v>
      </c>
      <c r="H4242">
        <v>-296237736</v>
      </c>
      <c r="I4242">
        <v>-40623633</v>
      </c>
      <c r="J4242">
        <v>-4846477</v>
      </c>
      <c r="K4242">
        <v>-59715817</v>
      </c>
      <c r="L4242">
        <v>-235696169</v>
      </c>
      <c r="M4242">
        <v>-136031996</v>
      </c>
      <c r="N4242">
        <v>-41819154</v>
      </c>
      <c r="O4242">
        <v>-42490494</v>
      </c>
      <c r="P4242">
        <v>318</v>
      </c>
      <c r="Q4242" t="s">
        <v>8833</v>
      </c>
    </row>
    <row r="4243" spans="1:17" x14ac:dyDescent="0.3">
      <c r="A4243" t="s">
        <v>17</v>
      </c>
      <c r="B4243" t="str">
        <f>"600225"</f>
        <v>600225</v>
      </c>
      <c r="C4243" t="s">
        <v>8834</v>
      </c>
      <c r="D4243" t="s">
        <v>167</v>
      </c>
      <c r="E4243">
        <v>-305428617</v>
      </c>
      <c r="F4243">
        <v>-1142746189</v>
      </c>
      <c r="G4243">
        <v>65679462</v>
      </c>
      <c r="H4243">
        <v>-74936880</v>
      </c>
      <c r="I4243">
        <v>142378180</v>
      </c>
      <c r="J4243">
        <v>341000430</v>
      </c>
      <c r="K4243">
        <v>-422276702</v>
      </c>
      <c r="L4243">
        <v>-124670977</v>
      </c>
      <c r="M4243">
        <v>-950767460</v>
      </c>
      <c r="N4243">
        <v>-1390237918</v>
      </c>
      <c r="O4243">
        <v>-207576511</v>
      </c>
      <c r="P4243">
        <v>110</v>
      </c>
      <c r="Q4243" t="s">
        <v>8835</v>
      </c>
    </row>
    <row r="4244" spans="1:17" x14ac:dyDescent="0.3">
      <c r="A4244" t="s">
        <v>17</v>
      </c>
      <c r="B4244" t="str">
        <f>"600525"</f>
        <v>600525</v>
      </c>
      <c r="C4244" t="s">
        <v>8836</v>
      </c>
      <c r="D4244" t="s">
        <v>298</v>
      </c>
      <c r="E4244">
        <v>-306234585</v>
      </c>
      <c r="F4244">
        <v>-17107722</v>
      </c>
      <c r="G4244">
        <v>-126855537</v>
      </c>
      <c r="H4244">
        <v>120616933</v>
      </c>
      <c r="I4244">
        <v>-192257737</v>
      </c>
      <c r="J4244">
        <v>-257987116</v>
      </c>
      <c r="K4244">
        <v>-130787443</v>
      </c>
      <c r="L4244">
        <v>-118337825</v>
      </c>
      <c r="M4244">
        <v>-90891152</v>
      </c>
      <c r="N4244">
        <v>-74418611</v>
      </c>
      <c r="O4244">
        <v>-33586382</v>
      </c>
      <c r="P4244">
        <v>254</v>
      </c>
      <c r="Q4244" t="s">
        <v>8837</v>
      </c>
    </row>
    <row r="4245" spans="1:17" x14ac:dyDescent="0.3">
      <c r="A4245" t="s">
        <v>17</v>
      </c>
      <c r="B4245" t="str">
        <f>"601012"</f>
        <v>601012</v>
      </c>
      <c r="C4245" t="s">
        <v>8838</v>
      </c>
      <c r="D4245" t="s">
        <v>242</v>
      </c>
      <c r="E4245">
        <v>-309175955</v>
      </c>
      <c r="F4245">
        <v>-1614854027</v>
      </c>
      <c r="G4245">
        <v>-536077424</v>
      </c>
      <c r="H4245">
        <v>938339750</v>
      </c>
      <c r="I4245">
        <v>-716500176</v>
      </c>
      <c r="J4245">
        <v>-818615678</v>
      </c>
      <c r="K4245">
        <v>149096979</v>
      </c>
      <c r="L4245">
        <v>-97880807</v>
      </c>
      <c r="M4245">
        <v>45212509</v>
      </c>
      <c r="N4245">
        <v>-21709883</v>
      </c>
      <c r="O4245">
        <v>28547298</v>
      </c>
      <c r="P4245">
        <v>6941</v>
      </c>
      <c r="Q4245" t="s">
        <v>8839</v>
      </c>
    </row>
    <row r="4246" spans="1:17" x14ac:dyDescent="0.3">
      <c r="A4246" t="s">
        <v>33</v>
      </c>
      <c r="B4246" t="str">
        <f>"300504"</f>
        <v>300504</v>
      </c>
      <c r="C4246" t="s">
        <v>8840</v>
      </c>
      <c r="D4246" t="s">
        <v>1347</v>
      </c>
      <c r="E4246">
        <v>-309591788</v>
      </c>
      <c r="F4246">
        <v>-205862262</v>
      </c>
      <c r="G4246">
        <v>-92985372</v>
      </c>
      <c r="H4246">
        <v>-95637571</v>
      </c>
      <c r="I4246">
        <v>-260864439</v>
      </c>
      <c r="J4246">
        <v>-147882879</v>
      </c>
      <c r="P4246">
        <v>176</v>
      </c>
      <c r="Q4246" t="s">
        <v>8841</v>
      </c>
    </row>
    <row r="4247" spans="1:17" x14ac:dyDescent="0.3">
      <c r="A4247" t="s">
        <v>17</v>
      </c>
      <c r="B4247" t="str">
        <f>"601360"</f>
        <v>601360</v>
      </c>
      <c r="C4247" t="s">
        <v>8842</v>
      </c>
      <c r="D4247" t="s">
        <v>1713</v>
      </c>
      <c r="E4247">
        <v>-310701000</v>
      </c>
      <c r="F4247">
        <v>-251031000</v>
      </c>
      <c r="G4247">
        <v>-38308000</v>
      </c>
      <c r="H4247">
        <v>436562000</v>
      </c>
      <c r="I4247">
        <v>885618000</v>
      </c>
      <c r="J4247">
        <v>-76981817</v>
      </c>
      <c r="K4247">
        <v>-72582795</v>
      </c>
      <c r="L4247">
        <v>-48395186</v>
      </c>
      <c r="M4247">
        <v>99065532</v>
      </c>
      <c r="N4247">
        <v>-21342744</v>
      </c>
      <c r="O4247">
        <v>-53579092</v>
      </c>
      <c r="P4247">
        <v>1010</v>
      </c>
      <c r="Q4247" t="s">
        <v>8843</v>
      </c>
    </row>
    <row r="4248" spans="1:17" x14ac:dyDescent="0.3">
      <c r="A4248" t="s">
        <v>33</v>
      </c>
      <c r="B4248" t="str">
        <f>"300129"</f>
        <v>300129</v>
      </c>
      <c r="C4248" t="s">
        <v>8844</v>
      </c>
      <c r="D4248" t="s">
        <v>1437</v>
      </c>
      <c r="E4248">
        <v>-311465745</v>
      </c>
      <c r="F4248">
        <v>-52745277</v>
      </c>
      <c r="G4248">
        <v>-355366</v>
      </c>
      <c r="H4248">
        <v>-65210598</v>
      </c>
      <c r="I4248">
        <v>33646039</v>
      </c>
      <c r="J4248">
        <v>-90056969</v>
      </c>
      <c r="K4248">
        <v>-73021389</v>
      </c>
      <c r="L4248">
        <v>107369555</v>
      </c>
      <c r="M4248">
        <v>51024085</v>
      </c>
      <c r="N4248">
        <v>1589789</v>
      </c>
      <c r="O4248">
        <v>-97494902</v>
      </c>
      <c r="P4248">
        <v>183</v>
      </c>
      <c r="Q4248" t="s">
        <v>8845</v>
      </c>
    </row>
    <row r="4249" spans="1:17" x14ac:dyDescent="0.3">
      <c r="A4249" t="s">
        <v>33</v>
      </c>
      <c r="B4249" t="str">
        <f>"000563"</f>
        <v>000563</v>
      </c>
      <c r="C4249" t="s">
        <v>8846</v>
      </c>
      <c r="D4249" t="s">
        <v>5769</v>
      </c>
      <c r="E4249">
        <v>-311772656</v>
      </c>
      <c r="F4249">
        <v>717920811</v>
      </c>
      <c r="G4249">
        <v>-229499097</v>
      </c>
      <c r="H4249">
        <v>-858877026</v>
      </c>
      <c r="I4249">
        <v>382870961</v>
      </c>
      <c r="J4249">
        <v>152212740</v>
      </c>
      <c r="K4249">
        <v>-996025567</v>
      </c>
      <c r="L4249">
        <v>3089790</v>
      </c>
      <c r="M4249">
        <v>-673516352</v>
      </c>
      <c r="N4249">
        <v>-21072291</v>
      </c>
      <c r="O4249">
        <v>81514751</v>
      </c>
      <c r="P4249">
        <v>205</v>
      </c>
      <c r="Q4249" t="s">
        <v>8847</v>
      </c>
    </row>
    <row r="4250" spans="1:17" x14ac:dyDescent="0.3">
      <c r="A4250" t="s">
        <v>17</v>
      </c>
      <c r="B4250" t="str">
        <f>"600298"</f>
        <v>600298</v>
      </c>
      <c r="C4250" t="s">
        <v>8848</v>
      </c>
      <c r="D4250" t="s">
        <v>669</v>
      </c>
      <c r="E4250">
        <v>-312503085</v>
      </c>
      <c r="F4250">
        <v>-444512955</v>
      </c>
      <c r="G4250">
        <v>276676318</v>
      </c>
      <c r="H4250">
        <v>27129892</v>
      </c>
      <c r="I4250">
        <v>-118861223</v>
      </c>
      <c r="J4250">
        <v>-11077477</v>
      </c>
      <c r="K4250">
        <v>-15817534</v>
      </c>
      <c r="L4250">
        <v>-105669160</v>
      </c>
      <c r="M4250">
        <v>-65130753</v>
      </c>
      <c r="N4250">
        <v>-115239362</v>
      </c>
      <c r="O4250">
        <v>-64732283</v>
      </c>
      <c r="P4250">
        <v>4513</v>
      </c>
      <c r="Q4250" t="s">
        <v>8849</v>
      </c>
    </row>
    <row r="4251" spans="1:17" x14ac:dyDescent="0.3">
      <c r="A4251" t="s">
        <v>17</v>
      </c>
      <c r="B4251" t="str">
        <f>"603111"</f>
        <v>603111</v>
      </c>
      <c r="C4251" t="s">
        <v>8850</v>
      </c>
      <c r="D4251" t="s">
        <v>1703</v>
      </c>
      <c r="E4251">
        <v>-317120684</v>
      </c>
      <c r="F4251">
        <v>-223273749</v>
      </c>
      <c r="G4251">
        <v>-307577748</v>
      </c>
      <c r="H4251">
        <v>-162837900</v>
      </c>
      <c r="I4251">
        <v>-182127038</v>
      </c>
      <c r="J4251">
        <v>-133819479</v>
      </c>
      <c r="K4251">
        <v>-112697705</v>
      </c>
      <c r="L4251">
        <v>-85692667</v>
      </c>
      <c r="M4251">
        <v>-55503269</v>
      </c>
      <c r="P4251">
        <v>440</v>
      </c>
      <c r="Q4251" t="s">
        <v>8851</v>
      </c>
    </row>
    <row r="4252" spans="1:17" x14ac:dyDescent="0.3">
      <c r="A4252" t="s">
        <v>17</v>
      </c>
      <c r="B4252" t="str">
        <f>"600481"</f>
        <v>600481</v>
      </c>
      <c r="C4252" t="s">
        <v>8852</v>
      </c>
      <c r="D4252" t="s">
        <v>2883</v>
      </c>
      <c r="E4252">
        <v>-317199619</v>
      </c>
      <c r="F4252">
        <v>-195549526</v>
      </c>
      <c r="G4252">
        <v>-256730841</v>
      </c>
      <c r="H4252">
        <v>-126692787</v>
      </c>
      <c r="I4252">
        <v>-77295171</v>
      </c>
      <c r="J4252">
        <v>-158174780</v>
      </c>
      <c r="K4252">
        <v>-51214820</v>
      </c>
      <c r="L4252">
        <v>-110060792</v>
      </c>
      <c r="M4252">
        <v>-433713385</v>
      </c>
      <c r="N4252">
        <v>-130260979</v>
      </c>
      <c r="O4252">
        <v>-6991004</v>
      </c>
      <c r="P4252">
        <v>185</v>
      </c>
      <c r="Q4252" t="s">
        <v>8853</v>
      </c>
    </row>
    <row r="4253" spans="1:17" x14ac:dyDescent="0.3">
      <c r="A4253" t="s">
        <v>33</v>
      </c>
      <c r="B4253" t="str">
        <f>"300115"</f>
        <v>300115</v>
      </c>
      <c r="C4253" t="s">
        <v>8854</v>
      </c>
      <c r="D4253" t="s">
        <v>226</v>
      </c>
      <c r="E4253">
        <v>-317665171</v>
      </c>
      <c r="F4253">
        <v>84932308</v>
      </c>
      <c r="G4253">
        <v>370846175</v>
      </c>
      <c r="H4253">
        <v>-20224840</v>
      </c>
      <c r="I4253">
        <v>295621995</v>
      </c>
      <c r="J4253">
        <v>222092789</v>
      </c>
      <c r="K4253">
        <v>352643218</v>
      </c>
      <c r="L4253">
        <v>46979893</v>
      </c>
      <c r="M4253">
        <v>42511537</v>
      </c>
      <c r="N4253">
        <v>57094406</v>
      </c>
      <c r="O4253">
        <v>13032471</v>
      </c>
      <c r="P4253">
        <v>870</v>
      </c>
      <c r="Q4253" t="s">
        <v>8855</v>
      </c>
    </row>
    <row r="4254" spans="1:17" x14ac:dyDescent="0.3">
      <c r="A4254" t="s">
        <v>33</v>
      </c>
      <c r="B4254" t="str">
        <f>"301087"</f>
        <v>301087</v>
      </c>
      <c r="C4254" t="s">
        <v>8856</v>
      </c>
      <c r="D4254" t="s">
        <v>221</v>
      </c>
      <c r="E4254">
        <v>-317768934</v>
      </c>
      <c r="P4254">
        <v>33</v>
      </c>
      <c r="Q4254" t="s">
        <v>8857</v>
      </c>
    </row>
    <row r="4255" spans="1:17" x14ac:dyDescent="0.3">
      <c r="A4255" t="s">
        <v>33</v>
      </c>
      <c r="B4255" t="str">
        <f>"300931"</f>
        <v>300931</v>
      </c>
      <c r="C4255" t="s">
        <v>8858</v>
      </c>
      <c r="D4255" t="s">
        <v>2528</v>
      </c>
      <c r="E4255">
        <v>-318175928</v>
      </c>
      <c r="F4255">
        <v>-17383698</v>
      </c>
      <c r="G4255">
        <v>-22934471</v>
      </c>
      <c r="P4255">
        <v>31</v>
      </c>
      <c r="Q4255" t="s">
        <v>8859</v>
      </c>
    </row>
    <row r="4256" spans="1:17" x14ac:dyDescent="0.3">
      <c r="A4256" t="s">
        <v>17</v>
      </c>
      <c r="B4256" t="str">
        <f>"600801"</f>
        <v>600801</v>
      </c>
      <c r="C4256" t="s">
        <v>8860</v>
      </c>
      <c r="D4256" t="s">
        <v>260</v>
      </c>
      <c r="E4256">
        <v>-319399790</v>
      </c>
      <c r="F4256">
        <v>287961671</v>
      </c>
      <c r="G4256">
        <v>434960772</v>
      </c>
      <c r="H4256">
        <v>1304929362</v>
      </c>
      <c r="I4256">
        <v>596907873</v>
      </c>
      <c r="J4256">
        <v>322734716</v>
      </c>
      <c r="K4256">
        <v>317591846</v>
      </c>
      <c r="L4256">
        <v>-31950513</v>
      </c>
      <c r="M4256">
        <v>456879050</v>
      </c>
      <c r="N4256">
        <v>148690368</v>
      </c>
      <c r="O4256">
        <v>154897695</v>
      </c>
      <c r="P4256">
        <v>1595</v>
      </c>
      <c r="Q4256" t="s">
        <v>8861</v>
      </c>
    </row>
    <row r="4257" spans="1:17" x14ac:dyDescent="0.3">
      <c r="A4257" t="s">
        <v>17</v>
      </c>
      <c r="B4257" t="str">
        <f>"601567"</f>
        <v>601567</v>
      </c>
      <c r="C4257" t="s">
        <v>8862</v>
      </c>
      <c r="D4257" t="s">
        <v>2128</v>
      </c>
      <c r="E4257">
        <v>-319720493</v>
      </c>
      <c r="F4257">
        <v>-222405863</v>
      </c>
      <c r="G4257">
        <v>-114058669</v>
      </c>
      <c r="H4257">
        <v>-197822692</v>
      </c>
      <c r="I4257">
        <v>-136580517</v>
      </c>
      <c r="J4257">
        <v>-125199072</v>
      </c>
      <c r="K4257">
        <v>-224523127</v>
      </c>
      <c r="L4257">
        <v>-228677830</v>
      </c>
      <c r="M4257">
        <v>-240171471</v>
      </c>
      <c r="N4257">
        <v>-172585641</v>
      </c>
      <c r="O4257">
        <v>-239403685</v>
      </c>
      <c r="P4257">
        <v>325</v>
      </c>
      <c r="Q4257" t="s">
        <v>8863</v>
      </c>
    </row>
    <row r="4258" spans="1:17" x14ac:dyDescent="0.3">
      <c r="A4258" t="s">
        <v>17</v>
      </c>
      <c r="B4258" t="str">
        <f>"601958"</f>
        <v>601958</v>
      </c>
      <c r="C4258" t="s">
        <v>8864</v>
      </c>
      <c r="D4258" t="s">
        <v>3495</v>
      </c>
      <c r="E4258">
        <v>-319941451</v>
      </c>
      <c r="F4258">
        <v>-178013355</v>
      </c>
      <c r="G4258">
        <v>-295930692</v>
      </c>
      <c r="H4258">
        <v>126612363</v>
      </c>
      <c r="I4258">
        <v>-571412131</v>
      </c>
      <c r="J4258">
        <v>-159775078</v>
      </c>
      <c r="K4258">
        <v>-138302336</v>
      </c>
      <c r="L4258">
        <v>4188919</v>
      </c>
      <c r="M4258">
        <v>-19404998</v>
      </c>
      <c r="N4258">
        <v>125854672</v>
      </c>
      <c r="O4258">
        <v>387010080</v>
      </c>
      <c r="P4258">
        <v>244</v>
      </c>
      <c r="Q4258" t="s">
        <v>8865</v>
      </c>
    </row>
    <row r="4259" spans="1:17" x14ac:dyDescent="0.3">
      <c r="A4259" t="s">
        <v>33</v>
      </c>
      <c r="B4259" t="str">
        <f>"002172"</f>
        <v>002172</v>
      </c>
      <c r="C4259" t="s">
        <v>8866</v>
      </c>
      <c r="D4259" t="s">
        <v>448</v>
      </c>
      <c r="E4259">
        <v>-323103011</v>
      </c>
      <c r="F4259">
        <v>197519223</v>
      </c>
      <c r="G4259">
        <v>-262259246</v>
      </c>
      <c r="H4259">
        <v>190287700</v>
      </c>
      <c r="I4259">
        <v>-89546837</v>
      </c>
      <c r="J4259">
        <v>-198651725</v>
      </c>
      <c r="K4259">
        <v>71226245</v>
      </c>
      <c r="L4259">
        <v>34583865</v>
      </c>
      <c r="M4259">
        <v>-65501730</v>
      </c>
      <c r="N4259">
        <v>183099727</v>
      </c>
      <c r="O4259">
        <v>414454746</v>
      </c>
      <c r="P4259">
        <v>141</v>
      </c>
      <c r="Q4259" t="s">
        <v>8867</v>
      </c>
    </row>
    <row r="4260" spans="1:17" x14ac:dyDescent="0.3">
      <c r="A4260" t="s">
        <v>33</v>
      </c>
      <c r="B4260" t="str">
        <f>"300231"</f>
        <v>300231</v>
      </c>
      <c r="C4260" t="s">
        <v>8868</v>
      </c>
      <c r="D4260" t="s">
        <v>508</v>
      </c>
      <c r="E4260">
        <v>-323121820</v>
      </c>
      <c r="F4260">
        <v>-275910838</v>
      </c>
      <c r="G4260">
        <v>-281675133</v>
      </c>
      <c r="H4260">
        <v>-275306953</v>
      </c>
      <c r="I4260">
        <v>-104740511</v>
      </c>
      <c r="J4260">
        <v>-35928753</v>
      </c>
      <c r="K4260">
        <v>-151916811</v>
      </c>
      <c r="L4260">
        <v>20967459</v>
      </c>
      <c r="M4260">
        <v>-112347916</v>
      </c>
      <c r="N4260">
        <v>-72460094</v>
      </c>
      <c r="O4260">
        <v>-3529135</v>
      </c>
      <c r="P4260">
        <v>264</v>
      </c>
      <c r="Q4260" t="s">
        <v>8869</v>
      </c>
    </row>
    <row r="4261" spans="1:17" x14ac:dyDescent="0.3">
      <c r="A4261" t="s">
        <v>17</v>
      </c>
      <c r="B4261" t="str">
        <f>"603833"</f>
        <v>603833</v>
      </c>
      <c r="C4261" t="s">
        <v>8870</v>
      </c>
      <c r="D4261" t="s">
        <v>5122</v>
      </c>
      <c r="E4261">
        <v>-323902855</v>
      </c>
      <c r="F4261">
        <v>-224464630</v>
      </c>
      <c r="G4261">
        <v>-797182768</v>
      </c>
      <c r="H4261">
        <v>-144621067</v>
      </c>
      <c r="I4261">
        <v>-376027522</v>
      </c>
      <c r="J4261">
        <v>-186757982</v>
      </c>
      <c r="K4261">
        <v>-64963006</v>
      </c>
      <c r="P4261">
        <v>2566</v>
      </c>
      <c r="Q4261" t="s">
        <v>8871</v>
      </c>
    </row>
    <row r="4262" spans="1:17" x14ac:dyDescent="0.3">
      <c r="A4262" t="s">
        <v>17</v>
      </c>
      <c r="B4262" t="str">
        <f>"603081"</f>
        <v>603081</v>
      </c>
      <c r="C4262" t="s">
        <v>8872</v>
      </c>
      <c r="D4262" t="s">
        <v>1779</v>
      </c>
      <c r="E4262">
        <v>-324092803</v>
      </c>
      <c r="F4262">
        <v>-151667636</v>
      </c>
      <c r="G4262">
        <v>6892780</v>
      </c>
      <c r="H4262">
        <v>7338400</v>
      </c>
      <c r="I4262">
        <v>-92598285</v>
      </c>
      <c r="J4262">
        <v>40067666</v>
      </c>
      <c r="K4262">
        <v>-15608101</v>
      </c>
      <c r="P4262">
        <v>144</v>
      </c>
      <c r="Q4262" t="s">
        <v>8873</v>
      </c>
    </row>
    <row r="4263" spans="1:17" x14ac:dyDescent="0.3">
      <c r="A4263" t="s">
        <v>33</v>
      </c>
      <c r="B4263" t="str">
        <f>"300123"</f>
        <v>300123</v>
      </c>
      <c r="C4263" t="s">
        <v>8874</v>
      </c>
      <c r="D4263" t="s">
        <v>617</v>
      </c>
      <c r="E4263">
        <v>-325216274</v>
      </c>
      <c r="F4263">
        <v>-58978449</v>
      </c>
      <c r="G4263">
        <v>-113448662</v>
      </c>
      <c r="H4263">
        <v>-37649417</v>
      </c>
      <c r="I4263">
        <v>-145952776</v>
      </c>
      <c r="J4263">
        <v>-92264470</v>
      </c>
      <c r="K4263">
        <v>-82453535</v>
      </c>
      <c r="L4263">
        <v>-46728212</v>
      </c>
      <c r="M4263">
        <v>-36351217</v>
      </c>
      <c r="N4263">
        <v>-23261565</v>
      </c>
      <c r="O4263">
        <v>7600315</v>
      </c>
      <c r="P4263">
        <v>232</v>
      </c>
      <c r="Q4263" t="s">
        <v>8875</v>
      </c>
    </row>
    <row r="4264" spans="1:17" x14ac:dyDescent="0.3">
      <c r="A4264" t="s">
        <v>17</v>
      </c>
      <c r="B4264" t="str">
        <f>"600173"</f>
        <v>600173</v>
      </c>
      <c r="C4264" t="s">
        <v>8876</v>
      </c>
      <c r="D4264" t="s">
        <v>167</v>
      </c>
      <c r="E4264">
        <v>-325335640</v>
      </c>
      <c r="F4264">
        <v>-300817988</v>
      </c>
      <c r="G4264">
        <v>33253753</v>
      </c>
      <c r="H4264">
        <v>403440781</v>
      </c>
      <c r="I4264">
        <v>118637830</v>
      </c>
      <c r="J4264">
        <v>92238846</v>
      </c>
      <c r="K4264">
        <v>105994367</v>
      </c>
      <c r="L4264">
        <v>-43196167</v>
      </c>
      <c r="M4264">
        <v>18486645</v>
      </c>
      <c r="N4264">
        <v>-50967838</v>
      </c>
      <c r="O4264">
        <v>-86486232</v>
      </c>
      <c r="P4264">
        <v>302</v>
      </c>
      <c r="Q4264" t="s">
        <v>8877</v>
      </c>
    </row>
    <row r="4265" spans="1:17" x14ac:dyDescent="0.3">
      <c r="A4265" t="s">
        <v>17</v>
      </c>
      <c r="B4265" t="str">
        <f>"600764"</f>
        <v>600764</v>
      </c>
      <c r="C4265" t="s">
        <v>8878</v>
      </c>
      <c r="D4265" t="s">
        <v>248</v>
      </c>
      <c r="E4265">
        <v>-326030269</v>
      </c>
      <c r="F4265">
        <v>208347719</v>
      </c>
      <c r="G4265">
        <v>-151716594</v>
      </c>
      <c r="H4265">
        <v>6782833</v>
      </c>
      <c r="I4265">
        <v>-50174659</v>
      </c>
      <c r="J4265">
        <v>-6568084</v>
      </c>
      <c r="K4265">
        <v>22576614</v>
      </c>
      <c r="L4265">
        <v>10486333</v>
      </c>
      <c r="M4265">
        <v>-29031891</v>
      </c>
      <c r="N4265">
        <v>-71084491</v>
      </c>
      <c r="O4265">
        <v>-79578914</v>
      </c>
      <c r="P4265">
        <v>233</v>
      </c>
      <c r="Q4265" t="s">
        <v>8879</v>
      </c>
    </row>
    <row r="4266" spans="1:17" x14ac:dyDescent="0.3">
      <c r="A4266" t="s">
        <v>17</v>
      </c>
      <c r="B4266" t="str">
        <f>"605136"</f>
        <v>605136</v>
      </c>
      <c r="C4266" t="s">
        <v>8880</v>
      </c>
      <c r="D4266" t="s">
        <v>3516</v>
      </c>
      <c r="E4266">
        <v>-327894092</v>
      </c>
      <c r="F4266">
        <v>-277389675</v>
      </c>
      <c r="G4266">
        <v>-249575777</v>
      </c>
      <c r="P4266">
        <v>99</v>
      </c>
      <c r="Q4266" t="s">
        <v>8881</v>
      </c>
    </row>
    <row r="4267" spans="1:17" x14ac:dyDescent="0.3">
      <c r="A4267" t="s">
        <v>17</v>
      </c>
      <c r="B4267" t="str">
        <f>"600026"</f>
        <v>600026</v>
      </c>
      <c r="C4267" t="s">
        <v>8882</v>
      </c>
      <c r="D4267" t="s">
        <v>55</v>
      </c>
      <c r="E4267">
        <v>-327897846</v>
      </c>
      <c r="F4267">
        <v>515292355</v>
      </c>
      <c r="G4267">
        <v>278915745</v>
      </c>
      <c r="H4267">
        <v>1507917545</v>
      </c>
      <c r="I4267">
        <v>151736906</v>
      </c>
      <c r="J4267">
        <v>779242881</v>
      </c>
      <c r="K4267">
        <v>1030537001</v>
      </c>
      <c r="L4267">
        <v>828776977</v>
      </c>
      <c r="M4267">
        <v>508020419</v>
      </c>
      <c r="N4267">
        <v>-187476574</v>
      </c>
      <c r="O4267">
        <v>-168060456</v>
      </c>
      <c r="P4267">
        <v>401</v>
      </c>
      <c r="Q4267" t="s">
        <v>8883</v>
      </c>
    </row>
    <row r="4268" spans="1:17" x14ac:dyDescent="0.3">
      <c r="A4268" t="s">
        <v>33</v>
      </c>
      <c r="B4268" t="str">
        <f>"002441"</f>
        <v>002441</v>
      </c>
      <c r="C4268" t="s">
        <v>8884</v>
      </c>
      <c r="D4268" t="s">
        <v>675</v>
      </c>
      <c r="E4268">
        <v>-328784843</v>
      </c>
      <c r="F4268">
        <v>-372527387</v>
      </c>
      <c r="G4268">
        <v>253796905</v>
      </c>
      <c r="H4268">
        <v>-4920966</v>
      </c>
      <c r="I4268">
        <v>-95704290</v>
      </c>
      <c r="J4268">
        <v>-86379887</v>
      </c>
      <c r="K4268">
        <v>202513050</v>
      </c>
      <c r="L4268">
        <v>100902873</v>
      </c>
      <c r="M4268">
        <v>-115785563</v>
      </c>
      <c r="N4268">
        <v>-40547667</v>
      </c>
      <c r="O4268">
        <v>54813777</v>
      </c>
      <c r="P4268">
        <v>134</v>
      </c>
      <c r="Q4268" t="s">
        <v>8885</v>
      </c>
    </row>
    <row r="4269" spans="1:17" x14ac:dyDescent="0.3">
      <c r="A4269" t="s">
        <v>33</v>
      </c>
      <c r="B4269" t="str">
        <f>"300569"</f>
        <v>300569</v>
      </c>
      <c r="C4269" t="s">
        <v>8886</v>
      </c>
      <c r="D4269" t="s">
        <v>1437</v>
      </c>
      <c r="E4269">
        <v>-329492631</v>
      </c>
      <c r="F4269">
        <v>-125346447</v>
      </c>
      <c r="G4269">
        <v>-230331481</v>
      </c>
      <c r="H4269">
        <v>63302964</v>
      </c>
      <c r="I4269">
        <v>-256124154</v>
      </c>
      <c r="J4269">
        <v>36025624</v>
      </c>
      <c r="K4269">
        <v>13202439</v>
      </c>
      <c r="P4269">
        <v>201</v>
      </c>
      <c r="Q4269" t="s">
        <v>8887</v>
      </c>
    </row>
    <row r="4270" spans="1:17" x14ac:dyDescent="0.3">
      <c r="A4270" t="s">
        <v>33</v>
      </c>
      <c r="B4270" t="str">
        <f>"002640"</f>
        <v>002640</v>
      </c>
      <c r="C4270" t="s">
        <v>8888</v>
      </c>
      <c r="D4270" t="s">
        <v>2878</v>
      </c>
      <c r="E4270">
        <v>-331076410</v>
      </c>
      <c r="F4270">
        <v>-12819216</v>
      </c>
      <c r="G4270">
        <v>-647021278</v>
      </c>
      <c r="H4270">
        <v>53384632</v>
      </c>
      <c r="I4270">
        <v>-249559368</v>
      </c>
      <c r="J4270">
        <v>-567936837</v>
      </c>
      <c r="K4270">
        <v>-423385707</v>
      </c>
      <c r="L4270">
        <v>-124680422</v>
      </c>
      <c r="M4270">
        <v>-62872295</v>
      </c>
      <c r="N4270">
        <v>-80440502</v>
      </c>
      <c r="O4270">
        <v>-103996975</v>
      </c>
      <c r="P4270">
        <v>263</v>
      </c>
      <c r="Q4270" t="s">
        <v>8889</v>
      </c>
    </row>
    <row r="4271" spans="1:17" x14ac:dyDescent="0.3">
      <c r="A4271" t="s">
        <v>17</v>
      </c>
      <c r="B4271" t="str">
        <f>"603108"</f>
        <v>603108</v>
      </c>
      <c r="C4271" t="s">
        <v>8890</v>
      </c>
      <c r="D4271" t="s">
        <v>2198</v>
      </c>
      <c r="E4271">
        <v>-334135476</v>
      </c>
      <c r="F4271">
        <v>-202666437</v>
      </c>
      <c r="G4271">
        <v>-276860521</v>
      </c>
      <c r="H4271">
        <v>30634860</v>
      </c>
      <c r="I4271">
        <v>-4450084</v>
      </c>
      <c r="J4271">
        <v>-85850486</v>
      </c>
      <c r="K4271">
        <v>-40549264</v>
      </c>
      <c r="L4271">
        <v>-62052747</v>
      </c>
      <c r="M4271">
        <v>-137970156</v>
      </c>
      <c r="P4271">
        <v>336</v>
      </c>
      <c r="Q4271" t="s">
        <v>8891</v>
      </c>
    </row>
    <row r="4272" spans="1:17" x14ac:dyDescent="0.3">
      <c r="A4272" t="s">
        <v>33</v>
      </c>
      <c r="B4272" t="str">
        <f>"000682"</f>
        <v>000682</v>
      </c>
      <c r="C4272" t="s">
        <v>8892</v>
      </c>
      <c r="D4272" t="s">
        <v>1182</v>
      </c>
      <c r="E4272">
        <v>-336004010</v>
      </c>
      <c r="F4272">
        <v>-86827823</v>
      </c>
      <c r="G4272">
        <v>-47524721</v>
      </c>
      <c r="H4272">
        <v>-42667224</v>
      </c>
      <c r="I4272">
        <v>-44575118</v>
      </c>
      <c r="J4272">
        <v>-66013480</v>
      </c>
      <c r="K4272">
        <v>-107805902</v>
      </c>
      <c r="L4272">
        <v>-54424803</v>
      </c>
      <c r="M4272">
        <v>-24116963</v>
      </c>
      <c r="N4272">
        <v>-47864171</v>
      </c>
      <c r="O4272">
        <v>-113708411</v>
      </c>
      <c r="P4272">
        <v>156</v>
      </c>
      <c r="Q4272" t="s">
        <v>8893</v>
      </c>
    </row>
    <row r="4273" spans="1:17" x14ac:dyDescent="0.3">
      <c r="A4273" t="s">
        <v>33</v>
      </c>
      <c r="B4273" t="str">
        <f>"300490"</f>
        <v>300490</v>
      </c>
      <c r="C4273" t="s">
        <v>8894</v>
      </c>
      <c r="D4273" t="s">
        <v>1182</v>
      </c>
      <c r="E4273">
        <v>-336194812</v>
      </c>
      <c r="F4273">
        <v>-46819464</v>
      </c>
      <c r="G4273">
        <v>-60278373</v>
      </c>
      <c r="H4273">
        <v>-90843570</v>
      </c>
      <c r="I4273">
        <v>-29967086</v>
      </c>
      <c r="J4273">
        <v>-42109459</v>
      </c>
      <c r="K4273">
        <v>-46925638</v>
      </c>
      <c r="L4273">
        <v>-23878002</v>
      </c>
      <c r="M4273">
        <v>-20455205</v>
      </c>
      <c r="P4273">
        <v>161</v>
      </c>
      <c r="Q4273" t="s">
        <v>8895</v>
      </c>
    </row>
    <row r="4274" spans="1:17" x14ac:dyDescent="0.3">
      <c r="A4274" t="s">
        <v>33</v>
      </c>
      <c r="B4274" t="str">
        <f>"000031"</f>
        <v>000031</v>
      </c>
      <c r="C4274" t="s">
        <v>8896</v>
      </c>
      <c r="D4274" t="s">
        <v>317</v>
      </c>
      <c r="E4274">
        <v>-336311162</v>
      </c>
      <c r="F4274">
        <v>-1782061908</v>
      </c>
      <c r="G4274">
        <v>-2538113013</v>
      </c>
      <c r="H4274">
        <v>236795270</v>
      </c>
      <c r="I4274">
        <v>-2144276890</v>
      </c>
      <c r="J4274">
        <v>-4469280956</v>
      </c>
      <c r="K4274">
        <v>-347461270</v>
      </c>
      <c r="L4274">
        <v>-1572679742</v>
      </c>
      <c r="M4274">
        <v>-1193191043</v>
      </c>
      <c r="N4274">
        <v>1112495445</v>
      </c>
      <c r="O4274">
        <v>-63752423</v>
      </c>
      <c r="P4274">
        <v>327</v>
      </c>
      <c r="Q4274" t="s">
        <v>8897</v>
      </c>
    </row>
    <row r="4275" spans="1:17" x14ac:dyDescent="0.3">
      <c r="A4275" t="s">
        <v>33</v>
      </c>
      <c r="B4275" t="str">
        <f>"300166"</f>
        <v>300166</v>
      </c>
      <c r="C4275" t="s">
        <v>8898</v>
      </c>
      <c r="D4275" t="s">
        <v>508</v>
      </c>
      <c r="E4275">
        <v>-336422281</v>
      </c>
      <c r="F4275">
        <v>-295567791</v>
      </c>
      <c r="G4275">
        <v>-271359741</v>
      </c>
      <c r="H4275">
        <v>-200906645</v>
      </c>
      <c r="I4275">
        <v>-264912085</v>
      </c>
      <c r="J4275">
        <v>-141268198</v>
      </c>
      <c r="K4275">
        <v>-114397875</v>
      </c>
      <c r="L4275">
        <v>-51659411</v>
      </c>
      <c r="M4275">
        <v>7573977</v>
      </c>
      <c r="N4275">
        <v>-43496418</v>
      </c>
      <c r="O4275">
        <v>-10824074</v>
      </c>
      <c r="P4275">
        <v>461</v>
      </c>
      <c r="Q4275" t="s">
        <v>8899</v>
      </c>
    </row>
    <row r="4276" spans="1:17" x14ac:dyDescent="0.3">
      <c r="A4276" t="s">
        <v>33</v>
      </c>
      <c r="B4276" t="str">
        <f>"002822"</f>
        <v>002822</v>
      </c>
      <c r="C4276" t="s">
        <v>8900</v>
      </c>
      <c r="D4276" t="s">
        <v>1779</v>
      </c>
      <c r="E4276">
        <v>-337977147</v>
      </c>
      <c r="F4276">
        <v>-324526210</v>
      </c>
      <c r="G4276">
        <v>-285038835</v>
      </c>
      <c r="H4276">
        <v>18425903</v>
      </c>
      <c r="I4276">
        <v>-278140737</v>
      </c>
      <c r="J4276">
        <v>-255497082</v>
      </c>
      <c r="K4276">
        <v>-75804282</v>
      </c>
      <c r="P4276">
        <v>134</v>
      </c>
      <c r="Q4276" t="s">
        <v>8901</v>
      </c>
    </row>
    <row r="4277" spans="1:17" x14ac:dyDescent="0.3">
      <c r="A4277" t="s">
        <v>17</v>
      </c>
      <c r="B4277" t="str">
        <f>"603171"</f>
        <v>603171</v>
      </c>
      <c r="C4277" t="s">
        <v>8902</v>
      </c>
      <c r="D4277" t="s">
        <v>508</v>
      </c>
      <c r="E4277">
        <v>-338958644</v>
      </c>
      <c r="F4277">
        <v>-263129050</v>
      </c>
      <c r="G4277">
        <v>-165145661</v>
      </c>
      <c r="P4277">
        <v>54</v>
      </c>
      <c r="Q4277" t="s">
        <v>8903</v>
      </c>
    </row>
    <row r="4278" spans="1:17" x14ac:dyDescent="0.3">
      <c r="A4278" t="s">
        <v>33</v>
      </c>
      <c r="B4278" t="str">
        <f>"300310"</f>
        <v>300310</v>
      </c>
      <c r="C4278" t="s">
        <v>8904</v>
      </c>
      <c r="D4278" t="s">
        <v>4393</v>
      </c>
      <c r="E4278">
        <v>-339302347</v>
      </c>
      <c r="F4278">
        <v>-182079179</v>
      </c>
      <c r="G4278">
        <v>-167689514</v>
      </c>
      <c r="H4278">
        <v>-107047773</v>
      </c>
      <c r="I4278">
        <v>-260079546</v>
      </c>
      <c r="J4278">
        <v>-187826801</v>
      </c>
      <c r="K4278">
        <v>-110992843</v>
      </c>
      <c r="L4278">
        <v>-60888827</v>
      </c>
      <c r="M4278">
        <v>-11238208</v>
      </c>
      <c r="N4278">
        <v>-108357213</v>
      </c>
      <c r="O4278">
        <v>-67815542</v>
      </c>
      <c r="P4278">
        <v>257</v>
      </c>
      <c r="Q4278" t="s">
        <v>8905</v>
      </c>
    </row>
    <row r="4279" spans="1:17" x14ac:dyDescent="0.3">
      <c r="A4279" t="s">
        <v>17</v>
      </c>
      <c r="B4279" t="str">
        <f>"603337"</f>
        <v>603337</v>
      </c>
      <c r="C4279" t="s">
        <v>8906</v>
      </c>
      <c r="D4279" t="s">
        <v>2847</v>
      </c>
      <c r="E4279">
        <v>-339813864</v>
      </c>
      <c r="F4279">
        <v>187133706</v>
      </c>
      <c r="G4279">
        <v>-19841549</v>
      </c>
      <c r="H4279">
        <v>90668471</v>
      </c>
      <c r="I4279">
        <v>119319767</v>
      </c>
      <c r="J4279">
        <v>121765558</v>
      </c>
      <c r="K4279">
        <v>-16629279</v>
      </c>
      <c r="P4279">
        <v>370</v>
      </c>
      <c r="Q4279" t="s">
        <v>8907</v>
      </c>
    </row>
    <row r="4280" spans="1:17" x14ac:dyDescent="0.3">
      <c r="A4280" t="s">
        <v>33</v>
      </c>
      <c r="B4280" t="str">
        <f>"300567"</f>
        <v>300567</v>
      </c>
      <c r="C4280" t="s">
        <v>8908</v>
      </c>
      <c r="D4280" t="s">
        <v>2417</v>
      </c>
      <c r="E4280">
        <v>-340185328</v>
      </c>
      <c r="F4280">
        <v>-229295886</v>
      </c>
      <c r="G4280">
        <v>-305048530</v>
      </c>
      <c r="H4280">
        <v>-307364872</v>
      </c>
      <c r="I4280">
        <v>-164645508</v>
      </c>
      <c r="J4280">
        <v>-86240306</v>
      </c>
      <c r="K4280">
        <v>-39679474</v>
      </c>
      <c r="P4280">
        <v>1242</v>
      </c>
      <c r="Q4280" t="s">
        <v>8909</v>
      </c>
    </row>
    <row r="4281" spans="1:17" x14ac:dyDescent="0.3">
      <c r="A4281" t="s">
        <v>17</v>
      </c>
      <c r="B4281" t="str">
        <f>"600388"</f>
        <v>600388</v>
      </c>
      <c r="C4281" t="s">
        <v>8910</v>
      </c>
      <c r="D4281" t="s">
        <v>3158</v>
      </c>
      <c r="E4281">
        <v>-340287098</v>
      </c>
      <c r="F4281">
        <v>-245387790</v>
      </c>
      <c r="G4281">
        <v>-102509146</v>
      </c>
      <c r="H4281">
        <v>-553148983</v>
      </c>
      <c r="I4281">
        <v>-350793464</v>
      </c>
      <c r="J4281">
        <v>-373825682</v>
      </c>
      <c r="K4281">
        <v>-219626923</v>
      </c>
      <c r="L4281">
        <v>-136996121</v>
      </c>
      <c r="M4281">
        <v>-176048584</v>
      </c>
      <c r="N4281">
        <v>-184304567</v>
      </c>
      <c r="O4281">
        <v>-188082617</v>
      </c>
      <c r="P4281">
        <v>815</v>
      </c>
      <c r="Q4281" t="s">
        <v>8911</v>
      </c>
    </row>
    <row r="4282" spans="1:17" x14ac:dyDescent="0.3">
      <c r="A4282" t="s">
        <v>17</v>
      </c>
      <c r="B4282" t="str">
        <f>"600422"</f>
        <v>600422</v>
      </c>
      <c r="C4282" t="s">
        <v>8912</v>
      </c>
      <c r="D4282" t="s">
        <v>533</v>
      </c>
      <c r="E4282">
        <v>-341227190</v>
      </c>
      <c r="F4282">
        <v>-266164985</v>
      </c>
      <c r="G4282">
        <v>26203490</v>
      </c>
      <c r="H4282">
        <v>-107926401</v>
      </c>
      <c r="I4282">
        <v>-158289793</v>
      </c>
      <c r="J4282">
        <v>-72556811</v>
      </c>
      <c r="K4282">
        <v>59974255</v>
      </c>
      <c r="L4282">
        <v>50051964</v>
      </c>
      <c r="M4282">
        <v>1854036</v>
      </c>
      <c r="N4282">
        <v>-81334547</v>
      </c>
      <c r="O4282">
        <v>16501415</v>
      </c>
      <c r="P4282">
        <v>452</v>
      </c>
      <c r="Q4282" t="s">
        <v>8913</v>
      </c>
    </row>
    <row r="4283" spans="1:17" x14ac:dyDescent="0.3">
      <c r="A4283" t="s">
        <v>33</v>
      </c>
      <c r="B4283" t="str">
        <f>"000779"</f>
        <v>000779</v>
      </c>
      <c r="C4283" t="s">
        <v>8914</v>
      </c>
      <c r="D4283" t="s">
        <v>4300</v>
      </c>
      <c r="E4283">
        <v>-342080340</v>
      </c>
      <c r="F4283">
        <v>-460576117</v>
      </c>
      <c r="G4283">
        <v>-349265981</v>
      </c>
      <c r="H4283">
        <v>-293442142</v>
      </c>
      <c r="I4283">
        <v>34173082</v>
      </c>
      <c r="J4283">
        <v>16421268</v>
      </c>
      <c r="K4283">
        <v>-32968803</v>
      </c>
      <c r="L4283">
        <v>2004874</v>
      </c>
      <c r="M4283">
        <v>405137</v>
      </c>
      <c r="N4283">
        <v>-6813240</v>
      </c>
      <c r="O4283">
        <v>-3446227</v>
      </c>
      <c r="P4283">
        <v>165</v>
      </c>
      <c r="Q4283" t="s">
        <v>8915</v>
      </c>
    </row>
    <row r="4284" spans="1:17" x14ac:dyDescent="0.3">
      <c r="A4284" t="s">
        <v>33</v>
      </c>
      <c r="B4284" t="str">
        <f>"000970"</f>
        <v>000970</v>
      </c>
      <c r="C4284" t="s">
        <v>8916</v>
      </c>
      <c r="D4284" t="s">
        <v>1559</v>
      </c>
      <c r="E4284">
        <v>-343456681</v>
      </c>
      <c r="F4284">
        <v>-22086096</v>
      </c>
      <c r="G4284">
        <v>189077425</v>
      </c>
      <c r="H4284">
        <v>184126891</v>
      </c>
      <c r="I4284">
        <v>205738889</v>
      </c>
      <c r="J4284">
        <v>26120816</v>
      </c>
      <c r="K4284">
        <v>200154430</v>
      </c>
      <c r="L4284">
        <v>137842513</v>
      </c>
      <c r="M4284">
        <v>-7432091</v>
      </c>
      <c r="N4284">
        <v>92931922</v>
      </c>
      <c r="O4284">
        <v>608458027</v>
      </c>
      <c r="P4284">
        <v>364</v>
      </c>
      <c r="Q4284" t="s">
        <v>8917</v>
      </c>
    </row>
    <row r="4285" spans="1:17" x14ac:dyDescent="0.3">
      <c r="A4285" t="s">
        <v>33</v>
      </c>
      <c r="B4285" t="str">
        <f>"003013"</f>
        <v>003013</v>
      </c>
      <c r="C4285" t="s">
        <v>8918</v>
      </c>
      <c r="D4285" t="s">
        <v>4300</v>
      </c>
      <c r="E4285">
        <v>-344601563</v>
      </c>
      <c r="F4285">
        <v>-396785604</v>
      </c>
      <c r="G4285">
        <v>-226925718</v>
      </c>
      <c r="P4285">
        <v>101</v>
      </c>
      <c r="Q4285" t="s">
        <v>8919</v>
      </c>
    </row>
    <row r="4286" spans="1:17" x14ac:dyDescent="0.3">
      <c r="A4286" t="s">
        <v>33</v>
      </c>
      <c r="B4286" t="str">
        <f>"000404"</f>
        <v>000404</v>
      </c>
      <c r="C4286" t="s">
        <v>8920</v>
      </c>
      <c r="D4286" t="s">
        <v>1869</v>
      </c>
      <c r="E4286">
        <v>-344976263</v>
      </c>
      <c r="F4286">
        <v>-61232686</v>
      </c>
      <c r="G4286">
        <v>3941234</v>
      </c>
      <c r="H4286">
        <v>437011054</v>
      </c>
      <c r="I4286">
        <v>-286120369</v>
      </c>
      <c r="J4286">
        <v>-716814047</v>
      </c>
      <c r="K4286">
        <v>-182319315</v>
      </c>
      <c r="L4286">
        <v>33901039</v>
      </c>
      <c r="M4286">
        <v>176840936</v>
      </c>
      <c r="N4286">
        <v>-160982466</v>
      </c>
      <c r="O4286">
        <v>-143958843</v>
      </c>
      <c r="P4286">
        <v>113</v>
      </c>
      <c r="Q4286" t="s">
        <v>8921</v>
      </c>
    </row>
    <row r="4287" spans="1:17" x14ac:dyDescent="0.3">
      <c r="A4287" t="s">
        <v>17</v>
      </c>
      <c r="B4287" t="str">
        <f>"601311"</f>
        <v>601311</v>
      </c>
      <c r="C4287" t="s">
        <v>8922</v>
      </c>
      <c r="D4287" t="s">
        <v>1536</v>
      </c>
      <c r="E4287">
        <v>-345168965</v>
      </c>
      <c r="F4287">
        <v>-390171359</v>
      </c>
      <c r="G4287">
        <v>632998446</v>
      </c>
      <c r="H4287">
        <v>16063640</v>
      </c>
      <c r="I4287">
        <v>-7099735</v>
      </c>
      <c r="J4287">
        <v>-250409894</v>
      </c>
      <c r="K4287">
        <v>7734565</v>
      </c>
      <c r="L4287">
        <v>135492558</v>
      </c>
      <c r="M4287">
        <v>-16665916</v>
      </c>
      <c r="N4287">
        <v>9450717</v>
      </c>
      <c r="O4287">
        <v>17840653</v>
      </c>
      <c r="P4287">
        <v>339</v>
      </c>
      <c r="Q4287" t="s">
        <v>8923</v>
      </c>
    </row>
    <row r="4288" spans="1:17" x14ac:dyDescent="0.3">
      <c r="A4288" t="s">
        <v>33</v>
      </c>
      <c r="B4288" t="str">
        <f>"002163"</f>
        <v>002163</v>
      </c>
      <c r="C4288" t="s">
        <v>8924</v>
      </c>
      <c r="D4288" t="s">
        <v>1025</v>
      </c>
      <c r="E4288">
        <v>-345806552</v>
      </c>
      <c r="F4288">
        <v>-173574949</v>
      </c>
      <c r="G4288">
        <v>-48650008</v>
      </c>
      <c r="H4288">
        <v>35845459</v>
      </c>
      <c r="I4288">
        <v>-29805857</v>
      </c>
      <c r="J4288">
        <v>83109032</v>
      </c>
      <c r="K4288">
        <v>-80950517</v>
      </c>
      <c r="L4288">
        <v>-140131729</v>
      </c>
      <c r="M4288">
        <v>-148662586</v>
      </c>
      <c r="N4288">
        <v>-198806560</v>
      </c>
      <c r="O4288">
        <v>-128740128</v>
      </c>
      <c r="P4288">
        <v>170</v>
      </c>
      <c r="Q4288" t="s">
        <v>8925</v>
      </c>
    </row>
    <row r="4289" spans="1:17" x14ac:dyDescent="0.3">
      <c r="A4289" t="s">
        <v>33</v>
      </c>
      <c r="B4289" t="str">
        <f>"003012"</f>
        <v>003012</v>
      </c>
      <c r="C4289" t="s">
        <v>8926</v>
      </c>
      <c r="D4289" t="s">
        <v>2743</v>
      </c>
      <c r="E4289">
        <v>-348311783</v>
      </c>
      <c r="F4289">
        <v>36906382</v>
      </c>
      <c r="G4289">
        <v>-755356302</v>
      </c>
      <c r="J4289">
        <v>34573059</v>
      </c>
      <c r="P4289">
        <v>120</v>
      </c>
      <c r="Q4289" t="s">
        <v>8927</v>
      </c>
    </row>
    <row r="4290" spans="1:17" x14ac:dyDescent="0.3">
      <c r="A4290" t="s">
        <v>17</v>
      </c>
      <c r="B4290" t="str">
        <f>"600138"</f>
        <v>600138</v>
      </c>
      <c r="C4290" t="s">
        <v>8928</v>
      </c>
      <c r="D4290" t="s">
        <v>3669</v>
      </c>
      <c r="E4290">
        <v>-348961626</v>
      </c>
      <c r="F4290">
        <v>-90723512</v>
      </c>
      <c r="G4290">
        <v>333411769</v>
      </c>
      <c r="H4290">
        <v>75238464</v>
      </c>
      <c r="I4290">
        <v>-134595054</v>
      </c>
      <c r="J4290">
        <v>1144063</v>
      </c>
      <c r="K4290">
        <v>23275129</v>
      </c>
      <c r="L4290">
        <v>-24434727</v>
      </c>
      <c r="M4290">
        <v>-49320950</v>
      </c>
      <c r="N4290">
        <v>111296367</v>
      </c>
      <c r="O4290">
        <v>-63848104</v>
      </c>
      <c r="P4290">
        <v>486</v>
      </c>
      <c r="Q4290" t="s">
        <v>8929</v>
      </c>
    </row>
    <row r="4291" spans="1:17" x14ac:dyDescent="0.3">
      <c r="A4291" t="s">
        <v>17</v>
      </c>
      <c r="B4291" t="str">
        <f>"600223"</f>
        <v>600223</v>
      </c>
      <c r="C4291" t="s">
        <v>8930</v>
      </c>
      <c r="D4291" t="s">
        <v>167</v>
      </c>
      <c r="E4291">
        <v>-349836201</v>
      </c>
      <c r="F4291">
        <v>248589678</v>
      </c>
      <c r="G4291">
        <v>-1015130299</v>
      </c>
      <c r="H4291">
        <v>436742766</v>
      </c>
      <c r="I4291">
        <v>-724791648</v>
      </c>
      <c r="J4291">
        <v>586374160</v>
      </c>
      <c r="K4291">
        <v>-754477490</v>
      </c>
      <c r="L4291">
        <v>-828683534</v>
      </c>
      <c r="M4291">
        <v>-2149389158</v>
      </c>
      <c r="N4291">
        <v>-881069290</v>
      </c>
      <c r="O4291">
        <v>-170146038</v>
      </c>
      <c r="P4291">
        <v>361</v>
      </c>
      <c r="Q4291" t="s">
        <v>8931</v>
      </c>
    </row>
    <row r="4292" spans="1:17" x14ac:dyDescent="0.3">
      <c r="A4292" t="s">
        <v>17</v>
      </c>
      <c r="B4292" t="str">
        <f>"605168"</f>
        <v>605168</v>
      </c>
      <c r="C4292" t="s">
        <v>8932</v>
      </c>
      <c r="D4292" t="s">
        <v>1125</v>
      </c>
      <c r="E4292">
        <v>-349933348</v>
      </c>
      <c r="F4292">
        <v>-250286450</v>
      </c>
      <c r="G4292">
        <v>-259565608</v>
      </c>
      <c r="H4292">
        <v>-190915431</v>
      </c>
      <c r="P4292">
        <v>317</v>
      </c>
      <c r="Q4292" t="s">
        <v>8933</v>
      </c>
    </row>
    <row r="4293" spans="1:17" x14ac:dyDescent="0.3">
      <c r="A4293" t="s">
        <v>17</v>
      </c>
      <c r="B4293" t="str">
        <f>"688331"</f>
        <v>688331</v>
      </c>
      <c r="C4293" t="s">
        <v>8934</v>
      </c>
      <c r="E4293">
        <v>-350478067</v>
      </c>
      <c r="P4293">
        <v>5</v>
      </c>
      <c r="Q4293" t="s">
        <v>8935</v>
      </c>
    </row>
    <row r="4294" spans="1:17" x14ac:dyDescent="0.3">
      <c r="A4294" t="s">
        <v>33</v>
      </c>
      <c r="B4294" t="str">
        <f>"300059"</f>
        <v>300059</v>
      </c>
      <c r="C4294" t="s">
        <v>8936</v>
      </c>
      <c r="D4294" t="s">
        <v>52</v>
      </c>
      <c r="E4294">
        <v>-351604015</v>
      </c>
      <c r="F4294">
        <v>3328643018</v>
      </c>
      <c r="G4294">
        <v>1435632603</v>
      </c>
      <c r="H4294">
        <v>16697547561</v>
      </c>
      <c r="I4294">
        <v>2434310647</v>
      </c>
      <c r="J4294">
        <v>111673256</v>
      </c>
      <c r="K4294">
        <v>-1444853025</v>
      </c>
      <c r="L4294">
        <v>2053155717</v>
      </c>
      <c r="M4294">
        <v>-95909502</v>
      </c>
      <c r="N4294">
        <v>-1685588</v>
      </c>
      <c r="O4294">
        <v>4040618</v>
      </c>
      <c r="P4294">
        <v>5893</v>
      </c>
      <c r="Q4294" t="s">
        <v>8937</v>
      </c>
    </row>
    <row r="4295" spans="1:17" x14ac:dyDescent="0.3">
      <c r="A4295" t="s">
        <v>33</v>
      </c>
      <c r="B4295" t="str">
        <f>"002482"</f>
        <v>002482</v>
      </c>
      <c r="C4295" t="s">
        <v>8938</v>
      </c>
      <c r="D4295" t="s">
        <v>1779</v>
      </c>
      <c r="E4295">
        <v>-351846663</v>
      </c>
      <c r="F4295">
        <v>487758482</v>
      </c>
      <c r="G4295">
        <v>286495380</v>
      </c>
      <c r="H4295">
        <v>-1148557455</v>
      </c>
      <c r="I4295">
        <v>-416710518</v>
      </c>
      <c r="J4295">
        <v>-302411228</v>
      </c>
      <c r="K4295">
        <v>-589161918</v>
      </c>
      <c r="L4295">
        <v>-997400328</v>
      </c>
      <c r="M4295">
        <v>-658543560</v>
      </c>
      <c r="N4295">
        <v>46500050</v>
      </c>
      <c r="O4295">
        <v>-6415242</v>
      </c>
      <c r="P4295">
        <v>112</v>
      </c>
      <c r="Q4295" t="s">
        <v>8939</v>
      </c>
    </row>
    <row r="4296" spans="1:17" x14ac:dyDescent="0.3">
      <c r="A4296" t="s">
        <v>17</v>
      </c>
      <c r="B4296" t="str">
        <f>"600537"</f>
        <v>600537</v>
      </c>
      <c r="C4296" t="s">
        <v>8940</v>
      </c>
      <c r="D4296" t="s">
        <v>690</v>
      </c>
      <c r="E4296">
        <v>-352522245</v>
      </c>
      <c r="F4296">
        <v>-467742077</v>
      </c>
      <c r="G4296">
        <v>-23047089</v>
      </c>
      <c r="H4296">
        <v>-357116293</v>
      </c>
      <c r="I4296">
        <v>-120277689</v>
      </c>
      <c r="J4296">
        <v>-289518664</v>
      </c>
      <c r="K4296">
        <v>91927522</v>
      </c>
      <c r="L4296">
        <v>-78182594</v>
      </c>
      <c r="M4296">
        <v>91472774</v>
      </c>
      <c r="N4296">
        <v>98241200</v>
      </c>
      <c r="O4296">
        <v>-161325856</v>
      </c>
      <c r="P4296">
        <v>147</v>
      </c>
      <c r="Q4296" t="s">
        <v>8941</v>
      </c>
    </row>
    <row r="4297" spans="1:17" x14ac:dyDescent="0.3">
      <c r="A4297" t="s">
        <v>33</v>
      </c>
      <c r="B4297" t="str">
        <f>"300208"</f>
        <v>300208</v>
      </c>
      <c r="C4297" t="s">
        <v>8942</v>
      </c>
      <c r="D4297" t="s">
        <v>523</v>
      </c>
      <c r="E4297">
        <v>-353022316</v>
      </c>
      <c r="F4297">
        <v>74589822</v>
      </c>
      <c r="G4297">
        <v>152599786</v>
      </c>
      <c r="H4297">
        <v>-255088059</v>
      </c>
      <c r="I4297">
        <v>-182160953</v>
      </c>
      <c r="J4297">
        <v>-34282128</v>
      </c>
      <c r="K4297">
        <v>-53321340</v>
      </c>
      <c r="L4297">
        <v>26817628</v>
      </c>
      <c r="M4297">
        <v>10352976</v>
      </c>
      <c r="N4297">
        <v>16083925</v>
      </c>
      <c r="O4297">
        <v>22565326</v>
      </c>
      <c r="P4297">
        <v>144</v>
      </c>
      <c r="Q4297" t="s">
        <v>8943</v>
      </c>
    </row>
    <row r="4298" spans="1:17" x14ac:dyDescent="0.3">
      <c r="A4298" t="s">
        <v>17</v>
      </c>
      <c r="B4298" t="str">
        <f>"600587"</f>
        <v>600587</v>
      </c>
      <c r="C4298" t="s">
        <v>8944</v>
      </c>
      <c r="D4298" t="s">
        <v>111</v>
      </c>
      <c r="E4298">
        <v>-353160625</v>
      </c>
      <c r="F4298">
        <v>329475155</v>
      </c>
      <c r="G4298">
        <v>-973860</v>
      </c>
      <c r="H4298">
        <v>102658715</v>
      </c>
      <c r="I4298">
        <v>-355131904</v>
      </c>
      <c r="J4298">
        <v>-59988780</v>
      </c>
      <c r="K4298">
        <v>-393836829</v>
      </c>
      <c r="L4298">
        <v>-158124133</v>
      </c>
      <c r="M4298">
        <v>-29662597</v>
      </c>
      <c r="N4298">
        <v>-11811583</v>
      </c>
      <c r="O4298">
        <v>-12377724</v>
      </c>
      <c r="P4298">
        <v>533</v>
      </c>
      <c r="Q4298" t="s">
        <v>8945</v>
      </c>
    </row>
    <row r="4299" spans="1:17" x14ac:dyDescent="0.3">
      <c r="A4299" t="s">
        <v>33</v>
      </c>
      <c r="B4299" t="str">
        <f>"002960"</f>
        <v>002960</v>
      </c>
      <c r="C4299" t="s">
        <v>8946</v>
      </c>
      <c r="D4299" t="s">
        <v>2528</v>
      </c>
      <c r="E4299">
        <v>-353643407</v>
      </c>
      <c r="F4299">
        <v>-290712115</v>
      </c>
      <c r="G4299">
        <v>-210583073</v>
      </c>
      <c r="H4299">
        <v>-201535600</v>
      </c>
      <c r="I4299">
        <v>-166773000</v>
      </c>
      <c r="P4299">
        <v>389</v>
      </c>
      <c r="Q4299" t="s">
        <v>8947</v>
      </c>
    </row>
    <row r="4300" spans="1:17" x14ac:dyDescent="0.3">
      <c r="A4300" t="s">
        <v>17</v>
      </c>
      <c r="B4300" t="str">
        <f>"600830"</f>
        <v>600830</v>
      </c>
      <c r="C4300" t="s">
        <v>8948</v>
      </c>
      <c r="D4300" t="s">
        <v>114</v>
      </c>
      <c r="E4300">
        <v>-355649068</v>
      </c>
      <c r="F4300">
        <v>-278646161</v>
      </c>
      <c r="G4300">
        <v>11197035</v>
      </c>
      <c r="H4300">
        <v>142363634</v>
      </c>
      <c r="I4300">
        <v>-72034866</v>
      </c>
      <c r="J4300">
        <v>-231564741</v>
      </c>
      <c r="K4300">
        <v>-323493950</v>
      </c>
      <c r="L4300">
        <v>-88795656</v>
      </c>
      <c r="M4300">
        <v>-16176161</v>
      </c>
      <c r="N4300">
        <v>-83128388</v>
      </c>
      <c r="O4300">
        <v>-45748108</v>
      </c>
      <c r="P4300">
        <v>73</v>
      </c>
      <c r="Q4300" t="s">
        <v>8949</v>
      </c>
    </row>
    <row r="4301" spans="1:17" x14ac:dyDescent="0.3">
      <c r="A4301" t="s">
        <v>17</v>
      </c>
      <c r="B4301" t="str">
        <f>"600316"</f>
        <v>600316</v>
      </c>
      <c r="C4301" t="s">
        <v>8950</v>
      </c>
      <c r="D4301" t="s">
        <v>2262</v>
      </c>
      <c r="E4301">
        <v>-356547671</v>
      </c>
      <c r="F4301">
        <v>47261596</v>
      </c>
      <c r="G4301">
        <v>-319019022</v>
      </c>
      <c r="H4301">
        <v>289133936</v>
      </c>
      <c r="I4301">
        <v>26143250</v>
      </c>
      <c r="J4301">
        <v>-382382127</v>
      </c>
      <c r="K4301">
        <v>-145247152</v>
      </c>
      <c r="L4301">
        <v>-480050839</v>
      </c>
      <c r="M4301">
        <v>-164736954</v>
      </c>
      <c r="N4301">
        <v>-2006734</v>
      </c>
      <c r="O4301">
        <v>-184330773</v>
      </c>
      <c r="P4301">
        <v>387</v>
      </c>
      <c r="Q4301" t="s">
        <v>8951</v>
      </c>
    </row>
    <row r="4302" spans="1:17" x14ac:dyDescent="0.3">
      <c r="A4302" t="s">
        <v>33</v>
      </c>
      <c r="B4302" t="str">
        <f>"002133"</f>
        <v>002133</v>
      </c>
      <c r="C4302" t="s">
        <v>8952</v>
      </c>
      <c r="D4302" t="s">
        <v>167</v>
      </c>
      <c r="E4302">
        <v>-356942562</v>
      </c>
      <c r="F4302">
        <v>350494924</v>
      </c>
      <c r="G4302">
        <v>555041979</v>
      </c>
      <c r="H4302">
        <v>-105402598</v>
      </c>
      <c r="I4302">
        <v>-156655108</v>
      </c>
      <c r="J4302">
        <v>451301389</v>
      </c>
      <c r="K4302">
        <v>108442625</v>
      </c>
      <c r="L4302">
        <v>-17799966</v>
      </c>
      <c r="M4302">
        <v>-48707106</v>
      </c>
      <c r="N4302">
        <v>26716920</v>
      </c>
      <c r="O4302">
        <v>-52972911</v>
      </c>
      <c r="P4302">
        <v>132</v>
      </c>
      <c r="Q4302" t="s">
        <v>8953</v>
      </c>
    </row>
    <row r="4303" spans="1:17" x14ac:dyDescent="0.3">
      <c r="A4303" t="s">
        <v>33</v>
      </c>
      <c r="B4303" t="str">
        <f>"300482"</f>
        <v>300482</v>
      </c>
      <c r="C4303" t="s">
        <v>8954</v>
      </c>
      <c r="D4303" t="s">
        <v>221</v>
      </c>
      <c r="E4303">
        <v>-357477957</v>
      </c>
      <c r="F4303">
        <v>20347935</v>
      </c>
      <c r="G4303">
        <v>488250910</v>
      </c>
      <c r="H4303">
        <v>23305635</v>
      </c>
      <c r="I4303">
        <v>38962421</v>
      </c>
      <c r="J4303">
        <v>21348905</v>
      </c>
      <c r="K4303">
        <v>16960917</v>
      </c>
      <c r="L4303">
        <v>3953483</v>
      </c>
      <c r="M4303">
        <v>1626700</v>
      </c>
      <c r="P4303">
        <v>17071</v>
      </c>
      <c r="Q4303" t="s">
        <v>8955</v>
      </c>
    </row>
    <row r="4304" spans="1:17" x14ac:dyDescent="0.3">
      <c r="A4304" t="s">
        <v>33</v>
      </c>
      <c r="B4304" t="str">
        <f>"002852"</f>
        <v>002852</v>
      </c>
      <c r="C4304" t="s">
        <v>8956</v>
      </c>
      <c r="D4304" t="s">
        <v>358</v>
      </c>
      <c r="E4304">
        <v>-361530108</v>
      </c>
      <c r="F4304">
        <v>31946268</v>
      </c>
      <c r="G4304">
        <v>-122952459</v>
      </c>
      <c r="H4304">
        <v>-19544790</v>
      </c>
      <c r="I4304">
        <v>-70154712</v>
      </c>
      <c r="J4304">
        <v>-105973614</v>
      </c>
      <c r="K4304">
        <v>48379922</v>
      </c>
      <c r="P4304">
        <v>141</v>
      </c>
      <c r="Q4304" t="s">
        <v>8957</v>
      </c>
    </row>
    <row r="4305" spans="1:17" x14ac:dyDescent="0.3">
      <c r="A4305" t="s">
        <v>17</v>
      </c>
      <c r="B4305" t="str">
        <f>"600162"</f>
        <v>600162</v>
      </c>
      <c r="C4305" t="s">
        <v>8958</v>
      </c>
      <c r="D4305" t="s">
        <v>167</v>
      </c>
      <c r="E4305">
        <v>-363497436</v>
      </c>
      <c r="F4305">
        <v>-634134038</v>
      </c>
      <c r="G4305">
        <v>-46871443</v>
      </c>
      <c r="H4305">
        <v>989203642</v>
      </c>
      <c r="I4305">
        <v>-184465958</v>
      </c>
      <c r="J4305">
        <v>378946635</v>
      </c>
      <c r="K4305">
        <v>542211374</v>
      </c>
      <c r="L4305">
        <v>219579948</v>
      </c>
      <c r="M4305">
        <v>-56113590</v>
      </c>
      <c r="N4305">
        <v>105063512</v>
      </c>
      <c r="O4305">
        <v>300139656</v>
      </c>
      <c r="P4305">
        <v>170</v>
      </c>
      <c r="Q4305" t="s">
        <v>8959</v>
      </c>
    </row>
    <row r="4306" spans="1:17" x14ac:dyDescent="0.3">
      <c r="A4306" t="s">
        <v>17</v>
      </c>
      <c r="B4306" t="str">
        <f>"603609"</f>
        <v>603609</v>
      </c>
      <c r="C4306" t="s">
        <v>8960</v>
      </c>
      <c r="D4306" t="s">
        <v>1825</v>
      </c>
      <c r="E4306">
        <v>-364899379</v>
      </c>
      <c r="F4306">
        <v>-556311101</v>
      </c>
      <c r="G4306">
        <v>-40329752</v>
      </c>
      <c r="H4306">
        <v>13296101</v>
      </c>
      <c r="I4306">
        <v>-144835288</v>
      </c>
      <c r="J4306">
        <v>-273905958</v>
      </c>
      <c r="K4306">
        <v>-212100479</v>
      </c>
      <c r="L4306">
        <v>-421870775</v>
      </c>
      <c r="M4306">
        <v>-7603000</v>
      </c>
      <c r="N4306">
        <v>-205237400</v>
      </c>
      <c r="P4306">
        <v>507</v>
      </c>
      <c r="Q4306" t="s">
        <v>8961</v>
      </c>
    </row>
    <row r="4307" spans="1:17" x14ac:dyDescent="0.3">
      <c r="A4307" t="s">
        <v>17</v>
      </c>
      <c r="B4307" t="str">
        <f>"603970"</f>
        <v>603970</v>
      </c>
      <c r="C4307" t="s">
        <v>8962</v>
      </c>
      <c r="D4307" t="s">
        <v>636</v>
      </c>
      <c r="E4307">
        <v>-368044385</v>
      </c>
      <c r="F4307">
        <v>-240777491</v>
      </c>
      <c r="G4307">
        <v>-188595994</v>
      </c>
      <c r="H4307">
        <v>-94675731</v>
      </c>
      <c r="I4307">
        <v>-153373872</v>
      </c>
      <c r="J4307">
        <v>129768672</v>
      </c>
      <c r="P4307">
        <v>90</v>
      </c>
      <c r="Q4307" t="s">
        <v>8963</v>
      </c>
    </row>
    <row r="4308" spans="1:17" x14ac:dyDescent="0.3">
      <c r="A4308" t="s">
        <v>33</v>
      </c>
      <c r="B4308" t="str">
        <f>"002091"</f>
        <v>002091</v>
      </c>
      <c r="C4308" t="s">
        <v>8964</v>
      </c>
      <c r="D4308" t="s">
        <v>1592</v>
      </c>
      <c r="E4308">
        <v>-368366240</v>
      </c>
      <c r="F4308">
        <v>-1300674742</v>
      </c>
      <c r="G4308">
        <v>57094486</v>
      </c>
      <c r="H4308">
        <v>-732090865</v>
      </c>
      <c r="I4308">
        <v>24574847</v>
      </c>
      <c r="J4308">
        <v>138010537</v>
      </c>
      <c r="K4308">
        <v>1601332</v>
      </c>
      <c r="L4308">
        <v>41033533</v>
      </c>
      <c r="M4308">
        <v>-58750157</v>
      </c>
      <c r="N4308">
        <v>-2953057</v>
      </c>
      <c r="O4308">
        <v>39255352</v>
      </c>
      <c r="P4308">
        <v>509</v>
      </c>
      <c r="Q4308" t="s">
        <v>8965</v>
      </c>
    </row>
    <row r="4309" spans="1:17" x14ac:dyDescent="0.3">
      <c r="A4309" t="s">
        <v>33</v>
      </c>
      <c r="B4309" t="str">
        <f>"002127"</f>
        <v>002127</v>
      </c>
      <c r="C4309" t="s">
        <v>8966</v>
      </c>
      <c r="D4309" t="s">
        <v>3516</v>
      </c>
      <c r="E4309">
        <v>-369258400</v>
      </c>
      <c r="F4309">
        <v>-283791602</v>
      </c>
      <c r="G4309">
        <v>-369792837</v>
      </c>
      <c r="H4309">
        <v>91167764</v>
      </c>
      <c r="I4309">
        <v>-46680575</v>
      </c>
      <c r="J4309">
        <v>6524239</v>
      </c>
      <c r="K4309">
        <v>13426988</v>
      </c>
      <c r="L4309">
        <v>51572607</v>
      </c>
      <c r="M4309">
        <v>665390</v>
      </c>
      <c r="N4309">
        <v>-44678005</v>
      </c>
      <c r="O4309">
        <v>168756452</v>
      </c>
      <c r="P4309">
        <v>1745</v>
      </c>
      <c r="Q4309" t="s">
        <v>8967</v>
      </c>
    </row>
    <row r="4310" spans="1:17" x14ac:dyDescent="0.3">
      <c r="A4310" t="s">
        <v>33</v>
      </c>
      <c r="B4310" t="str">
        <f>"300203"</f>
        <v>300203</v>
      </c>
      <c r="C4310" t="s">
        <v>8968</v>
      </c>
      <c r="D4310" t="s">
        <v>2171</v>
      </c>
      <c r="E4310">
        <v>-372615165</v>
      </c>
      <c r="F4310">
        <v>-392626362</v>
      </c>
      <c r="G4310">
        <v>-206803389</v>
      </c>
      <c r="H4310">
        <v>-379284594</v>
      </c>
      <c r="I4310">
        <v>-183575393</v>
      </c>
      <c r="J4310">
        <v>-259045486</v>
      </c>
      <c r="K4310">
        <v>-241645930</v>
      </c>
      <c r="L4310">
        <v>-112950102</v>
      </c>
      <c r="M4310">
        <v>-92988574</v>
      </c>
      <c r="N4310">
        <v>-85520365</v>
      </c>
      <c r="O4310">
        <v>-76687452</v>
      </c>
      <c r="P4310">
        <v>431</v>
      </c>
      <c r="Q4310" t="s">
        <v>8969</v>
      </c>
    </row>
    <row r="4311" spans="1:17" x14ac:dyDescent="0.3">
      <c r="A4311" t="s">
        <v>33</v>
      </c>
      <c r="B4311" t="str">
        <f>"000998"</f>
        <v>000998</v>
      </c>
      <c r="C4311" t="s">
        <v>8970</v>
      </c>
      <c r="D4311" t="s">
        <v>1990</v>
      </c>
      <c r="E4311">
        <v>-373229075</v>
      </c>
      <c r="F4311">
        <v>-231517417</v>
      </c>
      <c r="G4311">
        <v>-173539303</v>
      </c>
      <c r="H4311">
        <v>-591446551</v>
      </c>
      <c r="I4311">
        <v>-536014177</v>
      </c>
      <c r="J4311">
        <v>-296911887</v>
      </c>
      <c r="K4311">
        <v>-88540053</v>
      </c>
      <c r="L4311">
        <v>49132391</v>
      </c>
      <c r="M4311">
        <v>-66904099</v>
      </c>
      <c r="N4311">
        <v>63011723</v>
      </c>
      <c r="O4311">
        <v>161114518</v>
      </c>
      <c r="P4311">
        <v>649</v>
      </c>
      <c r="Q4311" t="s">
        <v>8971</v>
      </c>
    </row>
    <row r="4312" spans="1:17" x14ac:dyDescent="0.3">
      <c r="A4312" t="s">
        <v>33</v>
      </c>
      <c r="B4312" t="str">
        <f>"002527"</f>
        <v>002527</v>
      </c>
      <c r="C4312" t="s">
        <v>8972</v>
      </c>
      <c r="D4312" t="s">
        <v>1142</v>
      </c>
      <c r="E4312">
        <v>-373892259</v>
      </c>
      <c r="F4312">
        <v>-15863442</v>
      </c>
      <c r="G4312">
        <v>-38345460</v>
      </c>
      <c r="H4312">
        <v>-20362819</v>
      </c>
      <c r="I4312">
        <v>-233298858</v>
      </c>
      <c r="J4312">
        <v>-107764580</v>
      </c>
      <c r="K4312">
        <v>8564808</v>
      </c>
      <c r="L4312">
        <v>-8275424</v>
      </c>
      <c r="M4312">
        <v>-6195078</v>
      </c>
      <c r="N4312">
        <v>-1260082</v>
      </c>
      <c r="O4312">
        <v>3450188</v>
      </c>
      <c r="P4312">
        <v>161</v>
      </c>
      <c r="Q4312" t="s">
        <v>8973</v>
      </c>
    </row>
    <row r="4313" spans="1:17" x14ac:dyDescent="0.3">
      <c r="A4313" t="s">
        <v>17</v>
      </c>
      <c r="B4313" t="str">
        <f>"603220"</f>
        <v>603220</v>
      </c>
      <c r="C4313" t="s">
        <v>8974</v>
      </c>
      <c r="D4313" t="s">
        <v>4393</v>
      </c>
      <c r="E4313">
        <v>-373957444</v>
      </c>
      <c r="F4313">
        <v>-313989853</v>
      </c>
      <c r="G4313">
        <v>-214715770</v>
      </c>
      <c r="H4313">
        <v>-201715882</v>
      </c>
      <c r="I4313">
        <v>-107470493</v>
      </c>
      <c r="P4313">
        <v>146</v>
      </c>
      <c r="Q4313" t="s">
        <v>8975</v>
      </c>
    </row>
    <row r="4314" spans="1:17" x14ac:dyDescent="0.3">
      <c r="A4314" t="s">
        <v>33</v>
      </c>
      <c r="B4314" t="str">
        <f>"000400"</f>
        <v>000400</v>
      </c>
      <c r="C4314" t="s">
        <v>8976</v>
      </c>
      <c r="D4314" t="s">
        <v>1182</v>
      </c>
      <c r="E4314">
        <v>-376005871</v>
      </c>
      <c r="F4314">
        <v>-22641799</v>
      </c>
      <c r="G4314">
        <v>-201358658</v>
      </c>
      <c r="H4314">
        <v>-225911362</v>
      </c>
      <c r="I4314">
        <v>-305832966</v>
      </c>
      <c r="J4314">
        <v>-662564777</v>
      </c>
      <c r="K4314">
        <v>-215339555</v>
      </c>
      <c r="L4314">
        <v>-202430292</v>
      </c>
      <c r="M4314">
        <v>-412633895</v>
      </c>
      <c r="N4314">
        <v>126358940</v>
      </c>
      <c r="O4314">
        <v>-173849164</v>
      </c>
      <c r="P4314">
        <v>688</v>
      </c>
      <c r="Q4314" t="s">
        <v>8977</v>
      </c>
    </row>
    <row r="4315" spans="1:17" x14ac:dyDescent="0.3">
      <c r="A4315" t="s">
        <v>17</v>
      </c>
      <c r="B4315" t="str">
        <f>"601021"</f>
        <v>601021</v>
      </c>
      <c r="C4315" t="s">
        <v>8978</v>
      </c>
      <c r="D4315" t="s">
        <v>1166</v>
      </c>
      <c r="E4315">
        <v>-383005519</v>
      </c>
      <c r="F4315">
        <v>-394280735</v>
      </c>
      <c r="G4315">
        <v>-892784862</v>
      </c>
      <c r="H4315">
        <v>613235577</v>
      </c>
      <c r="I4315">
        <v>546026903</v>
      </c>
      <c r="J4315">
        <v>-15381285</v>
      </c>
      <c r="K4315">
        <v>73357843</v>
      </c>
      <c r="L4315">
        <v>143752800</v>
      </c>
      <c r="M4315">
        <v>62873000</v>
      </c>
      <c r="P4315">
        <v>1019</v>
      </c>
      <c r="Q4315" t="s">
        <v>8979</v>
      </c>
    </row>
    <row r="4316" spans="1:17" x14ac:dyDescent="0.3">
      <c r="A4316" t="s">
        <v>33</v>
      </c>
      <c r="B4316" t="str">
        <f>"002410"</f>
        <v>002410</v>
      </c>
      <c r="C4316" t="s">
        <v>8980</v>
      </c>
      <c r="D4316" t="s">
        <v>807</v>
      </c>
      <c r="E4316">
        <v>-383987215</v>
      </c>
      <c r="F4316">
        <v>-121777328</v>
      </c>
      <c r="G4316">
        <v>-19080723</v>
      </c>
      <c r="H4316">
        <v>-238289489</v>
      </c>
      <c r="I4316">
        <v>-285944920</v>
      </c>
      <c r="J4316">
        <v>-120202704</v>
      </c>
      <c r="K4316">
        <v>-142586917</v>
      </c>
      <c r="L4316">
        <v>-148725260</v>
      </c>
      <c r="M4316">
        <v>-123295976</v>
      </c>
      <c r="N4316">
        <v>-56397200</v>
      </c>
      <c r="O4316">
        <v>-72849382</v>
      </c>
      <c r="P4316">
        <v>2190</v>
      </c>
      <c r="Q4316" t="s">
        <v>8981</v>
      </c>
    </row>
    <row r="4317" spans="1:17" x14ac:dyDescent="0.3">
      <c r="A4317" t="s">
        <v>17</v>
      </c>
      <c r="B4317" t="str">
        <f>"688066"</f>
        <v>688066</v>
      </c>
      <c r="C4317" t="s">
        <v>8982</v>
      </c>
      <c r="D4317" t="s">
        <v>508</v>
      </c>
      <c r="E4317">
        <v>-384299935</v>
      </c>
      <c r="F4317">
        <v>-134047569</v>
      </c>
      <c r="G4317">
        <v>-80203292</v>
      </c>
      <c r="H4317">
        <v>-136855700</v>
      </c>
      <c r="I4317">
        <v>-70878700</v>
      </c>
      <c r="P4317">
        <v>159</v>
      </c>
      <c r="Q4317" t="s">
        <v>8983</v>
      </c>
    </row>
    <row r="4318" spans="1:17" x14ac:dyDescent="0.3">
      <c r="A4318" t="s">
        <v>17</v>
      </c>
      <c r="B4318" t="str">
        <f>"600072"</f>
        <v>600072</v>
      </c>
      <c r="C4318" t="s">
        <v>8984</v>
      </c>
      <c r="D4318" t="s">
        <v>248</v>
      </c>
      <c r="E4318">
        <v>-385199165</v>
      </c>
      <c r="F4318">
        <v>269025582</v>
      </c>
      <c r="G4318">
        <v>-321093429</v>
      </c>
      <c r="H4318">
        <v>-472696732</v>
      </c>
      <c r="I4318">
        <v>-349663072</v>
      </c>
      <c r="J4318">
        <v>-653521966</v>
      </c>
      <c r="K4318">
        <v>-66608860</v>
      </c>
      <c r="L4318">
        <v>22897106</v>
      </c>
      <c r="M4318">
        <v>-44460068</v>
      </c>
      <c r="N4318">
        <v>-34961714</v>
      </c>
      <c r="O4318">
        <v>-70069667</v>
      </c>
      <c r="P4318">
        <v>181</v>
      </c>
      <c r="Q4318" t="s">
        <v>8985</v>
      </c>
    </row>
    <row r="4319" spans="1:17" x14ac:dyDescent="0.3">
      <c r="A4319" t="s">
        <v>33</v>
      </c>
      <c r="B4319" t="str">
        <f>"301219"</f>
        <v>301219</v>
      </c>
      <c r="C4319" t="s">
        <v>8986</v>
      </c>
      <c r="E4319">
        <v>-387083890</v>
      </c>
      <c r="G4319">
        <v>28010446</v>
      </c>
      <c r="P4319">
        <v>8</v>
      </c>
      <c r="Q4319" t="s">
        <v>8987</v>
      </c>
    </row>
    <row r="4320" spans="1:17" x14ac:dyDescent="0.3">
      <c r="A4320" t="s">
        <v>17</v>
      </c>
      <c r="B4320" t="str">
        <f>"600726"</f>
        <v>600726</v>
      </c>
      <c r="C4320" t="s">
        <v>8988</v>
      </c>
      <c r="D4320" t="s">
        <v>145</v>
      </c>
      <c r="E4320">
        <v>-388828630</v>
      </c>
      <c r="F4320">
        <v>110178110</v>
      </c>
      <c r="G4320">
        <v>479170459</v>
      </c>
      <c r="H4320">
        <v>565455673</v>
      </c>
      <c r="I4320">
        <v>149470139</v>
      </c>
      <c r="J4320">
        <v>356417546</v>
      </c>
      <c r="K4320">
        <v>494265619</v>
      </c>
      <c r="L4320">
        <v>694903792</v>
      </c>
      <c r="M4320">
        <v>875057037</v>
      </c>
      <c r="N4320">
        <v>533906768</v>
      </c>
      <c r="O4320">
        <v>232533941</v>
      </c>
      <c r="P4320">
        <v>110</v>
      </c>
      <c r="Q4320" t="s">
        <v>8989</v>
      </c>
    </row>
    <row r="4321" spans="1:17" x14ac:dyDescent="0.3">
      <c r="A4321" t="s">
        <v>33</v>
      </c>
      <c r="B4321" t="str">
        <f>"002043"</f>
        <v>002043</v>
      </c>
      <c r="C4321" t="s">
        <v>8990</v>
      </c>
      <c r="D4321" t="s">
        <v>2632</v>
      </c>
      <c r="E4321">
        <v>-391364908</v>
      </c>
      <c r="F4321">
        <v>-284262002</v>
      </c>
      <c r="G4321">
        <v>-473304932</v>
      </c>
      <c r="H4321">
        <v>-50083202</v>
      </c>
      <c r="I4321">
        <v>-86460407</v>
      </c>
      <c r="J4321">
        <v>-5409920</v>
      </c>
      <c r="K4321">
        <v>-584956</v>
      </c>
      <c r="L4321">
        <v>-37464877</v>
      </c>
      <c r="M4321">
        <v>-37701843</v>
      </c>
      <c r="N4321">
        <v>-13309367</v>
      </c>
      <c r="O4321">
        <v>-8112953</v>
      </c>
      <c r="P4321">
        <v>665</v>
      </c>
      <c r="Q4321" t="s">
        <v>8991</v>
      </c>
    </row>
    <row r="4322" spans="1:17" x14ac:dyDescent="0.3">
      <c r="A4322" t="s">
        <v>17</v>
      </c>
      <c r="B4322" t="str">
        <f>"600681"</f>
        <v>600681</v>
      </c>
      <c r="C4322" t="s">
        <v>8992</v>
      </c>
      <c r="D4322" t="s">
        <v>649</v>
      </c>
      <c r="E4322">
        <v>-392649325</v>
      </c>
      <c r="F4322">
        <v>-65708740</v>
      </c>
      <c r="G4322">
        <v>-338128237</v>
      </c>
      <c r="H4322">
        <v>-189265349</v>
      </c>
      <c r="I4322">
        <v>17513836</v>
      </c>
      <c r="J4322">
        <v>-52363940</v>
      </c>
      <c r="K4322">
        <v>20611894</v>
      </c>
      <c r="L4322">
        <v>-1780020</v>
      </c>
      <c r="M4322">
        <v>-1800746</v>
      </c>
      <c r="N4322">
        <v>10303364</v>
      </c>
      <c r="O4322">
        <v>-3377002</v>
      </c>
      <c r="P4322">
        <v>472</v>
      </c>
      <c r="Q4322" t="s">
        <v>8993</v>
      </c>
    </row>
    <row r="4323" spans="1:17" x14ac:dyDescent="0.3">
      <c r="A4323" t="s">
        <v>17</v>
      </c>
      <c r="B4323" t="str">
        <f>"600477"</f>
        <v>600477</v>
      </c>
      <c r="C4323" t="s">
        <v>8994</v>
      </c>
      <c r="D4323" t="s">
        <v>2307</v>
      </c>
      <c r="E4323">
        <v>-393257352</v>
      </c>
      <c r="F4323">
        <v>-240361981</v>
      </c>
      <c r="G4323">
        <v>-18851303</v>
      </c>
      <c r="H4323">
        <v>12034219</v>
      </c>
      <c r="I4323">
        <v>19363064</v>
      </c>
      <c r="J4323">
        <v>-82037163</v>
      </c>
      <c r="K4323">
        <v>48390377</v>
      </c>
      <c r="L4323">
        <v>-55059478</v>
      </c>
      <c r="M4323">
        <v>14633742</v>
      </c>
      <c r="N4323">
        <v>1658042</v>
      </c>
      <c r="O4323">
        <v>-88892204</v>
      </c>
      <c r="P4323">
        <v>347</v>
      </c>
      <c r="Q4323" t="s">
        <v>8995</v>
      </c>
    </row>
    <row r="4324" spans="1:17" x14ac:dyDescent="0.3">
      <c r="A4324" t="s">
        <v>17</v>
      </c>
      <c r="B4324" t="str">
        <f>"688256"</f>
        <v>688256</v>
      </c>
      <c r="C4324" t="s">
        <v>8996</v>
      </c>
      <c r="D4324" t="s">
        <v>1277</v>
      </c>
      <c r="E4324">
        <v>-393752602</v>
      </c>
      <c r="F4324">
        <v>-284791691</v>
      </c>
      <c r="G4324">
        <v>-127664689</v>
      </c>
      <c r="H4324">
        <v>-84606366</v>
      </c>
      <c r="P4324">
        <v>192</v>
      </c>
      <c r="Q4324" t="s">
        <v>8997</v>
      </c>
    </row>
    <row r="4325" spans="1:17" x14ac:dyDescent="0.3">
      <c r="A4325" t="s">
        <v>17</v>
      </c>
      <c r="B4325" t="str">
        <f>"688232"</f>
        <v>688232</v>
      </c>
      <c r="C4325" t="s">
        <v>8998</v>
      </c>
      <c r="D4325" t="s">
        <v>807</v>
      </c>
      <c r="E4325">
        <v>-394632182</v>
      </c>
      <c r="G4325">
        <v>-203614602</v>
      </c>
      <c r="P4325">
        <v>26</v>
      </c>
      <c r="Q4325" t="s">
        <v>8999</v>
      </c>
    </row>
    <row r="4326" spans="1:17" x14ac:dyDescent="0.3">
      <c r="A4326" t="s">
        <v>17</v>
      </c>
      <c r="B4326" t="str">
        <f>"600487"</f>
        <v>600487</v>
      </c>
      <c r="C4326" t="s">
        <v>9000</v>
      </c>
      <c r="D4326" t="s">
        <v>1302</v>
      </c>
      <c r="E4326">
        <v>-397210226</v>
      </c>
      <c r="F4326">
        <v>-921205561</v>
      </c>
      <c r="G4326">
        <v>-1072835946</v>
      </c>
      <c r="H4326">
        <v>-529915380</v>
      </c>
      <c r="I4326">
        <v>-779197172</v>
      </c>
      <c r="J4326">
        <v>-830200667</v>
      </c>
      <c r="K4326">
        <v>-493614754</v>
      </c>
      <c r="L4326">
        <v>-142043249</v>
      </c>
      <c r="M4326">
        <v>-165114949</v>
      </c>
      <c r="N4326">
        <v>-114738364</v>
      </c>
      <c r="O4326">
        <v>-475752353</v>
      </c>
      <c r="P4326">
        <v>2802</v>
      </c>
      <c r="Q4326" t="s">
        <v>9001</v>
      </c>
    </row>
    <row r="4327" spans="1:17" x14ac:dyDescent="0.3">
      <c r="A4327" t="s">
        <v>33</v>
      </c>
      <c r="B4327" t="str">
        <f>"300393"</f>
        <v>300393</v>
      </c>
      <c r="C4327" t="s">
        <v>9002</v>
      </c>
      <c r="D4327" t="s">
        <v>690</v>
      </c>
      <c r="E4327">
        <v>-398856497</v>
      </c>
      <c r="F4327">
        <v>144625073</v>
      </c>
      <c r="G4327">
        <v>-148245847</v>
      </c>
      <c r="H4327">
        <v>-139544244</v>
      </c>
      <c r="I4327">
        <v>-221638074</v>
      </c>
      <c r="J4327">
        <v>-210863365</v>
      </c>
      <c r="K4327">
        <v>-1622341</v>
      </c>
      <c r="L4327">
        <v>17048477</v>
      </c>
      <c r="M4327">
        <v>-1748854</v>
      </c>
      <c r="P4327">
        <v>304</v>
      </c>
      <c r="Q4327" t="s">
        <v>9003</v>
      </c>
    </row>
    <row r="4328" spans="1:17" x14ac:dyDescent="0.3">
      <c r="A4328" t="s">
        <v>33</v>
      </c>
      <c r="B4328" t="str">
        <f>"001208"</f>
        <v>001208</v>
      </c>
      <c r="C4328" t="s">
        <v>9004</v>
      </c>
      <c r="D4328" t="s">
        <v>1282</v>
      </c>
      <c r="E4328">
        <v>-401869234</v>
      </c>
      <c r="F4328">
        <v>-270769675</v>
      </c>
      <c r="G4328">
        <v>-190908854</v>
      </c>
      <c r="P4328">
        <v>66</v>
      </c>
      <c r="Q4328" t="s">
        <v>9005</v>
      </c>
    </row>
    <row r="4329" spans="1:17" x14ac:dyDescent="0.3">
      <c r="A4329" t="s">
        <v>33</v>
      </c>
      <c r="B4329" t="str">
        <f>"300827"</f>
        <v>300827</v>
      </c>
      <c r="C4329" t="s">
        <v>9006</v>
      </c>
      <c r="D4329" t="s">
        <v>2708</v>
      </c>
      <c r="E4329">
        <v>-402557418</v>
      </c>
      <c r="F4329">
        <v>-204509082</v>
      </c>
      <c r="G4329">
        <v>-168925741</v>
      </c>
      <c r="H4329">
        <v>-104827775</v>
      </c>
      <c r="P4329">
        <v>233</v>
      </c>
      <c r="Q4329" t="s">
        <v>9007</v>
      </c>
    </row>
    <row r="4330" spans="1:17" x14ac:dyDescent="0.3">
      <c r="A4330" t="s">
        <v>17</v>
      </c>
      <c r="B4330" t="str">
        <f>"601949"</f>
        <v>601949</v>
      </c>
      <c r="C4330" t="s">
        <v>9008</v>
      </c>
      <c r="D4330" t="s">
        <v>1501</v>
      </c>
      <c r="E4330">
        <v>-403506906</v>
      </c>
      <c r="F4330">
        <v>-339635347</v>
      </c>
      <c r="G4330">
        <v>-330131899</v>
      </c>
      <c r="H4330">
        <v>-223587684</v>
      </c>
      <c r="I4330">
        <v>-301969710</v>
      </c>
      <c r="J4330">
        <v>-413069100</v>
      </c>
      <c r="K4330">
        <v>-449191900</v>
      </c>
      <c r="P4330">
        <v>160</v>
      </c>
      <c r="Q4330" t="s">
        <v>9009</v>
      </c>
    </row>
    <row r="4331" spans="1:17" x14ac:dyDescent="0.3">
      <c r="A4331" t="s">
        <v>33</v>
      </c>
      <c r="B4331" t="str">
        <f>"002955"</f>
        <v>002955</v>
      </c>
      <c r="C4331" t="s">
        <v>9010</v>
      </c>
      <c r="D4331" t="s">
        <v>102</v>
      </c>
      <c r="E4331">
        <v>-404328942</v>
      </c>
      <c r="F4331">
        <v>-273014716</v>
      </c>
      <c r="G4331">
        <v>-582013519</v>
      </c>
      <c r="H4331">
        <v>-331330482</v>
      </c>
      <c r="I4331">
        <v>-199319946</v>
      </c>
      <c r="P4331">
        <v>167</v>
      </c>
      <c r="Q4331" t="s">
        <v>9011</v>
      </c>
    </row>
    <row r="4332" spans="1:17" x14ac:dyDescent="0.3">
      <c r="A4332" t="s">
        <v>33</v>
      </c>
      <c r="B4332" t="str">
        <f>"300571"</f>
        <v>300571</v>
      </c>
      <c r="C4332" t="s">
        <v>9012</v>
      </c>
      <c r="D4332" t="s">
        <v>1566</v>
      </c>
      <c r="E4332">
        <v>-405877347</v>
      </c>
      <c r="F4332">
        <v>-135600742</v>
      </c>
      <c r="G4332">
        <v>-209529197</v>
      </c>
      <c r="H4332">
        <v>115898900</v>
      </c>
      <c r="I4332">
        <v>45375284</v>
      </c>
      <c r="J4332">
        <v>23030596</v>
      </c>
      <c r="K4332">
        <v>-12580053</v>
      </c>
      <c r="P4332">
        <v>2111</v>
      </c>
      <c r="Q4332" t="s">
        <v>9013</v>
      </c>
    </row>
    <row r="4333" spans="1:17" x14ac:dyDescent="0.3">
      <c r="A4333" t="s">
        <v>33</v>
      </c>
      <c r="B4333" t="str">
        <f>"002421"</f>
        <v>002421</v>
      </c>
      <c r="C4333" t="s">
        <v>9014</v>
      </c>
      <c r="D4333" t="s">
        <v>508</v>
      </c>
      <c r="E4333">
        <v>-406234883</v>
      </c>
      <c r="F4333">
        <v>-223735874</v>
      </c>
      <c r="G4333">
        <v>-211805621</v>
      </c>
      <c r="H4333">
        <v>-70949210</v>
      </c>
      <c r="I4333">
        <v>-257203016</v>
      </c>
      <c r="J4333">
        <v>-61032864</v>
      </c>
      <c r="K4333">
        <v>-176911026</v>
      </c>
      <c r="L4333">
        <v>-102010579</v>
      </c>
      <c r="M4333">
        <v>-54181922</v>
      </c>
      <c r="N4333">
        <v>-5933961</v>
      </c>
      <c r="O4333">
        <v>-22204549</v>
      </c>
      <c r="P4333">
        <v>199</v>
      </c>
      <c r="Q4333" t="s">
        <v>9015</v>
      </c>
    </row>
    <row r="4334" spans="1:17" x14ac:dyDescent="0.3">
      <c r="A4334" t="s">
        <v>33</v>
      </c>
      <c r="B4334" t="str">
        <f>"300498"</f>
        <v>300498</v>
      </c>
      <c r="C4334" t="s">
        <v>9016</v>
      </c>
      <c r="D4334" t="s">
        <v>1637</v>
      </c>
      <c r="E4334">
        <v>-406810345</v>
      </c>
      <c r="F4334">
        <v>-1705958627</v>
      </c>
      <c r="G4334">
        <v>1108504770</v>
      </c>
      <c r="H4334">
        <v>-436357843</v>
      </c>
      <c r="I4334">
        <v>325206203</v>
      </c>
      <c r="J4334">
        <v>955941074</v>
      </c>
      <c r="K4334">
        <v>2316126825</v>
      </c>
      <c r="L4334">
        <v>416593654</v>
      </c>
      <c r="P4334">
        <v>2457</v>
      </c>
      <c r="Q4334" t="s">
        <v>9017</v>
      </c>
    </row>
    <row r="4335" spans="1:17" x14ac:dyDescent="0.3">
      <c r="A4335" t="s">
        <v>33</v>
      </c>
      <c r="B4335" t="str">
        <f>"300284"</f>
        <v>300284</v>
      </c>
      <c r="C4335" t="s">
        <v>9018</v>
      </c>
      <c r="D4335" t="s">
        <v>4300</v>
      </c>
      <c r="E4335">
        <v>-408101209</v>
      </c>
      <c r="F4335">
        <v>-500483477</v>
      </c>
      <c r="G4335">
        <v>-316907537</v>
      </c>
      <c r="H4335">
        <v>-354324230</v>
      </c>
      <c r="I4335">
        <v>-534659763</v>
      </c>
      <c r="J4335">
        <v>-288194177</v>
      </c>
      <c r="K4335">
        <v>-240648005</v>
      </c>
      <c r="L4335">
        <v>-141628892</v>
      </c>
      <c r="M4335">
        <v>32648537</v>
      </c>
      <c r="N4335">
        <v>-30916287</v>
      </c>
      <c r="O4335">
        <v>-159333627</v>
      </c>
      <c r="P4335">
        <v>274</v>
      </c>
      <c r="Q4335" t="s">
        <v>9019</v>
      </c>
    </row>
    <row r="4336" spans="1:17" x14ac:dyDescent="0.3">
      <c r="A4336" t="s">
        <v>17</v>
      </c>
      <c r="B4336" t="str">
        <f>"688559"</f>
        <v>688559</v>
      </c>
      <c r="C4336" t="s">
        <v>9020</v>
      </c>
      <c r="D4336" t="s">
        <v>3169</v>
      </c>
      <c r="E4336">
        <v>-408392042</v>
      </c>
      <c r="F4336">
        <v>-135091586</v>
      </c>
      <c r="G4336">
        <v>-168729773</v>
      </c>
      <c r="P4336">
        <v>68</v>
      </c>
      <c r="Q4336" t="s">
        <v>9021</v>
      </c>
    </row>
    <row r="4337" spans="1:17" x14ac:dyDescent="0.3">
      <c r="A4337" t="s">
        <v>33</v>
      </c>
      <c r="B4337" t="str">
        <f>"300271"</f>
        <v>300271</v>
      </c>
      <c r="C4337" t="s">
        <v>9022</v>
      </c>
      <c r="D4337" t="s">
        <v>508</v>
      </c>
      <c r="E4337">
        <v>-410501125</v>
      </c>
      <c r="F4337">
        <v>-723956276</v>
      </c>
      <c r="G4337">
        <v>-538546080</v>
      </c>
      <c r="H4337">
        <v>-564977244</v>
      </c>
      <c r="I4337">
        <v>-456901286</v>
      </c>
      <c r="J4337">
        <v>-276047979</v>
      </c>
      <c r="K4337">
        <v>-188068507</v>
      </c>
      <c r="L4337">
        <v>-167720773</v>
      </c>
      <c r="M4337">
        <v>-134620918</v>
      </c>
      <c r="N4337">
        <v>-94632719</v>
      </c>
      <c r="O4337">
        <v>-31882982</v>
      </c>
      <c r="P4337">
        <v>590</v>
      </c>
      <c r="Q4337" t="s">
        <v>9023</v>
      </c>
    </row>
    <row r="4338" spans="1:17" x14ac:dyDescent="0.3">
      <c r="A4338" t="s">
        <v>33</v>
      </c>
      <c r="B4338" t="str">
        <f>"000567"</f>
        <v>000567</v>
      </c>
      <c r="C4338" t="s">
        <v>9024</v>
      </c>
      <c r="D4338" t="s">
        <v>2604</v>
      </c>
      <c r="E4338">
        <v>-410968623</v>
      </c>
      <c r="F4338">
        <v>53769355</v>
      </c>
      <c r="G4338">
        <v>-182944948</v>
      </c>
      <c r="H4338">
        <v>177483516</v>
      </c>
      <c r="I4338">
        <v>169051645</v>
      </c>
      <c r="J4338">
        <v>369046384</v>
      </c>
      <c r="K4338">
        <v>14267792</v>
      </c>
      <c r="L4338">
        <v>-6857996</v>
      </c>
      <c r="M4338">
        <v>-22985667</v>
      </c>
      <c r="N4338">
        <v>-2107555</v>
      </c>
      <c r="O4338">
        <v>7194820</v>
      </c>
      <c r="P4338">
        <v>117</v>
      </c>
      <c r="Q4338" t="s">
        <v>9025</v>
      </c>
    </row>
    <row r="4339" spans="1:17" x14ac:dyDescent="0.3">
      <c r="A4339" t="s">
        <v>33</v>
      </c>
      <c r="B4339" t="str">
        <f>"000786"</f>
        <v>000786</v>
      </c>
      <c r="C4339" t="s">
        <v>9026</v>
      </c>
      <c r="D4339" t="s">
        <v>2632</v>
      </c>
      <c r="E4339">
        <v>-411730822</v>
      </c>
      <c r="F4339">
        <v>156927779</v>
      </c>
      <c r="G4339">
        <v>-1808633852</v>
      </c>
      <c r="H4339">
        <v>-180359896</v>
      </c>
      <c r="I4339">
        <v>194226752</v>
      </c>
      <c r="J4339">
        <v>-189513042</v>
      </c>
      <c r="K4339">
        <v>-28140974</v>
      </c>
      <c r="L4339">
        <v>-14415423</v>
      </c>
      <c r="M4339">
        <v>-40941154</v>
      </c>
      <c r="N4339">
        <v>-48597080</v>
      </c>
      <c r="O4339">
        <v>-157596288</v>
      </c>
      <c r="P4339">
        <v>2486</v>
      </c>
      <c r="Q4339" t="s">
        <v>9027</v>
      </c>
    </row>
    <row r="4340" spans="1:17" x14ac:dyDescent="0.3">
      <c r="A4340" t="s">
        <v>33</v>
      </c>
      <c r="B4340" t="str">
        <f>"002044"</f>
        <v>002044</v>
      </c>
      <c r="C4340" t="s">
        <v>9028</v>
      </c>
      <c r="D4340" t="s">
        <v>520</v>
      </c>
      <c r="E4340">
        <v>-411993375</v>
      </c>
      <c r="F4340">
        <v>-698468047</v>
      </c>
      <c r="G4340">
        <v>-985230740</v>
      </c>
      <c r="H4340">
        <v>-555777863</v>
      </c>
      <c r="I4340">
        <v>-160850848</v>
      </c>
      <c r="J4340">
        <v>-207202092</v>
      </c>
      <c r="K4340">
        <v>-167464199</v>
      </c>
      <c r="L4340">
        <v>2967561</v>
      </c>
      <c r="M4340">
        <v>-43176034</v>
      </c>
      <c r="N4340">
        <v>1746052</v>
      </c>
      <c r="O4340">
        <v>10353605</v>
      </c>
      <c r="P4340">
        <v>1237</v>
      </c>
      <c r="Q4340" t="s">
        <v>9029</v>
      </c>
    </row>
    <row r="4341" spans="1:17" x14ac:dyDescent="0.3">
      <c r="A4341" t="s">
        <v>17</v>
      </c>
      <c r="B4341" t="str">
        <f>"603378"</f>
        <v>603378</v>
      </c>
      <c r="C4341" t="s">
        <v>9030</v>
      </c>
      <c r="D4341" t="s">
        <v>8816</v>
      </c>
      <c r="E4341">
        <v>-415129147</v>
      </c>
      <c r="F4341">
        <v>-1012028176</v>
      </c>
      <c r="G4341">
        <v>-470482721</v>
      </c>
      <c r="H4341">
        <v>-100702790</v>
      </c>
      <c r="I4341">
        <v>-46402943</v>
      </c>
      <c r="J4341">
        <v>-98987016</v>
      </c>
      <c r="P4341">
        <v>203</v>
      </c>
      <c r="Q4341" t="s">
        <v>9031</v>
      </c>
    </row>
    <row r="4342" spans="1:17" x14ac:dyDescent="0.3">
      <c r="A4342" t="s">
        <v>17</v>
      </c>
      <c r="B4342" t="str">
        <f>"600098"</f>
        <v>600098</v>
      </c>
      <c r="C4342" t="s">
        <v>9032</v>
      </c>
      <c r="D4342" t="s">
        <v>145</v>
      </c>
      <c r="E4342">
        <v>-415935143</v>
      </c>
      <c r="F4342">
        <v>-245873009</v>
      </c>
      <c r="G4342">
        <v>-149571616</v>
      </c>
      <c r="H4342">
        <v>742608013</v>
      </c>
      <c r="I4342">
        <v>137988247</v>
      </c>
      <c r="J4342">
        <v>391460903</v>
      </c>
      <c r="K4342">
        <v>68267551</v>
      </c>
      <c r="L4342">
        <v>1122274001</v>
      </c>
      <c r="M4342">
        <v>1055005857</v>
      </c>
      <c r="N4342">
        <v>342248869</v>
      </c>
      <c r="O4342">
        <v>348192851</v>
      </c>
      <c r="P4342">
        <v>192</v>
      </c>
      <c r="Q4342" t="s">
        <v>9033</v>
      </c>
    </row>
    <row r="4343" spans="1:17" x14ac:dyDescent="0.3">
      <c r="A4343" t="s">
        <v>17</v>
      </c>
      <c r="B4343" t="str">
        <f>"600203"</f>
        <v>600203</v>
      </c>
      <c r="C4343" t="s">
        <v>9034</v>
      </c>
      <c r="D4343" t="s">
        <v>226</v>
      </c>
      <c r="E4343">
        <v>-416359912</v>
      </c>
      <c r="F4343">
        <v>-124526831</v>
      </c>
      <c r="G4343">
        <v>-224481473</v>
      </c>
      <c r="H4343">
        <v>-19854680</v>
      </c>
      <c r="I4343">
        <v>-99209475</v>
      </c>
      <c r="J4343">
        <v>168273598</v>
      </c>
      <c r="K4343">
        <v>223297740</v>
      </c>
      <c r="L4343">
        <v>194384244</v>
      </c>
      <c r="M4343">
        <v>-12776622</v>
      </c>
      <c r="N4343">
        <v>-10407874</v>
      </c>
      <c r="O4343">
        <v>-8952835</v>
      </c>
      <c r="P4343">
        <v>143</v>
      </c>
      <c r="Q4343" t="s">
        <v>9035</v>
      </c>
    </row>
    <row r="4344" spans="1:17" x14ac:dyDescent="0.3">
      <c r="A4344" t="s">
        <v>33</v>
      </c>
      <c r="B4344" t="str">
        <f>"002788"</f>
        <v>002788</v>
      </c>
      <c r="C4344" t="s">
        <v>9036</v>
      </c>
      <c r="D4344" t="s">
        <v>415</v>
      </c>
      <c r="E4344">
        <v>-416697577</v>
      </c>
      <c r="F4344">
        <v>-509771161</v>
      </c>
      <c r="G4344">
        <v>-374020010</v>
      </c>
      <c r="H4344">
        <v>-641202280</v>
      </c>
      <c r="I4344">
        <v>-538596760</v>
      </c>
      <c r="J4344">
        <v>-160279666</v>
      </c>
      <c r="K4344">
        <v>-602181694</v>
      </c>
      <c r="L4344">
        <v>-509381816</v>
      </c>
      <c r="P4344">
        <v>162</v>
      </c>
      <c r="Q4344" t="s">
        <v>9037</v>
      </c>
    </row>
    <row r="4345" spans="1:17" x14ac:dyDescent="0.3">
      <c r="A4345" t="s">
        <v>33</v>
      </c>
      <c r="B4345" t="str">
        <f>"002233"</f>
        <v>002233</v>
      </c>
      <c r="C4345" t="s">
        <v>9038</v>
      </c>
      <c r="D4345" t="s">
        <v>260</v>
      </c>
      <c r="E4345">
        <v>-419105240</v>
      </c>
      <c r="F4345">
        <v>-22919042</v>
      </c>
      <c r="G4345">
        <v>-136444942</v>
      </c>
      <c r="H4345">
        <v>-73848803</v>
      </c>
      <c r="I4345">
        <v>235960680</v>
      </c>
      <c r="J4345">
        <v>-45739693</v>
      </c>
      <c r="K4345">
        <v>-129777579</v>
      </c>
      <c r="L4345">
        <v>84217603</v>
      </c>
      <c r="M4345">
        <v>194269902</v>
      </c>
      <c r="N4345">
        <v>180166662</v>
      </c>
      <c r="O4345">
        <v>42681211</v>
      </c>
      <c r="P4345">
        <v>1388</v>
      </c>
      <c r="Q4345" t="s">
        <v>9039</v>
      </c>
    </row>
    <row r="4346" spans="1:17" x14ac:dyDescent="0.3">
      <c r="A4346" t="s">
        <v>33</v>
      </c>
      <c r="B4346" t="str">
        <f>"000035"</f>
        <v>000035</v>
      </c>
      <c r="C4346" t="s">
        <v>9040</v>
      </c>
      <c r="D4346" t="s">
        <v>897</v>
      </c>
      <c r="E4346">
        <v>-420666908</v>
      </c>
      <c r="F4346">
        <v>517685231</v>
      </c>
      <c r="G4346">
        <v>424278331</v>
      </c>
      <c r="H4346">
        <v>211497218</v>
      </c>
      <c r="I4346">
        <v>-77037693</v>
      </c>
      <c r="J4346">
        <v>-33486</v>
      </c>
      <c r="K4346">
        <v>-3942409</v>
      </c>
      <c r="L4346">
        <v>34515041</v>
      </c>
      <c r="M4346">
        <v>-4562341</v>
      </c>
      <c r="N4346">
        <v>-57430</v>
      </c>
      <c r="O4346">
        <v>-327263790</v>
      </c>
      <c r="P4346">
        <v>198</v>
      </c>
      <c r="Q4346" t="s">
        <v>9041</v>
      </c>
    </row>
    <row r="4347" spans="1:17" x14ac:dyDescent="0.3">
      <c r="A4347" t="s">
        <v>17</v>
      </c>
      <c r="B4347" t="str">
        <f>"688023"</f>
        <v>688023</v>
      </c>
      <c r="C4347" t="s">
        <v>9042</v>
      </c>
      <c r="D4347" t="s">
        <v>1713</v>
      </c>
      <c r="E4347">
        <v>-422220836</v>
      </c>
      <c r="F4347">
        <v>-345177479</v>
      </c>
      <c r="G4347">
        <v>-210838661</v>
      </c>
      <c r="H4347">
        <v>-95324600</v>
      </c>
      <c r="I4347">
        <v>-88859800</v>
      </c>
      <c r="P4347">
        <v>249</v>
      </c>
      <c r="Q4347" t="s">
        <v>9043</v>
      </c>
    </row>
    <row r="4348" spans="1:17" x14ac:dyDescent="0.3">
      <c r="A4348" t="s">
        <v>33</v>
      </c>
      <c r="B4348" t="str">
        <f>"002798"</f>
        <v>002798</v>
      </c>
      <c r="C4348" t="s">
        <v>9044</v>
      </c>
      <c r="D4348" t="s">
        <v>2743</v>
      </c>
      <c r="E4348">
        <v>-423048370</v>
      </c>
      <c r="F4348">
        <v>-418282695</v>
      </c>
      <c r="G4348">
        <v>-387715183</v>
      </c>
      <c r="H4348">
        <v>181741244</v>
      </c>
      <c r="I4348">
        <v>-32678565</v>
      </c>
      <c r="J4348">
        <v>5380821</v>
      </c>
      <c r="K4348">
        <v>-8122200</v>
      </c>
      <c r="L4348">
        <v>-14853900</v>
      </c>
      <c r="P4348">
        <v>374</v>
      </c>
      <c r="Q4348" t="s">
        <v>9045</v>
      </c>
    </row>
    <row r="4349" spans="1:17" x14ac:dyDescent="0.3">
      <c r="A4349" t="s">
        <v>33</v>
      </c>
      <c r="B4349" t="str">
        <f>"002683"</f>
        <v>002683</v>
      </c>
      <c r="C4349" t="s">
        <v>9046</v>
      </c>
      <c r="D4349" t="s">
        <v>1474</v>
      </c>
      <c r="E4349">
        <v>-423270236</v>
      </c>
      <c r="F4349">
        <v>-392947058</v>
      </c>
      <c r="G4349">
        <v>355782330</v>
      </c>
      <c r="H4349">
        <v>-96153518</v>
      </c>
      <c r="I4349">
        <v>63392749</v>
      </c>
      <c r="J4349">
        <v>7265373</v>
      </c>
      <c r="K4349">
        <v>-174356545</v>
      </c>
      <c r="L4349">
        <v>-111445979</v>
      </c>
      <c r="M4349">
        <v>-59156654</v>
      </c>
      <c r="N4349">
        <v>-80958408</v>
      </c>
      <c r="O4349">
        <v>11746766</v>
      </c>
      <c r="P4349">
        <v>270</v>
      </c>
      <c r="Q4349" t="s">
        <v>9047</v>
      </c>
    </row>
    <row r="4350" spans="1:17" x14ac:dyDescent="0.3">
      <c r="A4350" t="s">
        <v>33</v>
      </c>
      <c r="B4350" t="str">
        <f>"300748"</f>
        <v>300748</v>
      </c>
      <c r="C4350" t="s">
        <v>9048</v>
      </c>
      <c r="D4350" t="s">
        <v>1559</v>
      </c>
      <c r="E4350">
        <v>-423579602</v>
      </c>
      <c r="F4350">
        <v>-30336431</v>
      </c>
      <c r="G4350">
        <v>-133184960</v>
      </c>
      <c r="H4350">
        <v>-148888159</v>
      </c>
      <c r="I4350">
        <v>32675506</v>
      </c>
      <c r="P4350">
        <v>341</v>
      </c>
      <c r="Q4350" t="s">
        <v>9049</v>
      </c>
    </row>
    <row r="4351" spans="1:17" x14ac:dyDescent="0.3">
      <c r="A4351" t="s">
        <v>33</v>
      </c>
      <c r="B4351" t="str">
        <f>"300036"</f>
        <v>300036</v>
      </c>
      <c r="C4351" t="s">
        <v>9050</v>
      </c>
      <c r="D4351" t="s">
        <v>1713</v>
      </c>
      <c r="E4351">
        <v>-424453680</v>
      </c>
      <c r="F4351">
        <v>-392109063</v>
      </c>
      <c r="G4351">
        <v>-320840122</v>
      </c>
      <c r="H4351">
        <v>-269685638</v>
      </c>
      <c r="I4351">
        <v>-246374017</v>
      </c>
      <c r="J4351">
        <v>-154498141</v>
      </c>
      <c r="K4351">
        <v>-92864697</v>
      </c>
      <c r="L4351">
        <v>-58993432</v>
      </c>
      <c r="M4351">
        <v>-58868138</v>
      </c>
      <c r="N4351">
        <v>-38835073</v>
      </c>
      <c r="O4351">
        <v>-55840732</v>
      </c>
      <c r="P4351">
        <v>545</v>
      </c>
      <c r="Q4351" t="s">
        <v>9051</v>
      </c>
    </row>
    <row r="4352" spans="1:17" x14ac:dyDescent="0.3">
      <c r="A4352" t="s">
        <v>33</v>
      </c>
      <c r="B4352" t="str">
        <f>"002016"</f>
        <v>002016</v>
      </c>
      <c r="C4352" t="s">
        <v>9052</v>
      </c>
      <c r="D4352" t="s">
        <v>167</v>
      </c>
      <c r="E4352">
        <v>-427533692</v>
      </c>
      <c r="F4352">
        <v>-302574009</v>
      </c>
      <c r="G4352">
        <v>417466716</v>
      </c>
      <c r="H4352">
        <v>430139344</v>
      </c>
      <c r="I4352">
        <v>-215651903</v>
      </c>
      <c r="J4352">
        <v>-136465612</v>
      </c>
      <c r="K4352">
        <v>218416360</v>
      </c>
      <c r="L4352">
        <v>-161802869</v>
      </c>
      <c r="M4352">
        <v>-745601000</v>
      </c>
      <c r="N4352">
        <v>133800338</v>
      </c>
      <c r="O4352">
        <v>-32840318</v>
      </c>
      <c r="P4352">
        <v>457</v>
      </c>
      <c r="Q4352" t="s">
        <v>9053</v>
      </c>
    </row>
    <row r="4353" spans="1:17" x14ac:dyDescent="0.3">
      <c r="A4353" t="s">
        <v>33</v>
      </c>
      <c r="B4353" t="str">
        <f>"002373"</f>
        <v>002373</v>
      </c>
      <c r="C4353" t="s">
        <v>9054</v>
      </c>
      <c r="D4353" t="s">
        <v>508</v>
      </c>
      <c r="E4353">
        <v>-427547275</v>
      </c>
      <c r="F4353">
        <v>-785425373</v>
      </c>
      <c r="G4353">
        <v>-419851910</v>
      </c>
      <c r="H4353">
        <v>-425519066</v>
      </c>
      <c r="I4353">
        <v>-472585923</v>
      </c>
      <c r="J4353">
        <v>-165500795</v>
      </c>
      <c r="K4353">
        <v>-93773547</v>
      </c>
      <c r="L4353">
        <v>-158765089</v>
      </c>
      <c r="M4353">
        <v>-50481884</v>
      </c>
      <c r="N4353">
        <v>-78954607</v>
      </c>
      <c r="O4353">
        <v>-91999592</v>
      </c>
      <c r="P4353">
        <v>713</v>
      </c>
      <c r="Q4353" t="s">
        <v>9055</v>
      </c>
    </row>
    <row r="4354" spans="1:17" x14ac:dyDescent="0.3">
      <c r="A4354" t="s">
        <v>33</v>
      </c>
      <c r="B4354" t="str">
        <f>"003037"</f>
        <v>003037</v>
      </c>
      <c r="C4354" t="s">
        <v>9056</v>
      </c>
      <c r="D4354" t="s">
        <v>1169</v>
      </c>
      <c r="E4354">
        <v>-431633903</v>
      </c>
      <c r="F4354">
        <v>-226643682</v>
      </c>
      <c r="G4354">
        <v>-134973452</v>
      </c>
      <c r="P4354">
        <v>40</v>
      </c>
      <c r="Q4354" t="s">
        <v>9057</v>
      </c>
    </row>
    <row r="4355" spans="1:17" x14ac:dyDescent="0.3">
      <c r="A4355" t="s">
        <v>33</v>
      </c>
      <c r="B4355" t="str">
        <f>"000925"</f>
        <v>000925</v>
      </c>
      <c r="C4355" t="s">
        <v>9058</v>
      </c>
      <c r="D4355" t="s">
        <v>1703</v>
      </c>
      <c r="E4355">
        <v>-432057745</v>
      </c>
      <c r="F4355">
        <v>-431725660</v>
      </c>
      <c r="G4355">
        <v>-474791669</v>
      </c>
      <c r="H4355">
        <v>-212387756</v>
      </c>
      <c r="I4355">
        <v>-139713110</v>
      </c>
      <c r="J4355">
        <v>-131822957</v>
      </c>
      <c r="K4355">
        <v>-233283101</v>
      </c>
      <c r="L4355">
        <v>-319060744</v>
      </c>
      <c r="M4355">
        <v>11247884</v>
      </c>
      <c r="N4355">
        <v>55068456</v>
      </c>
      <c r="O4355">
        <v>10415254</v>
      </c>
      <c r="P4355">
        <v>188</v>
      </c>
      <c r="Q4355" t="s">
        <v>9059</v>
      </c>
    </row>
    <row r="4356" spans="1:17" x14ac:dyDescent="0.3">
      <c r="A4356" t="s">
        <v>33</v>
      </c>
      <c r="B4356" t="str">
        <f>"002987"</f>
        <v>002987</v>
      </c>
      <c r="C4356" t="s">
        <v>9060</v>
      </c>
      <c r="D4356" t="s">
        <v>807</v>
      </c>
      <c r="E4356">
        <v>-432606249</v>
      </c>
      <c r="F4356">
        <v>-328310193</v>
      </c>
      <c r="G4356">
        <v>-195864261</v>
      </c>
      <c r="H4356">
        <v>-156340762</v>
      </c>
      <c r="P4356">
        <v>127</v>
      </c>
      <c r="Q4356" t="s">
        <v>9061</v>
      </c>
    </row>
    <row r="4357" spans="1:17" x14ac:dyDescent="0.3">
      <c r="A4357" t="s">
        <v>17</v>
      </c>
      <c r="B4357" t="str">
        <f>"600658"</f>
        <v>600658</v>
      </c>
      <c r="C4357" t="s">
        <v>9062</v>
      </c>
      <c r="D4357" t="s">
        <v>1135</v>
      </c>
      <c r="E4357">
        <v>-435252420</v>
      </c>
      <c r="F4357">
        <v>-592772400</v>
      </c>
      <c r="G4357">
        <v>-346108239</v>
      </c>
      <c r="H4357">
        <v>-1694615095</v>
      </c>
      <c r="I4357">
        <v>148280674</v>
      </c>
      <c r="J4357">
        <v>-1019572415</v>
      </c>
      <c r="K4357">
        <v>-342696827</v>
      </c>
      <c r="L4357">
        <v>-129630632</v>
      </c>
      <c r="M4357">
        <v>527801515</v>
      </c>
      <c r="N4357">
        <v>516398154</v>
      </c>
      <c r="O4357">
        <v>132821379</v>
      </c>
      <c r="P4357">
        <v>136</v>
      </c>
      <c r="Q4357" t="s">
        <v>9063</v>
      </c>
    </row>
    <row r="4358" spans="1:17" x14ac:dyDescent="0.3">
      <c r="A4358" t="s">
        <v>17</v>
      </c>
      <c r="B4358" t="str">
        <f>"600602"</f>
        <v>600602</v>
      </c>
      <c r="C4358" t="s">
        <v>9064</v>
      </c>
      <c r="D4358" t="s">
        <v>807</v>
      </c>
      <c r="E4358">
        <v>-436168273</v>
      </c>
      <c r="F4358">
        <v>-389710512</v>
      </c>
      <c r="G4358">
        <v>-250480149</v>
      </c>
      <c r="H4358">
        <v>-228364193</v>
      </c>
      <c r="I4358">
        <v>-370009589</v>
      </c>
      <c r="J4358">
        <v>-271129140</v>
      </c>
      <c r="K4358">
        <v>-248956847</v>
      </c>
      <c r="L4358">
        <v>-145602893</v>
      </c>
      <c r="M4358">
        <v>-70437254</v>
      </c>
      <c r="N4358">
        <v>-40700536</v>
      </c>
      <c r="O4358">
        <v>-52792398</v>
      </c>
      <c r="P4358">
        <v>136</v>
      </c>
      <c r="Q4358" t="s">
        <v>9065</v>
      </c>
    </row>
    <row r="4359" spans="1:17" x14ac:dyDescent="0.3">
      <c r="A4359" t="s">
        <v>17</v>
      </c>
      <c r="B4359" t="str">
        <f>"600218"</f>
        <v>600218</v>
      </c>
      <c r="C4359" t="s">
        <v>9066</v>
      </c>
      <c r="D4359" t="s">
        <v>858</v>
      </c>
      <c r="E4359">
        <v>-436290020</v>
      </c>
      <c r="F4359">
        <v>-198469603</v>
      </c>
      <c r="G4359">
        <v>131068384</v>
      </c>
      <c r="H4359">
        <v>-17128626</v>
      </c>
      <c r="I4359">
        <v>-47300167</v>
      </c>
      <c r="J4359">
        <v>-185389943</v>
      </c>
      <c r="K4359">
        <v>71085332</v>
      </c>
      <c r="L4359">
        <v>35401171</v>
      </c>
      <c r="M4359">
        <v>-35089667</v>
      </c>
      <c r="N4359">
        <v>67660741</v>
      </c>
      <c r="O4359">
        <v>6857129</v>
      </c>
      <c r="P4359">
        <v>166</v>
      </c>
      <c r="Q4359" t="s">
        <v>9067</v>
      </c>
    </row>
    <row r="4360" spans="1:17" x14ac:dyDescent="0.3">
      <c r="A4360" t="s">
        <v>17</v>
      </c>
      <c r="B4360" t="str">
        <f>"600143"</f>
        <v>600143</v>
      </c>
      <c r="C4360" t="s">
        <v>9068</v>
      </c>
      <c r="D4360" t="s">
        <v>1556</v>
      </c>
      <c r="E4360">
        <v>-441978678</v>
      </c>
      <c r="F4360">
        <v>-223206113</v>
      </c>
      <c r="G4360">
        <v>668571284</v>
      </c>
      <c r="H4360">
        <v>812860013</v>
      </c>
      <c r="I4360">
        <v>-91038439</v>
      </c>
      <c r="J4360">
        <v>-1144734983</v>
      </c>
      <c r="K4360">
        <v>270626913</v>
      </c>
      <c r="L4360">
        <v>133791127</v>
      </c>
      <c r="M4360">
        <v>-54688079</v>
      </c>
      <c r="N4360">
        <v>46313063</v>
      </c>
      <c r="O4360">
        <v>208388471</v>
      </c>
      <c r="P4360">
        <v>1349</v>
      </c>
      <c r="Q4360" t="s">
        <v>9069</v>
      </c>
    </row>
    <row r="4361" spans="1:17" x14ac:dyDescent="0.3">
      <c r="A4361" t="s">
        <v>17</v>
      </c>
      <c r="B4361" t="str">
        <f>"600895"</f>
        <v>600895</v>
      </c>
      <c r="C4361" t="s">
        <v>9070</v>
      </c>
      <c r="D4361" t="s">
        <v>1135</v>
      </c>
      <c r="E4361">
        <v>-442163140</v>
      </c>
      <c r="F4361">
        <v>-29718141</v>
      </c>
      <c r="G4361">
        <v>-445475163</v>
      </c>
      <c r="H4361">
        <v>5735049</v>
      </c>
      <c r="I4361">
        <v>-239103907</v>
      </c>
      <c r="J4361">
        <v>-190645885</v>
      </c>
      <c r="K4361">
        <v>43113162</v>
      </c>
      <c r="L4361">
        <v>-232846512</v>
      </c>
      <c r="M4361">
        <v>-114448047</v>
      </c>
      <c r="N4361">
        <v>-492132534</v>
      </c>
      <c r="O4361">
        <v>-212753903</v>
      </c>
      <c r="P4361">
        <v>336</v>
      </c>
      <c r="Q4361" t="s">
        <v>9071</v>
      </c>
    </row>
    <row r="4362" spans="1:17" x14ac:dyDescent="0.3">
      <c r="A4362" t="s">
        <v>33</v>
      </c>
      <c r="B4362" t="str">
        <f>"002028"</f>
        <v>002028</v>
      </c>
      <c r="C4362" t="s">
        <v>9072</v>
      </c>
      <c r="D4362" t="s">
        <v>298</v>
      </c>
      <c r="E4362">
        <v>-443010811</v>
      </c>
      <c r="F4362">
        <v>-536931090</v>
      </c>
      <c r="G4362">
        <v>-570401089</v>
      </c>
      <c r="H4362">
        <v>-226748202</v>
      </c>
      <c r="I4362">
        <v>-349782185</v>
      </c>
      <c r="J4362">
        <v>-343939317</v>
      </c>
      <c r="K4362">
        <v>-408938917</v>
      </c>
      <c r="L4362">
        <v>-266316576</v>
      </c>
      <c r="M4362">
        <v>-442917862</v>
      </c>
      <c r="N4362">
        <v>-366882791</v>
      </c>
      <c r="O4362">
        <v>-357057997</v>
      </c>
      <c r="P4362">
        <v>603</v>
      </c>
      <c r="Q4362" t="s">
        <v>9073</v>
      </c>
    </row>
    <row r="4363" spans="1:17" x14ac:dyDescent="0.3">
      <c r="A4363" t="s">
        <v>33</v>
      </c>
      <c r="B4363" t="str">
        <f>"002465"</f>
        <v>002465</v>
      </c>
      <c r="C4363" t="s">
        <v>9074</v>
      </c>
      <c r="D4363" t="s">
        <v>617</v>
      </c>
      <c r="E4363">
        <v>-444493848</v>
      </c>
      <c r="F4363">
        <v>-103404170</v>
      </c>
      <c r="G4363">
        <v>-171313463</v>
      </c>
      <c r="H4363">
        <v>-258865176</v>
      </c>
      <c r="I4363">
        <v>-185021663</v>
      </c>
      <c r="J4363">
        <v>-470737299</v>
      </c>
      <c r="K4363">
        <v>-343928569</v>
      </c>
      <c r="L4363">
        <v>-256309046</v>
      </c>
      <c r="M4363">
        <v>-227337831</v>
      </c>
      <c r="N4363">
        <v>30442629</v>
      </c>
      <c r="O4363">
        <v>-87865170</v>
      </c>
      <c r="P4363">
        <v>544</v>
      </c>
      <c r="Q4363" t="s">
        <v>9075</v>
      </c>
    </row>
    <row r="4364" spans="1:17" x14ac:dyDescent="0.3">
      <c r="A4364" t="s">
        <v>17</v>
      </c>
      <c r="B4364" t="str">
        <f>"600118"</f>
        <v>600118</v>
      </c>
      <c r="C4364" t="s">
        <v>9076</v>
      </c>
      <c r="D4364" t="s">
        <v>2671</v>
      </c>
      <c r="E4364">
        <v>-444677012</v>
      </c>
      <c r="F4364">
        <v>-142072767</v>
      </c>
      <c r="G4364">
        <v>95663403</v>
      </c>
      <c r="H4364">
        <v>-370784156</v>
      </c>
      <c r="I4364">
        <v>-173777138</v>
      </c>
      <c r="J4364">
        <v>-368620593</v>
      </c>
      <c r="K4364">
        <v>-233285343</v>
      </c>
      <c r="L4364">
        <v>-301727482</v>
      </c>
      <c r="M4364">
        <v>-408936447</v>
      </c>
      <c r="N4364">
        <v>-261609368</v>
      </c>
      <c r="O4364">
        <v>-189211151</v>
      </c>
      <c r="P4364">
        <v>3372</v>
      </c>
      <c r="Q4364" t="s">
        <v>9077</v>
      </c>
    </row>
    <row r="4365" spans="1:17" x14ac:dyDescent="0.3">
      <c r="A4365" t="s">
        <v>33</v>
      </c>
      <c r="B4365" t="str">
        <f>"300682"</f>
        <v>300682</v>
      </c>
      <c r="C4365" t="s">
        <v>9078</v>
      </c>
      <c r="D4365" t="s">
        <v>508</v>
      </c>
      <c r="E4365">
        <v>-445537722</v>
      </c>
      <c r="F4365">
        <v>-215336069</v>
      </c>
      <c r="G4365">
        <v>-415604148</v>
      </c>
      <c r="H4365">
        <v>-137566208</v>
      </c>
      <c r="I4365">
        <v>-168033156</v>
      </c>
      <c r="J4365">
        <v>-80345201</v>
      </c>
      <c r="K4365">
        <v>-98915692</v>
      </c>
      <c r="P4365">
        <v>254</v>
      </c>
      <c r="Q4365" t="s">
        <v>9079</v>
      </c>
    </row>
    <row r="4366" spans="1:17" x14ac:dyDescent="0.3">
      <c r="A4366" t="s">
        <v>17</v>
      </c>
      <c r="B4366" t="str">
        <f>"688777"</f>
        <v>688777</v>
      </c>
      <c r="C4366" t="s">
        <v>9080</v>
      </c>
      <c r="D4366" t="s">
        <v>2148</v>
      </c>
      <c r="E4366">
        <v>-446965624</v>
      </c>
      <c r="F4366">
        <v>-407229547</v>
      </c>
      <c r="G4366">
        <v>-95572422</v>
      </c>
      <c r="H4366">
        <v>-44691600</v>
      </c>
      <c r="P4366">
        <v>180</v>
      </c>
      <c r="Q4366" t="s">
        <v>9081</v>
      </c>
    </row>
    <row r="4367" spans="1:17" x14ac:dyDescent="0.3">
      <c r="A4367" t="s">
        <v>17</v>
      </c>
      <c r="B4367" t="str">
        <f>"600581"</f>
        <v>600581</v>
      </c>
      <c r="C4367" t="s">
        <v>9082</v>
      </c>
      <c r="D4367" t="s">
        <v>131</v>
      </c>
      <c r="E4367">
        <v>-446978355</v>
      </c>
      <c r="F4367">
        <v>-802303769</v>
      </c>
      <c r="G4367">
        <v>-126201989</v>
      </c>
      <c r="H4367">
        <v>-206442216</v>
      </c>
      <c r="I4367">
        <v>-339768542</v>
      </c>
      <c r="J4367">
        <v>-24242344</v>
      </c>
      <c r="K4367">
        <v>68716330</v>
      </c>
      <c r="L4367">
        <v>-368081342</v>
      </c>
      <c r="M4367">
        <v>371020899</v>
      </c>
      <c r="N4367">
        <v>101896994</v>
      </c>
      <c r="O4367">
        <v>43709539</v>
      </c>
      <c r="P4367">
        <v>265</v>
      </c>
      <c r="Q4367" t="s">
        <v>9083</v>
      </c>
    </row>
    <row r="4368" spans="1:17" x14ac:dyDescent="0.3">
      <c r="A4368" t="s">
        <v>33</v>
      </c>
      <c r="B4368" t="str">
        <f>"300035"</f>
        <v>300035</v>
      </c>
      <c r="C4368" t="s">
        <v>9084</v>
      </c>
      <c r="D4368" t="s">
        <v>795</v>
      </c>
      <c r="E4368">
        <v>-448893139</v>
      </c>
      <c r="F4368">
        <v>-99584843</v>
      </c>
      <c r="G4368">
        <v>12097229</v>
      </c>
      <c r="H4368">
        <v>-11626975</v>
      </c>
      <c r="I4368">
        <v>-29046884</v>
      </c>
      <c r="J4368">
        <v>12052618</v>
      </c>
      <c r="K4368">
        <v>16961837</v>
      </c>
      <c r="L4368">
        <v>-270633</v>
      </c>
      <c r="M4368">
        <v>357935</v>
      </c>
      <c r="N4368">
        <v>-9578965</v>
      </c>
      <c r="O4368">
        <v>8106558</v>
      </c>
      <c r="P4368">
        <v>272</v>
      </c>
      <c r="Q4368" t="s">
        <v>9085</v>
      </c>
    </row>
    <row r="4369" spans="1:17" x14ac:dyDescent="0.3">
      <c r="A4369" t="s">
        <v>17</v>
      </c>
      <c r="B4369" t="str">
        <f>"688408"</f>
        <v>688408</v>
      </c>
      <c r="C4369" t="s">
        <v>9086</v>
      </c>
      <c r="D4369" t="s">
        <v>800</v>
      </c>
      <c r="E4369">
        <v>-450006704</v>
      </c>
      <c r="F4369">
        <v>204429081</v>
      </c>
      <c r="G4369">
        <v>-27559574</v>
      </c>
      <c r="P4369">
        <v>114</v>
      </c>
      <c r="Q4369" t="s">
        <v>9087</v>
      </c>
    </row>
    <row r="4370" spans="1:17" x14ac:dyDescent="0.3">
      <c r="A4370" t="s">
        <v>17</v>
      </c>
      <c r="B4370" t="str">
        <f>"603815"</f>
        <v>603815</v>
      </c>
      <c r="C4370" t="s">
        <v>9088</v>
      </c>
      <c r="D4370" t="s">
        <v>1527</v>
      </c>
      <c r="E4370">
        <v>-453357884</v>
      </c>
      <c r="F4370">
        <v>-254722132</v>
      </c>
      <c r="G4370">
        <v>-395235713</v>
      </c>
      <c r="H4370">
        <v>-621482647</v>
      </c>
      <c r="P4370">
        <v>85</v>
      </c>
      <c r="Q4370" t="s">
        <v>9089</v>
      </c>
    </row>
    <row r="4371" spans="1:17" x14ac:dyDescent="0.3">
      <c r="A4371" t="s">
        <v>33</v>
      </c>
      <c r="B4371" t="str">
        <f>"000029"</f>
        <v>000029</v>
      </c>
      <c r="C4371" t="s">
        <v>9090</v>
      </c>
      <c r="D4371" t="s">
        <v>167</v>
      </c>
      <c r="E4371">
        <v>-461062517</v>
      </c>
      <c r="F4371">
        <v>303456192</v>
      </c>
      <c r="G4371">
        <v>-435258964</v>
      </c>
      <c r="H4371">
        <v>217157205</v>
      </c>
      <c r="I4371">
        <v>205338536</v>
      </c>
      <c r="J4371">
        <v>-30280599</v>
      </c>
      <c r="K4371">
        <v>127807036</v>
      </c>
      <c r="L4371">
        <v>-21091779</v>
      </c>
      <c r="M4371">
        <v>147785842</v>
      </c>
      <c r="N4371">
        <v>270776252</v>
      </c>
      <c r="O4371">
        <v>-16248114</v>
      </c>
      <c r="P4371">
        <v>137</v>
      </c>
      <c r="Q4371" t="s">
        <v>9091</v>
      </c>
    </row>
    <row r="4372" spans="1:17" x14ac:dyDescent="0.3">
      <c r="A4372" t="s">
        <v>17</v>
      </c>
      <c r="B4372" t="str">
        <f>"600708"</f>
        <v>600708</v>
      </c>
      <c r="C4372" t="s">
        <v>9092</v>
      </c>
      <c r="D4372" t="s">
        <v>167</v>
      </c>
      <c r="E4372">
        <v>-461153245</v>
      </c>
      <c r="F4372">
        <v>-101755906</v>
      </c>
      <c r="G4372">
        <v>-1245370444</v>
      </c>
      <c r="H4372">
        <v>-5644771976</v>
      </c>
      <c r="I4372">
        <v>-2853328910</v>
      </c>
      <c r="J4372">
        <v>-326161274</v>
      </c>
      <c r="K4372">
        <v>-493177498</v>
      </c>
      <c r="L4372">
        <v>132780355</v>
      </c>
      <c r="M4372">
        <v>127612818</v>
      </c>
      <c r="N4372">
        <v>203461007</v>
      </c>
      <c r="O4372">
        <v>42209201</v>
      </c>
      <c r="P4372">
        <v>677</v>
      </c>
      <c r="Q4372" t="s">
        <v>9093</v>
      </c>
    </row>
    <row r="4373" spans="1:17" x14ac:dyDescent="0.3">
      <c r="A4373" t="s">
        <v>17</v>
      </c>
      <c r="B4373" t="str">
        <f>"600637"</f>
        <v>600637</v>
      </c>
      <c r="C4373" t="s">
        <v>9094</v>
      </c>
      <c r="D4373" t="s">
        <v>1074</v>
      </c>
      <c r="E4373">
        <v>-462771925</v>
      </c>
      <c r="F4373">
        <v>123995501</v>
      </c>
      <c r="G4373">
        <v>-156873628</v>
      </c>
      <c r="H4373">
        <v>-231133105</v>
      </c>
      <c r="I4373">
        <v>707209360</v>
      </c>
      <c r="J4373">
        <v>-384411020</v>
      </c>
      <c r="K4373">
        <v>-570776761</v>
      </c>
      <c r="L4373">
        <v>-168054346</v>
      </c>
      <c r="M4373">
        <v>735476</v>
      </c>
      <c r="N4373">
        <v>-31867197</v>
      </c>
      <c r="O4373">
        <v>86595430</v>
      </c>
      <c r="P4373">
        <v>442</v>
      </c>
      <c r="Q4373" t="s">
        <v>9095</v>
      </c>
    </row>
    <row r="4374" spans="1:17" x14ac:dyDescent="0.3">
      <c r="A4374" t="s">
        <v>33</v>
      </c>
      <c r="B4374" t="str">
        <f>"000628"</f>
        <v>000628</v>
      </c>
      <c r="C4374" t="s">
        <v>9096</v>
      </c>
      <c r="D4374" t="s">
        <v>827</v>
      </c>
      <c r="E4374">
        <v>-464353071</v>
      </c>
      <c r="F4374">
        <v>-199099529</v>
      </c>
      <c r="G4374">
        <v>125895597</v>
      </c>
      <c r="H4374">
        <v>70515125</v>
      </c>
      <c r="I4374">
        <v>-260387920</v>
      </c>
      <c r="J4374">
        <v>31737502</v>
      </c>
      <c r="K4374">
        <v>45788200</v>
      </c>
      <c r="L4374">
        <v>47628216</v>
      </c>
      <c r="M4374">
        <v>169645580</v>
      </c>
      <c r="N4374">
        <v>57379252</v>
      </c>
      <c r="O4374">
        <v>7481070</v>
      </c>
      <c r="P4374">
        <v>127</v>
      </c>
      <c r="Q4374" t="s">
        <v>9097</v>
      </c>
    </row>
    <row r="4375" spans="1:17" x14ac:dyDescent="0.3">
      <c r="A4375" t="s">
        <v>33</v>
      </c>
      <c r="B4375" t="str">
        <f>"000778"</f>
        <v>000778</v>
      </c>
      <c r="C4375" t="s">
        <v>9098</v>
      </c>
      <c r="D4375" t="s">
        <v>7069</v>
      </c>
      <c r="E4375">
        <v>-466320405</v>
      </c>
      <c r="F4375">
        <v>3113980</v>
      </c>
      <c r="G4375">
        <v>-539396825</v>
      </c>
      <c r="H4375">
        <v>129514406</v>
      </c>
      <c r="I4375">
        <v>785978346</v>
      </c>
      <c r="J4375">
        <v>292590583</v>
      </c>
      <c r="K4375">
        <v>-276068011</v>
      </c>
      <c r="L4375">
        <v>-667286318</v>
      </c>
      <c r="M4375">
        <v>376554647</v>
      </c>
      <c r="N4375">
        <v>-507253013</v>
      </c>
      <c r="O4375">
        <v>-966397666</v>
      </c>
      <c r="P4375">
        <v>674</v>
      </c>
      <c r="Q4375" t="s">
        <v>9099</v>
      </c>
    </row>
    <row r="4376" spans="1:17" x14ac:dyDescent="0.3">
      <c r="A4376" t="s">
        <v>17</v>
      </c>
      <c r="B4376" t="str">
        <f>"688567"</f>
        <v>688567</v>
      </c>
      <c r="C4376" t="s">
        <v>9100</v>
      </c>
      <c r="D4376" t="s">
        <v>156</v>
      </c>
      <c r="E4376">
        <v>-469742484</v>
      </c>
      <c r="F4376">
        <v>249818946</v>
      </c>
      <c r="G4376">
        <v>-290950454</v>
      </c>
      <c r="P4376">
        <v>107</v>
      </c>
      <c r="Q4376" t="s">
        <v>9101</v>
      </c>
    </row>
    <row r="4377" spans="1:17" x14ac:dyDescent="0.3">
      <c r="A4377" t="s">
        <v>17</v>
      </c>
      <c r="B4377" t="str">
        <f>"600310"</f>
        <v>600310</v>
      </c>
      <c r="C4377" t="s">
        <v>9102</v>
      </c>
      <c r="D4377" t="s">
        <v>245</v>
      </c>
      <c r="E4377">
        <v>-470408970</v>
      </c>
      <c r="F4377">
        <v>52970851</v>
      </c>
      <c r="G4377">
        <v>-124047505</v>
      </c>
      <c r="H4377">
        <v>362171676</v>
      </c>
      <c r="I4377">
        <v>-379959878</v>
      </c>
      <c r="J4377">
        <v>-249949310</v>
      </c>
      <c r="K4377">
        <v>-8765209</v>
      </c>
      <c r="L4377">
        <v>-36266294</v>
      </c>
      <c r="M4377">
        <v>-2040539</v>
      </c>
      <c r="N4377">
        <v>-16076996</v>
      </c>
      <c r="O4377">
        <v>-12868214</v>
      </c>
      <c r="P4377">
        <v>115</v>
      </c>
      <c r="Q4377" t="s">
        <v>9103</v>
      </c>
    </row>
    <row r="4378" spans="1:17" x14ac:dyDescent="0.3">
      <c r="A4378" t="s">
        <v>17</v>
      </c>
      <c r="B4378" t="str">
        <f>"600927"</f>
        <v>600927</v>
      </c>
      <c r="C4378" t="s">
        <v>9104</v>
      </c>
      <c r="D4378" t="s">
        <v>538</v>
      </c>
      <c r="E4378">
        <v>-470447362</v>
      </c>
      <c r="P4378">
        <v>22</v>
      </c>
      <c r="Q4378" t="s">
        <v>9105</v>
      </c>
    </row>
    <row r="4379" spans="1:17" x14ac:dyDescent="0.3">
      <c r="A4379" t="s">
        <v>33</v>
      </c>
      <c r="B4379" t="str">
        <f>"301039"</f>
        <v>301039</v>
      </c>
      <c r="C4379" t="s">
        <v>9106</v>
      </c>
      <c r="D4379" t="s">
        <v>330</v>
      </c>
      <c r="E4379">
        <v>-471024997</v>
      </c>
      <c r="F4379">
        <v>14740768</v>
      </c>
      <c r="G4379">
        <v>-106406901</v>
      </c>
      <c r="P4379">
        <v>35</v>
      </c>
      <c r="Q4379" t="s">
        <v>9107</v>
      </c>
    </row>
    <row r="4380" spans="1:17" x14ac:dyDescent="0.3">
      <c r="A4380" t="s">
        <v>33</v>
      </c>
      <c r="B4380" t="str">
        <f>"000727"</f>
        <v>000727</v>
      </c>
      <c r="C4380" t="s">
        <v>9108</v>
      </c>
      <c r="D4380" t="s">
        <v>102</v>
      </c>
      <c r="E4380">
        <v>-471915306</v>
      </c>
      <c r="F4380">
        <v>-925815271</v>
      </c>
      <c r="G4380">
        <v>133042752</v>
      </c>
      <c r="H4380">
        <v>442522776</v>
      </c>
      <c r="I4380">
        <v>101717680</v>
      </c>
      <c r="J4380">
        <v>-222708289</v>
      </c>
      <c r="K4380">
        <v>-154520659</v>
      </c>
      <c r="L4380">
        <v>362439921</v>
      </c>
      <c r="M4380">
        <v>-14876637</v>
      </c>
      <c r="N4380">
        <v>-16085526</v>
      </c>
      <c r="O4380">
        <v>61421617</v>
      </c>
      <c r="P4380">
        <v>197</v>
      </c>
      <c r="Q4380" t="s">
        <v>9109</v>
      </c>
    </row>
    <row r="4381" spans="1:17" x14ac:dyDescent="0.3">
      <c r="A4381" t="s">
        <v>33</v>
      </c>
      <c r="B4381" t="str">
        <f>"000009"</f>
        <v>000009</v>
      </c>
      <c r="C4381" t="s">
        <v>9110</v>
      </c>
      <c r="D4381" t="s">
        <v>795</v>
      </c>
      <c r="E4381">
        <v>-474078023</v>
      </c>
      <c r="F4381">
        <v>240313176</v>
      </c>
      <c r="G4381">
        <v>114905873</v>
      </c>
      <c r="H4381">
        <v>345993925</v>
      </c>
      <c r="I4381">
        <v>100762490</v>
      </c>
      <c r="J4381">
        <v>62748092</v>
      </c>
      <c r="K4381">
        <v>84119342</v>
      </c>
      <c r="L4381">
        <v>-109472531</v>
      </c>
      <c r="M4381">
        <v>132391352</v>
      </c>
      <c r="N4381">
        <v>-79363753</v>
      </c>
      <c r="O4381">
        <v>-112847032</v>
      </c>
      <c r="P4381">
        <v>468</v>
      </c>
      <c r="Q4381" t="s">
        <v>9111</v>
      </c>
    </row>
    <row r="4382" spans="1:17" x14ac:dyDescent="0.3">
      <c r="A4382" t="s">
        <v>17</v>
      </c>
      <c r="B4382" t="str">
        <f>"601106"</f>
        <v>601106</v>
      </c>
      <c r="C4382" t="s">
        <v>9112</v>
      </c>
      <c r="D4382" t="s">
        <v>1132</v>
      </c>
      <c r="E4382">
        <v>-475798438</v>
      </c>
      <c r="F4382">
        <v>-987038563</v>
      </c>
      <c r="G4382">
        <v>-584026476</v>
      </c>
      <c r="H4382">
        <v>-435834253</v>
      </c>
      <c r="I4382">
        <v>-28663694</v>
      </c>
      <c r="J4382">
        <v>-36827893</v>
      </c>
      <c r="K4382">
        <v>-1515385220</v>
      </c>
      <c r="L4382">
        <v>-302713667</v>
      </c>
      <c r="M4382">
        <v>-734785890</v>
      </c>
      <c r="N4382">
        <v>-710698327</v>
      </c>
      <c r="O4382">
        <v>-570978124</v>
      </c>
      <c r="P4382">
        <v>175</v>
      </c>
      <c r="Q4382" t="s">
        <v>9113</v>
      </c>
    </row>
    <row r="4383" spans="1:17" x14ac:dyDescent="0.3">
      <c r="A4383" t="s">
        <v>17</v>
      </c>
      <c r="B4383" t="str">
        <f>"688779"</f>
        <v>688779</v>
      </c>
      <c r="C4383" t="s">
        <v>9114</v>
      </c>
      <c r="D4383" t="s">
        <v>795</v>
      </c>
      <c r="E4383">
        <v>-477003031</v>
      </c>
      <c r="P4383">
        <v>53</v>
      </c>
      <c r="Q4383" t="s">
        <v>9115</v>
      </c>
    </row>
    <row r="4384" spans="1:17" x14ac:dyDescent="0.3">
      <c r="A4384" t="s">
        <v>17</v>
      </c>
      <c r="B4384" t="str">
        <f>"600268"</f>
        <v>600268</v>
      </c>
      <c r="C4384" t="s">
        <v>9116</v>
      </c>
      <c r="D4384" t="s">
        <v>1182</v>
      </c>
      <c r="E4384">
        <v>-485074002</v>
      </c>
      <c r="F4384">
        <v>-248476904</v>
      </c>
      <c r="G4384">
        <v>-380125066</v>
      </c>
      <c r="H4384">
        <v>-457113739</v>
      </c>
      <c r="I4384">
        <v>-523110630</v>
      </c>
      <c r="J4384">
        <v>-564086511</v>
      </c>
      <c r="K4384">
        <v>-605529159</v>
      </c>
      <c r="L4384">
        <v>-380434561</v>
      </c>
      <c r="M4384">
        <v>-506877241</v>
      </c>
      <c r="N4384">
        <v>-441370056</v>
      </c>
      <c r="O4384">
        <v>-535118419</v>
      </c>
      <c r="P4384">
        <v>245</v>
      </c>
      <c r="Q4384" t="s">
        <v>9117</v>
      </c>
    </row>
    <row r="4385" spans="1:17" x14ac:dyDescent="0.3">
      <c r="A4385" t="s">
        <v>33</v>
      </c>
      <c r="B4385" t="str">
        <f>"300672"</f>
        <v>300672</v>
      </c>
      <c r="C4385" t="s">
        <v>9118</v>
      </c>
      <c r="D4385" t="s">
        <v>1277</v>
      </c>
      <c r="E4385">
        <v>-485439296</v>
      </c>
      <c r="F4385">
        <v>45470945</v>
      </c>
      <c r="G4385">
        <v>-29201896</v>
      </c>
      <c r="H4385">
        <v>-99293228</v>
      </c>
      <c r="I4385">
        <v>-144622279</v>
      </c>
      <c r="J4385">
        <v>-71577672</v>
      </c>
      <c r="K4385">
        <v>-42404734</v>
      </c>
      <c r="P4385">
        <v>305</v>
      </c>
      <c r="Q4385" t="s">
        <v>9119</v>
      </c>
    </row>
    <row r="4386" spans="1:17" x14ac:dyDescent="0.3">
      <c r="A4386" t="s">
        <v>33</v>
      </c>
      <c r="B4386" t="str">
        <f>"300188"</f>
        <v>300188</v>
      </c>
      <c r="C4386" t="s">
        <v>9120</v>
      </c>
      <c r="D4386" t="s">
        <v>807</v>
      </c>
      <c r="E4386">
        <v>-493440013</v>
      </c>
      <c r="F4386">
        <v>-497692911</v>
      </c>
      <c r="G4386">
        <v>-496242752</v>
      </c>
      <c r="H4386">
        <v>-307824041</v>
      </c>
      <c r="I4386">
        <v>-308139687</v>
      </c>
      <c r="J4386">
        <v>-178303540</v>
      </c>
      <c r="K4386">
        <v>-111161775</v>
      </c>
      <c r="L4386">
        <v>-140281281</v>
      </c>
      <c r="M4386">
        <v>-88352693</v>
      </c>
      <c r="N4386">
        <v>-74377716</v>
      </c>
      <c r="O4386">
        <v>-30893401</v>
      </c>
      <c r="P4386">
        <v>557</v>
      </c>
      <c r="Q4386" t="s">
        <v>9121</v>
      </c>
    </row>
    <row r="4387" spans="1:17" x14ac:dyDescent="0.3">
      <c r="A4387" t="s">
        <v>33</v>
      </c>
      <c r="B4387" t="str">
        <f>"002534"</f>
        <v>002534</v>
      </c>
      <c r="C4387" t="s">
        <v>9122</v>
      </c>
      <c r="D4387" t="s">
        <v>2103</v>
      </c>
      <c r="E4387">
        <v>-495513533</v>
      </c>
      <c r="F4387">
        <v>-245946743</v>
      </c>
      <c r="G4387">
        <v>261476160</v>
      </c>
      <c r="H4387">
        <v>-49902772</v>
      </c>
      <c r="I4387">
        <v>43486907</v>
      </c>
      <c r="J4387">
        <v>-142981572</v>
      </c>
      <c r="K4387">
        <v>162364982</v>
      </c>
      <c r="L4387">
        <v>-81779558</v>
      </c>
      <c r="M4387">
        <v>-319439578</v>
      </c>
      <c r="N4387">
        <v>73890474</v>
      </c>
      <c r="O4387">
        <v>-433548761</v>
      </c>
      <c r="P4387">
        <v>191</v>
      </c>
      <c r="Q4387" t="s">
        <v>9123</v>
      </c>
    </row>
    <row r="4388" spans="1:17" x14ac:dyDescent="0.3">
      <c r="A4388" t="s">
        <v>33</v>
      </c>
      <c r="B4388" t="str">
        <f>"300457"</f>
        <v>300457</v>
      </c>
      <c r="C4388" t="s">
        <v>9124</v>
      </c>
      <c r="D4388" t="s">
        <v>1549</v>
      </c>
      <c r="E4388">
        <v>-495759659</v>
      </c>
      <c r="F4388">
        <v>391787723</v>
      </c>
      <c r="G4388">
        <v>47915360</v>
      </c>
      <c r="H4388">
        <v>58815654</v>
      </c>
      <c r="I4388">
        <v>-17984777</v>
      </c>
      <c r="J4388">
        <v>-56826539</v>
      </c>
      <c r="K4388">
        <v>3005236</v>
      </c>
      <c r="L4388">
        <v>-8251400</v>
      </c>
      <c r="M4388">
        <v>7610400</v>
      </c>
      <c r="P4388">
        <v>359</v>
      </c>
      <c r="Q4388" t="s">
        <v>9125</v>
      </c>
    </row>
    <row r="4389" spans="1:17" x14ac:dyDescent="0.3">
      <c r="A4389" t="s">
        <v>33</v>
      </c>
      <c r="B4389" t="str">
        <f>"300674"</f>
        <v>300674</v>
      </c>
      <c r="C4389" t="s">
        <v>9126</v>
      </c>
      <c r="D4389" t="s">
        <v>508</v>
      </c>
      <c r="E4389">
        <v>-497112983</v>
      </c>
      <c r="F4389">
        <v>-474846844</v>
      </c>
      <c r="G4389">
        <v>-337135733</v>
      </c>
      <c r="H4389">
        <v>-320303567</v>
      </c>
      <c r="I4389">
        <v>-229810635</v>
      </c>
      <c r="P4389">
        <v>348</v>
      </c>
      <c r="Q4389" t="s">
        <v>9127</v>
      </c>
    </row>
    <row r="4390" spans="1:17" x14ac:dyDescent="0.3">
      <c r="A4390" t="s">
        <v>17</v>
      </c>
      <c r="B4390" t="str">
        <f>"600906"</f>
        <v>600906</v>
      </c>
      <c r="C4390" t="s">
        <v>9128</v>
      </c>
      <c r="D4390" t="s">
        <v>52</v>
      </c>
      <c r="E4390">
        <v>-498363317</v>
      </c>
      <c r="F4390">
        <v>-98906524</v>
      </c>
      <c r="G4390">
        <v>1226904365</v>
      </c>
      <c r="P4390">
        <v>131</v>
      </c>
      <c r="Q4390" t="s">
        <v>9129</v>
      </c>
    </row>
    <row r="4391" spans="1:17" x14ac:dyDescent="0.3">
      <c r="A4391" t="s">
        <v>33</v>
      </c>
      <c r="B4391" t="str">
        <f>"002037"</f>
        <v>002037</v>
      </c>
      <c r="C4391" t="s">
        <v>9130</v>
      </c>
      <c r="D4391" t="s">
        <v>1474</v>
      </c>
      <c r="E4391">
        <v>-498821041</v>
      </c>
      <c r="F4391">
        <v>-173183133</v>
      </c>
      <c r="G4391">
        <v>-150556841</v>
      </c>
      <c r="H4391">
        <v>13178108</v>
      </c>
      <c r="I4391">
        <v>-250887390</v>
      </c>
      <c r="J4391">
        <v>48723841</v>
      </c>
      <c r="K4391">
        <v>254874453</v>
      </c>
      <c r="L4391">
        <v>-234631635</v>
      </c>
      <c r="M4391">
        <v>-263466175</v>
      </c>
      <c r="N4391">
        <v>-236074089</v>
      </c>
      <c r="O4391">
        <v>-33040740</v>
      </c>
      <c r="P4391">
        <v>81</v>
      </c>
      <c r="Q4391" t="s">
        <v>9131</v>
      </c>
    </row>
    <row r="4392" spans="1:17" x14ac:dyDescent="0.3">
      <c r="A4392" t="s">
        <v>17</v>
      </c>
      <c r="B4392" t="str">
        <f>"603180"</f>
        <v>603180</v>
      </c>
      <c r="C4392" t="s">
        <v>9132</v>
      </c>
      <c r="D4392" t="s">
        <v>5122</v>
      </c>
      <c r="E4392">
        <v>-503852344</v>
      </c>
      <c r="F4392">
        <v>-299728702</v>
      </c>
      <c r="G4392">
        <v>-282240767</v>
      </c>
      <c r="H4392">
        <v>-88225035</v>
      </c>
      <c r="I4392">
        <v>-114473306</v>
      </c>
      <c r="J4392">
        <v>-50720004</v>
      </c>
      <c r="K4392">
        <v>-84970081</v>
      </c>
      <c r="P4392">
        <v>1304</v>
      </c>
      <c r="Q4392" t="s">
        <v>9133</v>
      </c>
    </row>
    <row r="4393" spans="1:17" x14ac:dyDescent="0.3">
      <c r="A4393" t="s">
        <v>33</v>
      </c>
      <c r="B4393" t="str">
        <f>"002025"</f>
        <v>002025</v>
      </c>
      <c r="C4393" t="s">
        <v>9134</v>
      </c>
      <c r="D4393" t="s">
        <v>617</v>
      </c>
      <c r="E4393">
        <v>-507410322</v>
      </c>
      <c r="F4393">
        <v>-330883597</v>
      </c>
      <c r="G4393">
        <v>-278521305</v>
      </c>
      <c r="H4393">
        <v>-275531110</v>
      </c>
      <c r="I4393">
        <v>-160088212</v>
      </c>
      <c r="J4393">
        <v>-135397927</v>
      </c>
      <c r="K4393">
        <v>-38329443</v>
      </c>
      <c r="L4393">
        <v>-86214561</v>
      </c>
      <c r="M4393">
        <v>-52469772</v>
      </c>
      <c r="N4393">
        <v>-70828312</v>
      </c>
      <c r="O4393">
        <v>-34031570</v>
      </c>
      <c r="P4393">
        <v>468</v>
      </c>
      <c r="Q4393" t="s">
        <v>9135</v>
      </c>
    </row>
    <row r="4394" spans="1:17" x14ac:dyDescent="0.3">
      <c r="A4394" t="s">
        <v>33</v>
      </c>
      <c r="B4394" t="str">
        <f>"002487"</f>
        <v>002487</v>
      </c>
      <c r="C4394" t="s">
        <v>9136</v>
      </c>
      <c r="D4394" t="s">
        <v>1437</v>
      </c>
      <c r="E4394">
        <v>-511856123</v>
      </c>
      <c r="F4394">
        <v>273242459</v>
      </c>
      <c r="G4394">
        <v>-50662980</v>
      </c>
      <c r="H4394">
        <v>-94438361</v>
      </c>
      <c r="I4394">
        <v>-31357957</v>
      </c>
      <c r="J4394">
        <v>-109695852</v>
      </c>
      <c r="K4394">
        <v>11009557</v>
      </c>
      <c r="L4394">
        <v>31253978</v>
      </c>
      <c r="M4394">
        <v>40051569</v>
      </c>
      <c r="N4394">
        <v>21036712</v>
      </c>
      <c r="O4394">
        <v>-33333103</v>
      </c>
      <c r="P4394">
        <v>248</v>
      </c>
      <c r="Q4394" t="s">
        <v>9137</v>
      </c>
    </row>
    <row r="4395" spans="1:17" x14ac:dyDescent="0.3">
      <c r="A4395" t="s">
        <v>33</v>
      </c>
      <c r="B4395" t="str">
        <f>"300616"</f>
        <v>300616</v>
      </c>
      <c r="C4395" t="s">
        <v>9138</v>
      </c>
      <c r="D4395" t="s">
        <v>5122</v>
      </c>
      <c r="E4395">
        <v>-513218967</v>
      </c>
      <c r="F4395">
        <v>-807110370</v>
      </c>
      <c r="G4395">
        <v>-1073693092</v>
      </c>
      <c r="H4395">
        <v>-600839134</v>
      </c>
      <c r="I4395">
        <v>-431218831</v>
      </c>
      <c r="J4395">
        <v>-147424494</v>
      </c>
      <c r="K4395">
        <v>-161810012</v>
      </c>
      <c r="P4395">
        <v>694</v>
      </c>
      <c r="Q4395" t="s">
        <v>9139</v>
      </c>
    </row>
    <row r="4396" spans="1:17" x14ac:dyDescent="0.3">
      <c r="A4396" t="s">
        <v>17</v>
      </c>
      <c r="B4396" t="str">
        <f>"600916"</f>
        <v>600916</v>
      </c>
      <c r="C4396" t="s">
        <v>9140</v>
      </c>
      <c r="D4396" t="s">
        <v>161</v>
      </c>
      <c r="E4396">
        <v>-513328976</v>
      </c>
      <c r="F4396">
        <v>474170979</v>
      </c>
      <c r="G4396">
        <v>94300479</v>
      </c>
      <c r="P4396">
        <v>97</v>
      </c>
      <c r="Q4396" t="s">
        <v>9141</v>
      </c>
    </row>
    <row r="4397" spans="1:17" x14ac:dyDescent="0.3">
      <c r="A4397" t="s">
        <v>17</v>
      </c>
      <c r="B4397" t="str">
        <f>"600549"</f>
        <v>600549</v>
      </c>
      <c r="C4397" t="s">
        <v>9142</v>
      </c>
      <c r="D4397" t="s">
        <v>5249</v>
      </c>
      <c r="E4397">
        <v>-518832666</v>
      </c>
      <c r="F4397">
        <v>-142901590</v>
      </c>
      <c r="G4397">
        <v>180777628</v>
      </c>
      <c r="H4397">
        <v>-131756700</v>
      </c>
      <c r="I4397">
        <v>-553018372</v>
      </c>
      <c r="J4397">
        <v>-579784062</v>
      </c>
      <c r="K4397">
        <v>248044050</v>
      </c>
      <c r="L4397">
        <v>-1082367416</v>
      </c>
      <c r="M4397">
        <v>-469122747</v>
      </c>
      <c r="N4397">
        <v>-254530872</v>
      </c>
      <c r="O4397">
        <v>22577621</v>
      </c>
      <c r="P4397">
        <v>446</v>
      </c>
      <c r="Q4397" t="s">
        <v>9143</v>
      </c>
    </row>
    <row r="4398" spans="1:17" x14ac:dyDescent="0.3">
      <c r="A4398" t="s">
        <v>17</v>
      </c>
      <c r="B4398" t="str">
        <f>"601702"</f>
        <v>601702</v>
      </c>
      <c r="C4398" t="s">
        <v>9144</v>
      </c>
      <c r="D4398" t="s">
        <v>140</v>
      </c>
      <c r="E4398">
        <v>-524177305</v>
      </c>
      <c r="F4398">
        <v>-196316574</v>
      </c>
      <c r="G4398">
        <v>172325350</v>
      </c>
      <c r="P4398">
        <v>116</v>
      </c>
      <c r="Q4398" t="s">
        <v>9145</v>
      </c>
    </row>
    <row r="4399" spans="1:17" x14ac:dyDescent="0.3">
      <c r="A4399" t="s">
        <v>17</v>
      </c>
      <c r="B4399" t="str">
        <f>"600458"</f>
        <v>600458</v>
      </c>
      <c r="C4399" t="s">
        <v>9146</v>
      </c>
      <c r="D4399" t="s">
        <v>1437</v>
      </c>
      <c r="E4399">
        <v>-527877079</v>
      </c>
      <c r="F4399">
        <v>-246676395</v>
      </c>
      <c r="G4399">
        <v>-108424376</v>
      </c>
      <c r="H4399">
        <v>-597396441</v>
      </c>
      <c r="I4399">
        <v>-253523197</v>
      </c>
      <c r="J4399">
        <v>-485289374</v>
      </c>
      <c r="K4399">
        <v>-259244914</v>
      </c>
      <c r="L4399">
        <v>-139431662</v>
      </c>
      <c r="M4399">
        <v>-104064756</v>
      </c>
      <c r="N4399">
        <v>-190278296</v>
      </c>
      <c r="O4399">
        <v>-219676971</v>
      </c>
      <c r="P4399">
        <v>244</v>
      </c>
      <c r="Q4399" t="s">
        <v>9147</v>
      </c>
    </row>
    <row r="4400" spans="1:17" x14ac:dyDescent="0.3">
      <c r="A4400" t="s">
        <v>17</v>
      </c>
      <c r="B4400" t="str">
        <f>"601968"</f>
        <v>601968</v>
      </c>
      <c r="C4400" t="s">
        <v>9148</v>
      </c>
      <c r="D4400" t="s">
        <v>2115</v>
      </c>
      <c r="E4400">
        <v>-527935036</v>
      </c>
      <c r="F4400">
        <v>-73922611</v>
      </c>
      <c r="G4400">
        <v>3504934</v>
      </c>
      <c r="H4400">
        <v>128824592</v>
      </c>
      <c r="I4400">
        <v>-101729112</v>
      </c>
      <c r="J4400">
        <v>-121985646</v>
      </c>
      <c r="K4400">
        <v>107913799</v>
      </c>
      <c r="L4400">
        <v>66812000</v>
      </c>
      <c r="P4400">
        <v>108</v>
      </c>
      <c r="Q4400" t="s">
        <v>9149</v>
      </c>
    </row>
    <row r="4401" spans="1:17" x14ac:dyDescent="0.3">
      <c r="A4401" t="s">
        <v>33</v>
      </c>
      <c r="B4401" t="str">
        <f>"000547"</f>
        <v>000547</v>
      </c>
      <c r="C4401" t="s">
        <v>9150</v>
      </c>
      <c r="D4401" t="s">
        <v>617</v>
      </c>
      <c r="E4401">
        <v>-528920743</v>
      </c>
      <c r="F4401">
        <v>-457070119</v>
      </c>
      <c r="G4401">
        <v>-256391696</v>
      </c>
      <c r="H4401">
        <v>-338094095</v>
      </c>
      <c r="I4401">
        <v>-391762417</v>
      </c>
      <c r="J4401">
        <v>-262987510</v>
      </c>
      <c r="K4401">
        <v>-8986366</v>
      </c>
      <c r="L4401">
        <v>95925526</v>
      </c>
      <c r="M4401">
        <v>108000439</v>
      </c>
      <c r="N4401">
        <v>18015317</v>
      </c>
      <c r="O4401">
        <v>8428069</v>
      </c>
      <c r="P4401">
        <v>612</v>
      </c>
      <c r="Q4401" t="s">
        <v>9151</v>
      </c>
    </row>
    <row r="4402" spans="1:17" x14ac:dyDescent="0.3">
      <c r="A4402" t="s">
        <v>17</v>
      </c>
      <c r="B4402" t="str">
        <f>"603816"</f>
        <v>603816</v>
      </c>
      <c r="C4402" t="s">
        <v>9152</v>
      </c>
      <c r="D4402" t="s">
        <v>664</v>
      </c>
      <c r="E4402">
        <v>-529713659</v>
      </c>
      <c r="F4402">
        <v>132550569</v>
      </c>
      <c r="G4402">
        <v>-401125755</v>
      </c>
      <c r="H4402">
        <v>248427665</v>
      </c>
      <c r="I4402">
        <v>19797378</v>
      </c>
      <c r="J4402">
        <v>97479273</v>
      </c>
      <c r="K4402">
        <v>79326044</v>
      </c>
      <c r="P4402">
        <v>1965</v>
      </c>
      <c r="Q4402" t="s">
        <v>9153</v>
      </c>
    </row>
    <row r="4403" spans="1:17" x14ac:dyDescent="0.3">
      <c r="A4403" t="s">
        <v>33</v>
      </c>
      <c r="B4403" t="str">
        <f>"000967"</f>
        <v>000967</v>
      </c>
      <c r="C4403" t="s">
        <v>9154</v>
      </c>
      <c r="D4403" t="s">
        <v>1763</v>
      </c>
      <c r="E4403">
        <v>-533382264</v>
      </c>
      <c r="F4403">
        <v>-887704591</v>
      </c>
      <c r="G4403">
        <v>-144580288</v>
      </c>
      <c r="H4403">
        <v>-841174093</v>
      </c>
      <c r="I4403">
        <v>-489416397</v>
      </c>
      <c r="J4403">
        <v>-114312905</v>
      </c>
      <c r="K4403">
        <v>10600158</v>
      </c>
      <c r="L4403">
        <v>11028503</v>
      </c>
      <c r="M4403">
        <v>-28696444</v>
      </c>
      <c r="N4403">
        <v>-75090708</v>
      </c>
      <c r="O4403">
        <v>72217838</v>
      </c>
      <c r="P4403">
        <v>329</v>
      </c>
      <c r="Q4403" t="s">
        <v>9155</v>
      </c>
    </row>
    <row r="4404" spans="1:17" x14ac:dyDescent="0.3">
      <c r="A4404" t="s">
        <v>17</v>
      </c>
      <c r="B4404" t="str">
        <f>"600990"</f>
        <v>600990</v>
      </c>
      <c r="C4404" t="s">
        <v>9156</v>
      </c>
      <c r="D4404" t="s">
        <v>617</v>
      </c>
      <c r="E4404">
        <v>-536796865</v>
      </c>
      <c r="F4404">
        <v>-715317438</v>
      </c>
      <c r="G4404">
        <v>-403189777</v>
      </c>
      <c r="H4404">
        <v>-532147072</v>
      </c>
      <c r="I4404">
        <v>-588339480</v>
      </c>
      <c r="J4404">
        <v>-423761202</v>
      </c>
      <c r="K4404">
        <v>-351549884</v>
      </c>
      <c r="L4404">
        <v>-331507878</v>
      </c>
      <c r="M4404">
        <v>-217773684</v>
      </c>
      <c r="N4404">
        <v>-140142765</v>
      </c>
      <c r="O4404">
        <v>-59024678</v>
      </c>
      <c r="P4404">
        <v>166</v>
      </c>
      <c r="Q4404" t="s">
        <v>9157</v>
      </c>
    </row>
    <row r="4405" spans="1:17" x14ac:dyDescent="0.3">
      <c r="A4405" t="s">
        <v>33</v>
      </c>
      <c r="B4405" t="str">
        <f>"000905"</f>
        <v>000905</v>
      </c>
      <c r="C4405" t="s">
        <v>9158</v>
      </c>
      <c r="D4405" t="s">
        <v>289</v>
      </c>
      <c r="E4405">
        <v>-537210400</v>
      </c>
      <c r="F4405">
        <v>-338524942</v>
      </c>
      <c r="G4405">
        <v>-245031381</v>
      </c>
      <c r="H4405">
        <v>332672122</v>
      </c>
      <c r="I4405">
        <v>50880441</v>
      </c>
      <c r="J4405">
        <v>-267748223</v>
      </c>
      <c r="K4405">
        <v>-192564906</v>
      </c>
      <c r="L4405">
        <v>86006613</v>
      </c>
      <c r="M4405">
        <v>43783698</v>
      </c>
      <c r="N4405">
        <v>-50361245</v>
      </c>
      <c r="O4405">
        <v>-59711783</v>
      </c>
      <c r="P4405">
        <v>213</v>
      </c>
      <c r="Q4405" t="s">
        <v>9159</v>
      </c>
    </row>
    <row r="4406" spans="1:17" x14ac:dyDescent="0.3">
      <c r="A4406" t="s">
        <v>33</v>
      </c>
      <c r="B4406" t="str">
        <f>"300001"</f>
        <v>300001</v>
      </c>
      <c r="C4406" t="s">
        <v>9160</v>
      </c>
      <c r="D4406" t="s">
        <v>298</v>
      </c>
      <c r="E4406">
        <v>-542929756</v>
      </c>
      <c r="F4406">
        <v>-508720644</v>
      </c>
      <c r="G4406">
        <v>-497523180</v>
      </c>
      <c r="H4406">
        <v>-82467449</v>
      </c>
      <c r="I4406">
        <v>-329172750</v>
      </c>
      <c r="J4406">
        <v>-369420859</v>
      </c>
      <c r="K4406">
        <v>-282223442</v>
      </c>
      <c r="L4406">
        <v>-77182479</v>
      </c>
      <c r="M4406">
        <v>-100295069</v>
      </c>
      <c r="N4406">
        <v>-51707753</v>
      </c>
      <c r="O4406">
        <v>-31951190</v>
      </c>
      <c r="P4406">
        <v>530</v>
      </c>
      <c r="Q4406" t="s">
        <v>9161</v>
      </c>
    </row>
    <row r="4407" spans="1:17" x14ac:dyDescent="0.3">
      <c r="A4407" t="s">
        <v>17</v>
      </c>
      <c r="B4407" t="str">
        <f>"600133"</f>
        <v>600133</v>
      </c>
      <c r="C4407" t="s">
        <v>9162</v>
      </c>
      <c r="D4407" t="s">
        <v>1527</v>
      </c>
      <c r="E4407">
        <v>-543798336</v>
      </c>
      <c r="F4407">
        <v>-319476112</v>
      </c>
      <c r="G4407">
        <v>153745560</v>
      </c>
      <c r="H4407">
        <v>-383238592</v>
      </c>
      <c r="I4407">
        <v>-174891811</v>
      </c>
      <c r="J4407">
        <v>-109308102</v>
      </c>
      <c r="K4407">
        <v>-326425432</v>
      </c>
      <c r="L4407">
        <v>-605843695</v>
      </c>
      <c r="M4407">
        <v>-562978695</v>
      </c>
      <c r="N4407">
        <v>214029285</v>
      </c>
      <c r="O4407">
        <v>-111781470</v>
      </c>
      <c r="P4407">
        <v>192</v>
      </c>
      <c r="Q4407" t="s">
        <v>9163</v>
      </c>
    </row>
    <row r="4408" spans="1:17" x14ac:dyDescent="0.3">
      <c r="A4408" t="s">
        <v>33</v>
      </c>
      <c r="B4408" t="str">
        <f>"002179"</f>
        <v>002179</v>
      </c>
      <c r="C4408" t="s">
        <v>9164</v>
      </c>
      <c r="D4408" t="s">
        <v>617</v>
      </c>
      <c r="E4408">
        <v>-549782051</v>
      </c>
      <c r="F4408">
        <v>-317386127</v>
      </c>
      <c r="G4408">
        <v>-256025497</v>
      </c>
      <c r="H4408">
        <v>-17943314</v>
      </c>
      <c r="I4408">
        <v>-282087007</v>
      </c>
      <c r="J4408">
        <v>-172497806</v>
      </c>
      <c r="K4408">
        <v>-147154756</v>
      </c>
      <c r="L4408">
        <v>-203558065</v>
      </c>
      <c r="M4408">
        <v>-135745690</v>
      </c>
      <c r="N4408">
        <v>-78556663</v>
      </c>
      <c r="O4408">
        <v>-75910255</v>
      </c>
      <c r="P4408">
        <v>1738</v>
      </c>
      <c r="Q4408" t="s">
        <v>9165</v>
      </c>
    </row>
    <row r="4409" spans="1:17" x14ac:dyDescent="0.3">
      <c r="A4409" t="s">
        <v>17</v>
      </c>
      <c r="B4409" t="str">
        <f>"603008"</f>
        <v>603008</v>
      </c>
      <c r="C4409" t="s">
        <v>9166</v>
      </c>
      <c r="D4409" t="s">
        <v>664</v>
      </c>
      <c r="E4409">
        <v>-551378112</v>
      </c>
      <c r="F4409">
        <v>-209626689</v>
      </c>
      <c r="G4409">
        <v>-296008891</v>
      </c>
      <c r="H4409">
        <v>-73400113</v>
      </c>
      <c r="I4409">
        <v>-188625608</v>
      </c>
      <c r="J4409">
        <v>-132211447</v>
      </c>
      <c r="K4409">
        <v>15547222</v>
      </c>
      <c r="L4409">
        <v>53799957</v>
      </c>
      <c r="M4409">
        <v>-68117172</v>
      </c>
      <c r="N4409">
        <v>-58506573</v>
      </c>
      <c r="O4409">
        <v>-18772437</v>
      </c>
      <c r="P4409">
        <v>300</v>
      </c>
      <c r="Q4409" t="s">
        <v>9167</v>
      </c>
    </row>
    <row r="4410" spans="1:17" x14ac:dyDescent="0.3">
      <c r="A4410" t="s">
        <v>17</v>
      </c>
      <c r="B4410" t="str">
        <f>"601258"</f>
        <v>601258</v>
      </c>
      <c r="C4410" t="s">
        <v>9168</v>
      </c>
      <c r="D4410" t="s">
        <v>2643</v>
      </c>
      <c r="E4410">
        <v>-553189323</v>
      </c>
      <c r="F4410">
        <v>-167002177</v>
      </c>
      <c r="G4410">
        <v>-275139908</v>
      </c>
      <c r="H4410">
        <v>-1441881249</v>
      </c>
      <c r="I4410">
        <v>-3251370047</v>
      </c>
      <c r="J4410">
        <v>-5129832036</v>
      </c>
      <c r="K4410">
        <v>-1293074903</v>
      </c>
      <c r="L4410">
        <v>-625308063</v>
      </c>
      <c r="M4410">
        <v>2490233832</v>
      </c>
      <c r="N4410">
        <v>6487624004</v>
      </c>
      <c r="O4410">
        <v>-521208157</v>
      </c>
      <c r="P4410">
        <v>133</v>
      </c>
      <c r="Q4410" t="s">
        <v>9169</v>
      </c>
    </row>
    <row r="4411" spans="1:17" x14ac:dyDescent="0.3">
      <c r="A4411" t="s">
        <v>33</v>
      </c>
      <c r="B4411" t="str">
        <f>"000519"</f>
        <v>000519</v>
      </c>
      <c r="C4411" t="s">
        <v>9170</v>
      </c>
      <c r="D4411" t="s">
        <v>967</v>
      </c>
      <c r="E4411">
        <v>-558198349</v>
      </c>
      <c r="F4411">
        <v>-143394191</v>
      </c>
      <c r="G4411">
        <v>-45735430</v>
      </c>
      <c r="H4411">
        <v>56303108</v>
      </c>
      <c r="I4411">
        <v>263277283</v>
      </c>
      <c r="J4411">
        <v>-34471731</v>
      </c>
      <c r="K4411">
        <v>-50882025</v>
      </c>
      <c r="L4411">
        <v>-92912279</v>
      </c>
      <c r="M4411">
        <v>-120988779</v>
      </c>
      <c r="N4411">
        <v>-8723177</v>
      </c>
      <c r="O4411">
        <v>-3452707</v>
      </c>
      <c r="P4411">
        <v>336</v>
      </c>
      <c r="Q4411" t="s">
        <v>9171</v>
      </c>
    </row>
    <row r="4412" spans="1:17" x14ac:dyDescent="0.3">
      <c r="A4412" t="s">
        <v>33</v>
      </c>
      <c r="B4412" t="str">
        <f>"000851"</f>
        <v>000851</v>
      </c>
      <c r="C4412" t="s">
        <v>9172</v>
      </c>
      <c r="D4412" t="s">
        <v>461</v>
      </c>
      <c r="E4412">
        <v>-561361883</v>
      </c>
      <c r="F4412">
        <v>-193604484</v>
      </c>
      <c r="G4412">
        <v>-304778066</v>
      </c>
      <c r="H4412">
        <v>-564490217</v>
      </c>
      <c r="I4412">
        <v>-1022637497</v>
      </c>
      <c r="J4412">
        <v>-693016119</v>
      </c>
      <c r="K4412">
        <v>-555947672</v>
      </c>
      <c r="L4412">
        <v>-52994695</v>
      </c>
      <c r="M4412">
        <v>-414095437</v>
      </c>
      <c r="N4412">
        <v>-253527835</v>
      </c>
      <c r="O4412">
        <v>-166137960</v>
      </c>
      <c r="P4412">
        <v>224</v>
      </c>
      <c r="Q4412" t="s">
        <v>9173</v>
      </c>
    </row>
    <row r="4413" spans="1:17" x14ac:dyDescent="0.3">
      <c r="A4413" t="s">
        <v>17</v>
      </c>
      <c r="B4413" t="str">
        <f>"603618"</f>
        <v>603618</v>
      </c>
      <c r="C4413" t="s">
        <v>9174</v>
      </c>
      <c r="D4413" t="s">
        <v>1282</v>
      </c>
      <c r="E4413">
        <v>-564219799</v>
      </c>
      <c r="F4413">
        <v>-100324325</v>
      </c>
      <c r="G4413">
        <v>-553399942</v>
      </c>
      <c r="H4413">
        <v>-174569570</v>
      </c>
      <c r="I4413">
        <v>-569364524</v>
      </c>
      <c r="J4413">
        <v>-228001579</v>
      </c>
      <c r="K4413">
        <v>-248156070</v>
      </c>
      <c r="L4413">
        <v>-455643939</v>
      </c>
      <c r="M4413">
        <v>-359682451</v>
      </c>
      <c r="P4413">
        <v>169</v>
      </c>
      <c r="Q4413" t="s">
        <v>9175</v>
      </c>
    </row>
    <row r="4414" spans="1:17" x14ac:dyDescent="0.3">
      <c r="A4414" t="s">
        <v>33</v>
      </c>
      <c r="B4414" t="str">
        <f>"200029"</f>
        <v>200029</v>
      </c>
      <c r="C4414" t="s">
        <v>9176</v>
      </c>
      <c r="E4414">
        <v>-568951145.97800004</v>
      </c>
      <c r="F4414">
        <v>359443859.42400002</v>
      </c>
      <c r="G4414">
        <v>-475694521.75559998</v>
      </c>
      <c r="H4414">
        <v>253878488.3655</v>
      </c>
      <c r="I4414">
        <v>256775839.26800001</v>
      </c>
      <c r="J4414">
        <v>-34162571.7918</v>
      </c>
      <c r="K4414">
        <v>153534592.3468</v>
      </c>
      <c r="L4414">
        <v>-26364723.75</v>
      </c>
      <c r="M4414">
        <v>184495845.15279999</v>
      </c>
      <c r="N4414">
        <v>338416159.74959999</v>
      </c>
      <c r="O4414">
        <v>-20033924.561999999</v>
      </c>
      <c r="P4414">
        <v>18</v>
      </c>
      <c r="Q4414" t="s">
        <v>9177</v>
      </c>
    </row>
    <row r="4415" spans="1:17" x14ac:dyDescent="0.3">
      <c r="A4415" t="s">
        <v>17</v>
      </c>
      <c r="B4415" t="str">
        <f>"600728"</f>
        <v>600728</v>
      </c>
      <c r="C4415" t="s">
        <v>9178</v>
      </c>
      <c r="D4415" t="s">
        <v>508</v>
      </c>
      <c r="E4415">
        <v>-575790222</v>
      </c>
      <c r="F4415">
        <v>-756280424</v>
      </c>
      <c r="G4415">
        <v>-411656522</v>
      </c>
      <c r="H4415">
        <v>-559421606</v>
      </c>
      <c r="I4415">
        <v>-260879422</v>
      </c>
      <c r="J4415">
        <v>-281010977</v>
      </c>
      <c r="K4415">
        <v>-325224699</v>
      </c>
      <c r="L4415">
        <v>-167315263</v>
      </c>
      <c r="M4415">
        <v>-141490712</v>
      </c>
      <c r="N4415">
        <v>-66300275</v>
      </c>
      <c r="O4415">
        <v>-34691398</v>
      </c>
      <c r="P4415">
        <v>345</v>
      </c>
      <c r="Q4415" t="s">
        <v>9179</v>
      </c>
    </row>
    <row r="4416" spans="1:17" x14ac:dyDescent="0.3">
      <c r="A4416" t="s">
        <v>17</v>
      </c>
      <c r="B4416" t="str">
        <f>"600120"</f>
        <v>600120</v>
      </c>
      <c r="C4416" t="s">
        <v>9180</v>
      </c>
      <c r="D4416" t="s">
        <v>114</v>
      </c>
      <c r="E4416">
        <v>-578787832</v>
      </c>
      <c r="F4416">
        <v>-47970257</v>
      </c>
      <c r="G4416">
        <v>303108939</v>
      </c>
      <c r="H4416">
        <v>-212437792</v>
      </c>
      <c r="I4416">
        <v>14780898</v>
      </c>
      <c r="J4416">
        <v>-493693</v>
      </c>
      <c r="K4416">
        <v>244078288</v>
      </c>
      <c r="L4416">
        <v>170807651</v>
      </c>
      <c r="M4416">
        <v>-821842409</v>
      </c>
      <c r="N4416">
        <v>-321673170</v>
      </c>
      <c r="O4416">
        <v>197075034</v>
      </c>
      <c r="P4416">
        <v>193</v>
      </c>
      <c r="Q4416" t="s">
        <v>9181</v>
      </c>
    </row>
    <row r="4417" spans="1:17" x14ac:dyDescent="0.3">
      <c r="A4417" t="s">
        <v>33</v>
      </c>
      <c r="B4417" t="str">
        <f>"000421"</f>
        <v>000421</v>
      </c>
      <c r="C4417" t="s">
        <v>9182</v>
      </c>
      <c r="D4417" t="s">
        <v>649</v>
      </c>
      <c r="E4417">
        <v>-583676666</v>
      </c>
      <c r="F4417">
        <v>120858955</v>
      </c>
      <c r="G4417">
        <v>-84492788</v>
      </c>
      <c r="H4417">
        <v>-20907063</v>
      </c>
      <c r="I4417">
        <v>187649985</v>
      </c>
      <c r="J4417">
        <v>-470001930</v>
      </c>
      <c r="K4417">
        <v>151846650</v>
      </c>
      <c r="L4417">
        <v>225442262</v>
      </c>
      <c r="M4417">
        <v>-89127006</v>
      </c>
      <c r="N4417">
        <v>152101578</v>
      </c>
      <c r="O4417">
        <v>-44545872</v>
      </c>
      <c r="P4417">
        <v>159</v>
      </c>
      <c r="Q4417" t="s">
        <v>9183</v>
      </c>
    </row>
    <row r="4418" spans="1:17" x14ac:dyDescent="0.3">
      <c r="A4418" t="s">
        <v>33</v>
      </c>
      <c r="B4418" t="str">
        <f>"002268"</f>
        <v>002268</v>
      </c>
      <c r="C4418" t="s">
        <v>9184</v>
      </c>
      <c r="D4418" t="s">
        <v>1571</v>
      </c>
      <c r="E4418">
        <v>-587654177</v>
      </c>
      <c r="F4418">
        <v>-786030148</v>
      </c>
      <c r="G4418">
        <v>-424884301</v>
      </c>
      <c r="H4418">
        <v>-460954041</v>
      </c>
      <c r="I4418">
        <v>-371235978</v>
      </c>
      <c r="J4418">
        <v>-254704886</v>
      </c>
      <c r="K4418">
        <v>-357260507</v>
      </c>
      <c r="L4418">
        <v>-164322007</v>
      </c>
      <c r="M4418">
        <v>-58012765</v>
      </c>
      <c r="N4418">
        <v>-78443655</v>
      </c>
      <c r="O4418">
        <v>-57824870</v>
      </c>
      <c r="P4418">
        <v>525</v>
      </c>
      <c r="Q4418" t="s">
        <v>9185</v>
      </c>
    </row>
    <row r="4419" spans="1:17" x14ac:dyDescent="0.3">
      <c r="A4419" t="s">
        <v>33</v>
      </c>
      <c r="B4419" t="str">
        <f>"000528"</f>
        <v>000528</v>
      </c>
      <c r="C4419" t="s">
        <v>9186</v>
      </c>
      <c r="D4419" t="s">
        <v>320</v>
      </c>
      <c r="E4419">
        <v>-587751346</v>
      </c>
      <c r="F4419">
        <v>347373120</v>
      </c>
      <c r="G4419">
        <v>-836608654</v>
      </c>
      <c r="H4419">
        <v>500634102</v>
      </c>
      <c r="I4419">
        <v>78932068</v>
      </c>
      <c r="J4419">
        <v>448560923</v>
      </c>
      <c r="K4419">
        <v>289472304</v>
      </c>
      <c r="L4419">
        <v>-423886102</v>
      </c>
      <c r="M4419">
        <v>-67254297</v>
      </c>
      <c r="N4419">
        <v>-50447138</v>
      </c>
      <c r="O4419">
        <v>322217030</v>
      </c>
      <c r="P4419">
        <v>481</v>
      </c>
      <c r="Q4419" t="s">
        <v>9187</v>
      </c>
    </row>
    <row r="4420" spans="1:17" x14ac:dyDescent="0.3">
      <c r="A4420" t="s">
        <v>33</v>
      </c>
      <c r="B4420" t="str">
        <f>"002215"</f>
        <v>002215</v>
      </c>
      <c r="C4420" t="s">
        <v>9188</v>
      </c>
      <c r="D4420" t="s">
        <v>636</v>
      </c>
      <c r="E4420">
        <v>-591208096</v>
      </c>
      <c r="F4420">
        <v>-223886822</v>
      </c>
      <c r="G4420">
        <v>-160387981</v>
      </c>
      <c r="H4420">
        <v>-104838490</v>
      </c>
      <c r="I4420">
        <v>-326313928</v>
      </c>
      <c r="J4420">
        <v>-120623199</v>
      </c>
      <c r="K4420">
        <v>-157585748</v>
      </c>
      <c r="L4420">
        <v>-59543962</v>
      </c>
      <c r="M4420">
        <v>-131493958</v>
      </c>
      <c r="N4420">
        <v>-87077523</v>
      </c>
      <c r="O4420">
        <v>-100707373</v>
      </c>
      <c r="P4420">
        <v>175</v>
      </c>
      <c r="Q4420" t="s">
        <v>9189</v>
      </c>
    </row>
    <row r="4421" spans="1:17" x14ac:dyDescent="0.3">
      <c r="A4421" t="s">
        <v>33</v>
      </c>
      <c r="B4421" t="str">
        <f>"002266"</f>
        <v>002266</v>
      </c>
      <c r="C4421" t="s">
        <v>9190</v>
      </c>
      <c r="D4421" t="s">
        <v>897</v>
      </c>
      <c r="E4421">
        <v>-592523161</v>
      </c>
      <c r="F4421">
        <v>236165528</v>
      </c>
      <c r="G4421">
        <v>-95249451</v>
      </c>
      <c r="H4421">
        <v>-52780719</v>
      </c>
      <c r="I4421">
        <v>-118499264</v>
      </c>
      <c r="J4421">
        <v>155559691</v>
      </c>
      <c r="K4421">
        <v>-25310258</v>
      </c>
      <c r="L4421">
        <v>95850875</v>
      </c>
      <c r="M4421">
        <v>-126885340</v>
      </c>
      <c r="N4421">
        <v>-83389831</v>
      </c>
      <c r="O4421">
        <v>43462799</v>
      </c>
      <c r="P4421">
        <v>297</v>
      </c>
      <c r="Q4421" t="s">
        <v>9191</v>
      </c>
    </row>
    <row r="4422" spans="1:17" x14ac:dyDescent="0.3">
      <c r="A4422" t="s">
        <v>17</v>
      </c>
      <c r="B4422" t="str">
        <f>"688185"</f>
        <v>688185</v>
      </c>
      <c r="C4422" t="s">
        <v>9192</v>
      </c>
      <c r="D4422" t="s">
        <v>1321</v>
      </c>
      <c r="E4422">
        <v>-598148000</v>
      </c>
      <c r="F4422">
        <v>-12415331</v>
      </c>
      <c r="G4422">
        <v>-45362105</v>
      </c>
      <c r="H4422">
        <v>-35316954</v>
      </c>
      <c r="P4422">
        <v>266</v>
      </c>
      <c r="Q4422" t="s">
        <v>9193</v>
      </c>
    </row>
    <row r="4423" spans="1:17" x14ac:dyDescent="0.3">
      <c r="A4423" t="s">
        <v>17</v>
      </c>
      <c r="B4423" t="str">
        <f>"600006"</f>
        <v>600006</v>
      </c>
      <c r="C4423" t="s">
        <v>9194</v>
      </c>
      <c r="D4423" t="s">
        <v>330</v>
      </c>
      <c r="E4423">
        <v>-603250027</v>
      </c>
      <c r="F4423">
        <v>-2038916637</v>
      </c>
      <c r="G4423">
        <v>-994032352</v>
      </c>
      <c r="H4423">
        <v>-337515820</v>
      </c>
      <c r="I4423">
        <v>-333114476</v>
      </c>
      <c r="J4423">
        <v>-478722645</v>
      </c>
      <c r="K4423">
        <v>-859926789</v>
      </c>
      <c r="L4423">
        <v>-48745207</v>
      </c>
      <c r="M4423">
        <v>-830698900</v>
      </c>
      <c r="N4423">
        <v>-992675605</v>
      </c>
      <c r="O4423">
        <v>-808248345</v>
      </c>
      <c r="P4423">
        <v>469</v>
      </c>
      <c r="Q4423" t="s">
        <v>9195</v>
      </c>
    </row>
    <row r="4424" spans="1:17" x14ac:dyDescent="0.3">
      <c r="A4424" t="s">
        <v>17</v>
      </c>
      <c r="B4424" t="str">
        <f>"600008"</f>
        <v>600008</v>
      </c>
      <c r="C4424" t="s">
        <v>9196</v>
      </c>
      <c r="D4424" t="s">
        <v>932</v>
      </c>
      <c r="E4424">
        <v>-606467844</v>
      </c>
      <c r="F4424">
        <v>189696878</v>
      </c>
      <c r="G4424">
        <v>592814970</v>
      </c>
      <c r="H4424">
        <v>76373602</v>
      </c>
      <c r="I4424">
        <v>20198407</v>
      </c>
      <c r="J4424">
        <v>13303045</v>
      </c>
      <c r="K4424">
        <v>22497751</v>
      </c>
      <c r="L4424">
        <v>-279399156</v>
      </c>
      <c r="M4424">
        <v>-531066389</v>
      </c>
      <c r="N4424">
        <v>-104377235</v>
      </c>
      <c r="O4424">
        <v>-139020075</v>
      </c>
      <c r="P4424">
        <v>445</v>
      </c>
      <c r="Q4424" t="s">
        <v>9197</v>
      </c>
    </row>
    <row r="4425" spans="1:17" x14ac:dyDescent="0.3">
      <c r="A4425" t="s">
        <v>17</v>
      </c>
      <c r="B4425" t="str">
        <f>"688425"</f>
        <v>688425</v>
      </c>
      <c r="C4425" t="s">
        <v>9198</v>
      </c>
      <c r="D4425" t="s">
        <v>320</v>
      </c>
      <c r="E4425">
        <v>-613537127</v>
      </c>
      <c r="F4425">
        <v>-275911124</v>
      </c>
      <c r="G4425">
        <v>-347492165</v>
      </c>
      <c r="P4425">
        <v>40</v>
      </c>
      <c r="Q4425" t="s">
        <v>9199</v>
      </c>
    </row>
    <row r="4426" spans="1:17" x14ac:dyDescent="0.3">
      <c r="A4426" t="s">
        <v>33</v>
      </c>
      <c r="B4426" t="str">
        <f>"002988"</f>
        <v>002988</v>
      </c>
      <c r="C4426" t="s">
        <v>9200</v>
      </c>
      <c r="D4426" t="s">
        <v>140</v>
      </c>
      <c r="E4426">
        <v>-615560460</v>
      </c>
      <c r="F4426">
        <v>-425716118</v>
      </c>
      <c r="G4426">
        <v>-140617207</v>
      </c>
      <c r="H4426">
        <v>-54723875</v>
      </c>
      <c r="P4426">
        <v>61</v>
      </c>
      <c r="Q4426" t="s">
        <v>9201</v>
      </c>
    </row>
    <row r="4427" spans="1:17" x14ac:dyDescent="0.3">
      <c r="A4427" t="s">
        <v>33</v>
      </c>
      <c r="B4427" t="str">
        <f>"000539"</f>
        <v>000539</v>
      </c>
      <c r="C4427" t="s">
        <v>9202</v>
      </c>
      <c r="D4427" t="s">
        <v>145</v>
      </c>
      <c r="E4427">
        <v>-620286887</v>
      </c>
      <c r="F4427">
        <v>700758687</v>
      </c>
      <c r="G4427">
        <v>1170574344</v>
      </c>
      <c r="H4427">
        <v>1805095658</v>
      </c>
      <c r="I4427">
        <v>1540043756</v>
      </c>
      <c r="J4427">
        <v>475755783</v>
      </c>
      <c r="K4427">
        <v>2036376774</v>
      </c>
      <c r="L4427">
        <v>2652328931</v>
      </c>
      <c r="M4427">
        <v>2469169296</v>
      </c>
      <c r="N4427">
        <v>2155357143</v>
      </c>
      <c r="O4427">
        <v>772285337</v>
      </c>
      <c r="P4427">
        <v>203</v>
      </c>
      <c r="Q4427" t="s">
        <v>9203</v>
      </c>
    </row>
    <row r="4428" spans="1:17" x14ac:dyDescent="0.3">
      <c r="A4428" t="s">
        <v>33</v>
      </c>
      <c r="B4428" t="str">
        <f>"002300"</f>
        <v>002300</v>
      </c>
      <c r="C4428" t="s">
        <v>9204</v>
      </c>
      <c r="D4428" t="s">
        <v>1282</v>
      </c>
      <c r="E4428">
        <v>-620496919</v>
      </c>
      <c r="F4428">
        <v>-347907855</v>
      </c>
      <c r="G4428">
        <v>-258536332</v>
      </c>
      <c r="H4428">
        <v>-225072252</v>
      </c>
      <c r="I4428">
        <v>-256661197</v>
      </c>
      <c r="J4428">
        <v>-163956252</v>
      </c>
      <c r="K4428">
        <v>-79917568</v>
      </c>
      <c r="L4428">
        <v>27485710</v>
      </c>
      <c r="M4428">
        <v>64269163</v>
      </c>
      <c r="N4428">
        <v>-96715157</v>
      </c>
      <c r="O4428">
        <v>-104833840</v>
      </c>
      <c r="P4428">
        <v>125</v>
      </c>
      <c r="Q4428" t="s">
        <v>9205</v>
      </c>
    </row>
    <row r="4429" spans="1:17" x14ac:dyDescent="0.3">
      <c r="A4429" t="s">
        <v>17</v>
      </c>
      <c r="B4429" t="str">
        <f>"600131"</f>
        <v>600131</v>
      </c>
      <c r="C4429" t="s">
        <v>9206</v>
      </c>
      <c r="D4429" t="s">
        <v>508</v>
      </c>
      <c r="E4429">
        <v>-629430939</v>
      </c>
      <c r="F4429">
        <v>-876502402</v>
      </c>
      <c r="G4429">
        <v>-418873772</v>
      </c>
      <c r="H4429">
        <v>2496264</v>
      </c>
      <c r="I4429">
        <v>36183413</v>
      </c>
      <c r="J4429">
        <v>-3943467</v>
      </c>
      <c r="K4429">
        <v>26268327</v>
      </c>
      <c r="L4429">
        <v>19830330</v>
      </c>
      <c r="M4429">
        <v>12177623</v>
      </c>
      <c r="N4429">
        <v>19578578</v>
      </c>
      <c r="O4429">
        <v>13677392</v>
      </c>
      <c r="P4429">
        <v>209</v>
      </c>
      <c r="Q4429" t="s">
        <v>9207</v>
      </c>
    </row>
    <row r="4430" spans="1:17" x14ac:dyDescent="0.3">
      <c r="A4430" t="s">
        <v>33</v>
      </c>
      <c r="B4430" t="str">
        <f>"000016"</f>
        <v>000016</v>
      </c>
      <c r="C4430" t="s">
        <v>9208</v>
      </c>
      <c r="D4430" t="s">
        <v>451</v>
      </c>
      <c r="E4430">
        <v>-630928799</v>
      </c>
      <c r="F4430">
        <v>-529240794</v>
      </c>
      <c r="G4430">
        <v>-1031223469</v>
      </c>
      <c r="H4430">
        <v>-540740145</v>
      </c>
      <c r="I4430">
        <v>-1019365517</v>
      </c>
      <c r="J4430">
        <v>-1629437073</v>
      </c>
      <c r="K4430">
        <v>295245742</v>
      </c>
      <c r="L4430">
        <v>277361649</v>
      </c>
      <c r="M4430">
        <v>935058192</v>
      </c>
      <c r="N4430">
        <v>457336812</v>
      </c>
      <c r="O4430">
        <v>457733200</v>
      </c>
      <c r="P4430">
        <v>266</v>
      </c>
      <c r="Q4430" t="s">
        <v>9209</v>
      </c>
    </row>
    <row r="4431" spans="1:17" x14ac:dyDescent="0.3">
      <c r="A4431" t="s">
        <v>17</v>
      </c>
      <c r="B4431" t="str">
        <f>"603995"</f>
        <v>603995</v>
      </c>
      <c r="C4431" t="s">
        <v>9210</v>
      </c>
      <c r="D4431" t="s">
        <v>253</v>
      </c>
      <c r="E4431">
        <v>-633607764</v>
      </c>
      <c r="F4431">
        <v>-124681973</v>
      </c>
      <c r="G4431">
        <v>-81300543</v>
      </c>
      <c r="H4431">
        <v>44369164</v>
      </c>
      <c r="P4431">
        <v>128</v>
      </c>
      <c r="Q4431" t="s">
        <v>9211</v>
      </c>
    </row>
    <row r="4432" spans="1:17" x14ac:dyDescent="0.3">
      <c r="A4432" t="s">
        <v>17</v>
      </c>
      <c r="B4432" t="str">
        <f>"601789"</f>
        <v>601789</v>
      </c>
      <c r="C4432" t="s">
        <v>9212</v>
      </c>
      <c r="D4432" t="s">
        <v>827</v>
      </c>
      <c r="E4432">
        <v>-633777641</v>
      </c>
      <c r="F4432">
        <v>-862718470</v>
      </c>
      <c r="G4432">
        <v>-491767362</v>
      </c>
      <c r="H4432">
        <v>-150413985</v>
      </c>
      <c r="I4432">
        <v>-436132040</v>
      </c>
      <c r="J4432">
        <v>-676726839</v>
      </c>
      <c r="K4432">
        <v>-76270949</v>
      </c>
      <c r="L4432">
        <v>-411858096</v>
      </c>
      <c r="M4432">
        <v>-308079835</v>
      </c>
      <c r="N4432">
        <v>16320233</v>
      </c>
      <c r="O4432">
        <v>-58966241</v>
      </c>
      <c r="P4432">
        <v>147</v>
      </c>
      <c r="Q4432" t="s">
        <v>9213</v>
      </c>
    </row>
    <row r="4433" spans="1:17" x14ac:dyDescent="0.3">
      <c r="A4433" t="s">
        <v>33</v>
      </c>
      <c r="B4433" t="str">
        <f>"300358"</f>
        <v>300358</v>
      </c>
      <c r="C4433" t="s">
        <v>9214</v>
      </c>
      <c r="D4433" t="s">
        <v>111</v>
      </c>
      <c r="E4433">
        <v>-634793368</v>
      </c>
      <c r="F4433">
        <v>229892111</v>
      </c>
      <c r="G4433">
        <v>-74485082</v>
      </c>
      <c r="H4433">
        <v>-28208716</v>
      </c>
      <c r="I4433">
        <v>-17615091</v>
      </c>
      <c r="J4433">
        <v>-53600864</v>
      </c>
      <c r="K4433">
        <v>-54643345</v>
      </c>
      <c r="L4433">
        <v>-34996494</v>
      </c>
      <c r="M4433">
        <v>-9380654</v>
      </c>
      <c r="N4433">
        <v>5045627</v>
      </c>
      <c r="P4433">
        <v>185</v>
      </c>
      <c r="Q4433" t="s">
        <v>9215</v>
      </c>
    </row>
    <row r="4434" spans="1:17" x14ac:dyDescent="0.3">
      <c r="A4434" t="s">
        <v>33</v>
      </c>
      <c r="B4434" t="str">
        <f>"002533"</f>
        <v>002533</v>
      </c>
      <c r="C4434" t="s">
        <v>9216</v>
      </c>
      <c r="D4434" t="s">
        <v>1282</v>
      </c>
      <c r="E4434">
        <v>-647873598</v>
      </c>
      <c r="F4434">
        <v>-666503737</v>
      </c>
      <c r="G4434">
        <v>-175958912</v>
      </c>
      <c r="H4434">
        <v>-337321545</v>
      </c>
      <c r="I4434">
        <v>-258286025</v>
      </c>
      <c r="J4434">
        <v>-173935490</v>
      </c>
      <c r="K4434">
        <v>34855678</v>
      </c>
      <c r="L4434">
        <v>-216804431</v>
      </c>
      <c r="M4434">
        <v>-161940162</v>
      </c>
      <c r="N4434">
        <v>-95345523</v>
      </c>
      <c r="O4434">
        <v>1975118</v>
      </c>
      <c r="P4434">
        <v>192</v>
      </c>
      <c r="Q4434" t="s">
        <v>9217</v>
      </c>
    </row>
    <row r="4435" spans="1:17" x14ac:dyDescent="0.3">
      <c r="A4435" t="s">
        <v>17</v>
      </c>
      <c r="B4435" t="str">
        <f>"601098"</f>
        <v>601098</v>
      </c>
      <c r="C4435" t="s">
        <v>9218</v>
      </c>
      <c r="D4435" t="s">
        <v>1054</v>
      </c>
      <c r="E4435">
        <v>-648986728</v>
      </c>
      <c r="F4435">
        <v>-1968437995</v>
      </c>
      <c r="G4435">
        <v>-1255170219</v>
      </c>
      <c r="H4435">
        <v>-1405266639</v>
      </c>
      <c r="I4435">
        <v>-969862643</v>
      </c>
      <c r="J4435">
        <v>-47133205</v>
      </c>
      <c r="K4435">
        <v>-514158018</v>
      </c>
      <c r="L4435">
        <v>-693286198</v>
      </c>
      <c r="M4435">
        <v>-113542395</v>
      </c>
      <c r="N4435">
        <v>-113471547</v>
      </c>
      <c r="O4435">
        <v>-169668298</v>
      </c>
      <c r="P4435">
        <v>882</v>
      </c>
      <c r="Q4435" t="s">
        <v>9219</v>
      </c>
    </row>
    <row r="4436" spans="1:17" x14ac:dyDescent="0.3">
      <c r="A4436" t="s">
        <v>17</v>
      </c>
      <c r="B4436" t="str">
        <f>"600375"</f>
        <v>600375</v>
      </c>
      <c r="C4436" t="s">
        <v>9220</v>
      </c>
      <c r="D4436" t="s">
        <v>320</v>
      </c>
      <c r="E4436">
        <v>-652360334</v>
      </c>
      <c r="F4436">
        <v>-663550949</v>
      </c>
      <c r="G4436">
        <v>12406692</v>
      </c>
      <c r="H4436">
        <v>-91374057</v>
      </c>
      <c r="I4436">
        <v>79797356</v>
      </c>
      <c r="J4436">
        <v>-69552449</v>
      </c>
      <c r="K4436">
        <v>234053014</v>
      </c>
      <c r="L4436">
        <v>-521444276</v>
      </c>
      <c r="M4436">
        <v>27176877</v>
      </c>
      <c r="N4436">
        <v>-119493429</v>
      </c>
      <c r="O4436">
        <v>-123891516</v>
      </c>
      <c r="P4436">
        <v>87</v>
      </c>
      <c r="Q4436" t="s">
        <v>9221</v>
      </c>
    </row>
    <row r="4437" spans="1:17" x14ac:dyDescent="0.3">
      <c r="A4437" t="s">
        <v>17</v>
      </c>
      <c r="B4437" t="str">
        <f>"601718"</f>
        <v>601718</v>
      </c>
      <c r="C4437" t="s">
        <v>9222</v>
      </c>
      <c r="D4437" t="s">
        <v>581</v>
      </c>
      <c r="E4437">
        <v>-658127597</v>
      </c>
      <c r="F4437">
        <v>318188381</v>
      </c>
      <c r="G4437">
        <v>-331191846</v>
      </c>
      <c r="H4437">
        <v>-484025853</v>
      </c>
      <c r="I4437">
        <v>-269821176</v>
      </c>
      <c r="J4437">
        <v>-1002866429</v>
      </c>
      <c r="K4437">
        <v>-1031060312</v>
      </c>
      <c r="L4437">
        <v>76870924</v>
      </c>
      <c r="M4437">
        <v>-264702108</v>
      </c>
      <c r="N4437">
        <v>-279179497</v>
      </c>
      <c r="O4437">
        <v>359850748</v>
      </c>
      <c r="P4437">
        <v>180</v>
      </c>
      <c r="Q4437" t="s">
        <v>9223</v>
      </c>
    </row>
    <row r="4438" spans="1:17" x14ac:dyDescent="0.3">
      <c r="A4438" t="s">
        <v>17</v>
      </c>
      <c r="B4438" t="str">
        <f>"600415"</f>
        <v>600415</v>
      </c>
      <c r="C4438" t="s">
        <v>9224</v>
      </c>
      <c r="D4438" t="s">
        <v>394</v>
      </c>
      <c r="E4438">
        <v>-658351560</v>
      </c>
      <c r="F4438">
        <v>-267130288</v>
      </c>
      <c r="G4438">
        <v>-589922272</v>
      </c>
      <c r="H4438">
        <v>-2213458942</v>
      </c>
      <c r="I4438">
        <v>-661760874</v>
      </c>
      <c r="J4438">
        <v>-843061447</v>
      </c>
      <c r="K4438">
        <v>-246422036</v>
      </c>
      <c r="L4438">
        <v>-498439521</v>
      </c>
      <c r="M4438">
        <v>-547917834</v>
      </c>
      <c r="N4438">
        <v>-1204672176</v>
      </c>
      <c r="O4438">
        <v>-303372548</v>
      </c>
      <c r="P4438">
        <v>327</v>
      </c>
      <c r="Q4438" t="s">
        <v>9225</v>
      </c>
    </row>
    <row r="4439" spans="1:17" x14ac:dyDescent="0.3">
      <c r="A4439" t="s">
        <v>33</v>
      </c>
      <c r="B4439" t="str">
        <f>"300070"</f>
        <v>300070</v>
      </c>
      <c r="C4439" t="s">
        <v>9226</v>
      </c>
      <c r="D4439" t="s">
        <v>932</v>
      </c>
      <c r="E4439">
        <v>-658554805</v>
      </c>
      <c r="F4439">
        <v>-1160868506</v>
      </c>
      <c r="G4439">
        <v>-486061038</v>
      </c>
      <c r="H4439">
        <v>-854410185</v>
      </c>
      <c r="I4439">
        <v>-1636702937</v>
      </c>
      <c r="J4439">
        <v>-1711564055</v>
      </c>
      <c r="K4439">
        <v>-665532332</v>
      </c>
      <c r="L4439">
        <v>-453328652</v>
      </c>
      <c r="M4439">
        <v>-288458085</v>
      </c>
      <c r="N4439">
        <v>-156906109</v>
      </c>
      <c r="O4439">
        <v>-179497585</v>
      </c>
      <c r="P4439">
        <v>1163</v>
      </c>
      <c r="Q4439" t="s">
        <v>9227</v>
      </c>
    </row>
    <row r="4440" spans="1:17" x14ac:dyDescent="0.3">
      <c r="A4440" t="s">
        <v>17</v>
      </c>
      <c r="B4440" t="str">
        <f>"600981"</f>
        <v>600981</v>
      </c>
      <c r="C4440" t="s">
        <v>9228</v>
      </c>
      <c r="D4440" t="s">
        <v>1592</v>
      </c>
      <c r="E4440">
        <v>-665162917</v>
      </c>
      <c r="F4440">
        <v>-85612364</v>
      </c>
      <c r="G4440">
        <v>-311496078</v>
      </c>
      <c r="H4440">
        <v>-464641098</v>
      </c>
      <c r="I4440">
        <v>-207228406</v>
      </c>
      <c r="J4440">
        <v>-48197922</v>
      </c>
      <c r="K4440">
        <v>-52564241</v>
      </c>
      <c r="L4440">
        <v>177028721</v>
      </c>
      <c r="M4440">
        <v>-193748649</v>
      </c>
      <c r="N4440">
        <v>12705826</v>
      </c>
      <c r="O4440">
        <v>-200849449</v>
      </c>
      <c r="P4440">
        <v>99</v>
      </c>
      <c r="Q4440" t="s">
        <v>9229</v>
      </c>
    </row>
    <row r="4441" spans="1:17" x14ac:dyDescent="0.3">
      <c r="A4441" t="s">
        <v>33</v>
      </c>
      <c r="B4441" t="str">
        <f>"002353"</f>
        <v>002353</v>
      </c>
      <c r="C4441" t="s">
        <v>9230</v>
      </c>
      <c r="D4441" t="s">
        <v>1132</v>
      </c>
      <c r="E4441">
        <v>-670657657</v>
      </c>
      <c r="F4441">
        <v>-395171936</v>
      </c>
      <c r="G4441">
        <v>-619463875</v>
      </c>
      <c r="H4441">
        <v>-511876521</v>
      </c>
      <c r="I4441">
        <v>79276093</v>
      </c>
      <c r="J4441">
        <v>-1326253</v>
      </c>
      <c r="K4441">
        <v>8481194</v>
      </c>
      <c r="L4441">
        <v>-187184172</v>
      </c>
      <c r="M4441">
        <v>-5249492</v>
      </c>
      <c r="N4441">
        <v>-222021670</v>
      </c>
      <c r="O4441">
        <v>-113654692</v>
      </c>
      <c r="P4441">
        <v>861</v>
      </c>
      <c r="Q4441" t="s">
        <v>9231</v>
      </c>
    </row>
    <row r="4442" spans="1:17" x14ac:dyDescent="0.3">
      <c r="A4442" t="s">
        <v>33</v>
      </c>
      <c r="B4442" t="str">
        <f>"000750"</f>
        <v>000750</v>
      </c>
      <c r="C4442" t="s">
        <v>9232</v>
      </c>
      <c r="D4442" t="s">
        <v>52</v>
      </c>
      <c r="E4442">
        <v>-671678460</v>
      </c>
      <c r="F4442">
        <v>-16238282714</v>
      </c>
      <c r="G4442">
        <v>-8942774388</v>
      </c>
      <c r="H4442">
        <v>5041450686</v>
      </c>
      <c r="I4442">
        <v>1472832959</v>
      </c>
      <c r="J4442">
        <v>90220611</v>
      </c>
      <c r="K4442">
        <v>-884192598</v>
      </c>
      <c r="L4442">
        <v>1797360904</v>
      </c>
      <c r="M4442">
        <v>895526572</v>
      </c>
      <c r="N4442">
        <v>-154826190</v>
      </c>
      <c r="O4442">
        <v>792913157</v>
      </c>
      <c r="P4442">
        <v>1038</v>
      </c>
      <c r="Q4442" t="s">
        <v>9233</v>
      </c>
    </row>
    <row r="4443" spans="1:17" x14ac:dyDescent="0.3">
      <c r="A4443" t="s">
        <v>33</v>
      </c>
      <c r="B4443" t="str">
        <f>"300676"</f>
        <v>300676</v>
      </c>
      <c r="C4443" t="s">
        <v>9234</v>
      </c>
      <c r="D4443" t="s">
        <v>221</v>
      </c>
      <c r="E4443">
        <v>-674271200</v>
      </c>
      <c r="F4443">
        <v>132257507</v>
      </c>
      <c r="G4443">
        <v>189472708</v>
      </c>
      <c r="H4443">
        <v>-297799437</v>
      </c>
      <c r="I4443">
        <v>-152611892</v>
      </c>
      <c r="J4443">
        <v>-59389555</v>
      </c>
      <c r="K4443">
        <v>328726</v>
      </c>
      <c r="P4443">
        <v>1481</v>
      </c>
      <c r="Q4443" t="s">
        <v>9235</v>
      </c>
    </row>
    <row r="4444" spans="1:17" x14ac:dyDescent="0.3">
      <c r="A4444" t="s">
        <v>17</v>
      </c>
      <c r="B4444" t="str">
        <f>"603612"</f>
        <v>603612</v>
      </c>
      <c r="C4444" t="s">
        <v>9236</v>
      </c>
      <c r="D4444" t="s">
        <v>790</v>
      </c>
      <c r="E4444">
        <v>-678109297</v>
      </c>
      <c r="F4444">
        <v>-544626771</v>
      </c>
      <c r="G4444">
        <v>191143905</v>
      </c>
      <c r="H4444">
        <v>-148795006</v>
      </c>
      <c r="I4444">
        <v>47364486</v>
      </c>
      <c r="J4444">
        <v>112490468</v>
      </c>
      <c r="P4444">
        <v>162</v>
      </c>
      <c r="Q4444" t="s">
        <v>9237</v>
      </c>
    </row>
    <row r="4445" spans="1:17" x14ac:dyDescent="0.3">
      <c r="A4445" t="s">
        <v>17</v>
      </c>
      <c r="B4445" t="str">
        <f>"600619"</f>
        <v>600619</v>
      </c>
      <c r="C4445" t="s">
        <v>9238</v>
      </c>
      <c r="D4445" t="s">
        <v>1869</v>
      </c>
      <c r="E4445">
        <v>-680998832</v>
      </c>
      <c r="F4445">
        <v>-729834560</v>
      </c>
      <c r="G4445">
        <v>-878199369</v>
      </c>
      <c r="H4445">
        <v>-473195292</v>
      </c>
      <c r="I4445">
        <v>-494690872</v>
      </c>
      <c r="J4445">
        <v>-588972885</v>
      </c>
      <c r="K4445">
        <v>-83559853</v>
      </c>
      <c r="L4445">
        <v>37710882</v>
      </c>
      <c r="M4445">
        <v>-253456360</v>
      </c>
      <c r="N4445">
        <v>-322482995</v>
      </c>
      <c r="O4445">
        <v>117103795</v>
      </c>
      <c r="P4445">
        <v>121</v>
      </c>
      <c r="Q4445" t="s">
        <v>9239</v>
      </c>
    </row>
    <row r="4446" spans="1:17" x14ac:dyDescent="0.3">
      <c r="A4446" t="s">
        <v>33</v>
      </c>
      <c r="B4446" t="str">
        <f>"002462"</f>
        <v>002462</v>
      </c>
      <c r="C4446" t="s">
        <v>9240</v>
      </c>
      <c r="D4446" t="s">
        <v>415</v>
      </c>
      <c r="E4446">
        <v>-681528107</v>
      </c>
      <c r="F4446">
        <v>215705560</v>
      </c>
      <c r="G4446">
        <v>-199951828</v>
      </c>
      <c r="H4446">
        <v>-50182482</v>
      </c>
      <c r="I4446">
        <v>-534629182</v>
      </c>
      <c r="J4446">
        <v>-203917521</v>
      </c>
      <c r="K4446">
        <v>-284775663</v>
      </c>
      <c r="L4446">
        <v>43615541</v>
      </c>
      <c r="M4446">
        <v>-47596021</v>
      </c>
      <c r="N4446">
        <v>-6956771</v>
      </c>
      <c r="O4446">
        <v>-40998747</v>
      </c>
      <c r="P4446">
        <v>258</v>
      </c>
      <c r="Q4446" t="s">
        <v>9241</v>
      </c>
    </row>
    <row r="4447" spans="1:17" x14ac:dyDescent="0.3">
      <c r="A4447" t="s">
        <v>17</v>
      </c>
      <c r="B4447" t="str">
        <f>"600582"</f>
        <v>600582</v>
      </c>
      <c r="C4447" t="s">
        <v>9242</v>
      </c>
      <c r="D4447" t="s">
        <v>1132</v>
      </c>
      <c r="E4447">
        <v>-682345293</v>
      </c>
      <c r="F4447">
        <v>-503024057</v>
      </c>
      <c r="G4447">
        <v>-170568408</v>
      </c>
      <c r="H4447">
        <v>-392376775</v>
      </c>
      <c r="I4447">
        <v>-700165530</v>
      </c>
      <c r="J4447">
        <v>-270215245</v>
      </c>
      <c r="K4447">
        <v>-593868975</v>
      </c>
      <c r="L4447">
        <v>-261308878</v>
      </c>
      <c r="M4447">
        <v>-275342718</v>
      </c>
      <c r="N4447">
        <v>-650397350</v>
      </c>
      <c r="O4447">
        <v>-477595368</v>
      </c>
      <c r="P4447">
        <v>396</v>
      </c>
      <c r="Q4447" t="s">
        <v>9243</v>
      </c>
    </row>
    <row r="4448" spans="1:17" x14ac:dyDescent="0.3">
      <c r="A4448" t="s">
        <v>17</v>
      </c>
      <c r="B4448" t="str">
        <f>"600533"</f>
        <v>600533</v>
      </c>
      <c r="C4448" t="s">
        <v>9244</v>
      </c>
      <c r="D4448" t="s">
        <v>167</v>
      </c>
      <c r="E4448">
        <v>-682380748</v>
      </c>
      <c r="F4448">
        <v>1054287786</v>
      </c>
      <c r="G4448">
        <v>-233111307</v>
      </c>
      <c r="H4448">
        <v>249564556</v>
      </c>
      <c r="I4448">
        <v>-442165473</v>
      </c>
      <c r="J4448">
        <v>-162110983</v>
      </c>
      <c r="K4448">
        <v>-120942887</v>
      </c>
      <c r="L4448">
        <v>-403336760</v>
      </c>
      <c r="M4448">
        <v>-351604468</v>
      </c>
      <c r="N4448">
        <v>-474035467</v>
      </c>
      <c r="O4448">
        <v>-695797704</v>
      </c>
      <c r="P4448">
        <v>199</v>
      </c>
      <c r="Q4448" t="s">
        <v>9245</v>
      </c>
    </row>
    <row r="4449" spans="1:17" x14ac:dyDescent="0.3">
      <c r="A4449" t="s">
        <v>33</v>
      </c>
      <c r="B4449" t="str">
        <f>"002008"</f>
        <v>002008</v>
      </c>
      <c r="C4449" t="s">
        <v>9246</v>
      </c>
      <c r="D4449" t="s">
        <v>3169</v>
      </c>
      <c r="E4449">
        <v>-686213952</v>
      </c>
      <c r="F4449">
        <v>21059441</v>
      </c>
      <c r="G4449">
        <v>-192418141</v>
      </c>
      <c r="H4449">
        <v>-212273612</v>
      </c>
      <c r="I4449">
        <v>-149894448</v>
      </c>
      <c r="J4449">
        <v>-366822713</v>
      </c>
      <c r="K4449">
        <v>-218144552</v>
      </c>
      <c r="L4449">
        <v>5163848</v>
      </c>
      <c r="M4449">
        <v>-91538007</v>
      </c>
      <c r="N4449">
        <v>101680642</v>
      </c>
      <c r="O4449">
        <v>-83519687</v>
      </c>
      <c r="P4449">
        <v>4830</v>
      </c>
      <c r="Q4449" t="s">
        <v>9247</v>
      </c>
    </row>
    <row r="4450" spans="1:17" x14ac:dyDescent="0.3">
      <c r="A4450" t="s">
        <v>17</v>
      </c>
      <c r="B4450" t="str">
        <f>"601137"</f>
        <v>601137</v>
      </c>
      <c r="C4450" t="s">
        <v>9248</v>
      </c>
      <c r="D4450" t="s">
        <v>2576</v>
      </c>
      <c r="E4450">
        <v>-687646835</v>
      </c>
      <c r="F4450">
        <v>-158145588</v>
      </c>
      <c r="G4450">
        <v>46912863</v>
      </c>
      <c r="H4450">
        <v>-142986721</v>
      </c>
      <c r="I4450">
        <v>-89715450</v>
      </c>
      <c r="J4450">
        <v>-4343702</v>
      </c>
      <c r="K4450">
        <v>33682492</v>
      </c>
      <c r="L4450">
        <v>-19930823</v>
      </c>
      <c r="M4450">
        <v>-96706530</v>
      </c>
      <c r="N4450">
        <v>-123843616</v>
      </c>
      <c r="O4450">
        <v>-127499029</v>
      </c>
      <c r="P4450">
        <v>283</v>
      </c>
      <c r="Q4450" t="s">
        <v>9249</v>
      </c>
    </row>
    <row r="4451" spans="1:17" x14ac:dyDescent="0.3">
      <c r="A4451" t="s">
        <v>17</v>
      </c>
      <c r="B4451" t="str">
        <f>"688680"</f>
        <v>688680</v>
      </c>
      <c r="C4451" t="s">
        <v>9250</v>
      </c>
      <c r="D4451" t="s">
        <v>800</v>
      </c>
      <c r="E4451">
        <v>-689553708</v>
      </c>
      <c r="F4451">
        <v>-583184970</v>
      </c>
      <c r="G4451">
        <v>-4727692</v>
      </c>
      <c r="H4451">
        <v>17367239</v>
      </c>
      <c r="I4451">
        <v>18059260</v>
      </c>
      <c r="P4451">
        <v>79</v>
      </c>
      <c r="Q4451" t="s">
        <v>9251</v>
      </c>
    </row>
    <row r="4452" spans="1:17" x14ac:dyDescent="0.3">
      <c r="A4452" t="s">
        <v>17</v>
      </c>
      <c r="B4452" t="str">
        <f>"601019"</f>
        <v>601019</v>
      </c>
      <c r="C4452" t="s">
        <v>9252</v>
      </c>
      <c r="D4452" t="s">
        <v>1054</v>
      </c>
      <c r="E4452">
        <v>-690864230</v>
      </c>
      <c r="F4452">
        <v>-551931360</v>
      </c>
      <c r="G4452">
        <v>-638174759</v>
      </c>
      <c r="H4452">
        <v>-297815592</v>
      </c>
      <c r="I4452">
        <v>-252167876</v>
      </c>
      <c r="J4452">
        <v>18051815</v>
      </c>
      <c r="P4452">
        <v>401</v>
      </c>
      <c r="Q4452" t="s">
        <v>9253</v>
      </c>
    </row>
    <row r="4453" spans="1:17" x14ac:dyDescent="0.3">
      <c r="A4453" t="s">
        <v>33</v>
      </c>
      <c r="B4453" t="str">
        <f>"300454"</f>
        <v>300454</v>
      </c>
      <c r="C4453" t="s">
        <v>9254</v>
      </c>
      <c r="D4453" t="s">
        <v>1713</v>
      </c>
      <c r="E4453">
        <v>-693378699</v>
      </c>
      <c r="F4453">
        <v>-417092575</v>
      </c>
      <c r="G4453">
        <v>-896994100</v>
      </c>
      <c r="H4453">
        <v>-392742798</v>
      </c>
      <c r="I4453">
        <v>-212169485</v>
      </c>
      <c r="J4453">
        <v>-88997381</v>
      </c>
      <c r="P4453">
        <v>799</v>
      </c>
      <c r="Q4453" t="s">
        <v>9255</v>
      </c>
    </row>
    <row r="4454" spans="1:17" x14ac:dyDescent="0.3">
      <c r="A4454" t="s">
        <v>33</v>
      </c>
      <c r="B4454" t="str">
        <f>"002791"</f>
        <v>002791</v>
      </c>
      <c r="C4454" t="s">
        <v>9256</v>
      </c>
      <c r="D4454" t="s">
        <v>2632</v>
      </c>
      <c r="E4454">
        <v>-696139031</v>
      </c>
      <c r="F4454">
        <v>-679036774</v>
      </c>
      <c r="G4454">
        <v>-462131595</v>
      </c>
      <c r="H4454">
        <v>-327656166</v>
      </c>
      <c r="I4454">
        <v>-309060196</v>
      </c>
      <c r="J4454">
        <v>-182533176</v>
      </c>
      <c r="K4454">
        <v>-98124418</v>
      </c>
      <c r="L4454">
        <v>-106801307</v>
      </c>
      <c r="P4454">
        <v>552</v>
      </c>
      <c r="Q4454" t="s">
        <v>9257</v>
      </c>
    </row>
    <row r="4455" spans="1:17" x14ac:dyDescent="0.3">
      <c r="A4455" t="s">
        <v>33</v>
      </c>
      <c r="B4455" t="str">
        <f>"200152"</f>
        <v>200152</v>
      </c>
      <c r="C4455" t="s">
        <v>9258</v>
      </c>
      <c r="E4455">
        <v>-697294327.85800004</v>
      </c>
      <c r="F4455">
        <v>-15233240.929</v>
      </c>
      <c r="G4455">
        <v>-1413595980.3555</v>
      </c>
      <c r="H4455">
        <v>84969549.671399996</v>
      </c>
      <c r="I4455">
        <v>759072741.44350004</v>
      </c>
      <c r="J4455">
        <v>41190645.179200001</v>
      </c>
      <c r="K4455">
        <v>324236120.88230002</v>
      </c>
      <c r="L4455">
        <v>313904743.75</v>
      </c>
      <c r="M4455">
        <v>179545959.12720001</v>
      </c>
      <c r="N4455">
        <v>210220901.77320001</v>
      </c>
      <c r="O4455">
        <v>217806378.597</v>
      </c>
      <c r="P4455">
        <v>112</v>
      </c>
      <c r="Q4455" t="s">
        <v>9259</v>
      </c>
    </row>
    <row r="4456" spans="1:17" x14ac:dyDescent="0.3">
      <c r="A4456" t="s">
        <v>33</v>
      </c>
      <c r="B4456" t="str">
        <f>"000401"</f>
        <v>000401</v>
      </c>
      <c r="C4456" t="s">
        <v>9260</v>
      </c>
      <c r="D4456" t="s">
        <v>260</v>
      </c>
      <c r="E4456">
        <v>-699097227</v>
      </c>
      <c r="F4456">
        <v>418006380</v>
      </c>
      <c r="G4456">
        <v>-254308143</v>
      </c>
      <c r="H4456">
        <v>379395670</v>
      </c>
      <c r="I4456">
        <v>196117322</v>
      </c>
      <c r="J4456">
        <v>-73268012</v>
      </c>
      <c r="K4456">
        <v>-323280778</v>
      </c>
      <c r="L4456">
        <v>98560341</v>
      </c>
      <c r="M4456">
        <v>239834985</v>
      </c>
      <c r="N4456">
        <v>-123247306</v>
      </c>
      <c r="O4456">
        <v>-770405906</v>
      </c>
      <c r="P4456">
        <v>826</v>
      </c>
      <c r="Q4456" t="s">
        <v>9261</v>
      </c>
    </row>
    <row r="4457" spans="1:17" x14ac:dyDescent="0.3">
      <c r="A4457" t="s">
        <v>17</v>
      </c>
      <c r="B4457" t="str">
        <f>"600787"</f>
        <v>600787</v>
      </c>
      <c r="C4457" t="s">
        <v>9262</v>
      </c>
      <c r="D4457" t="s">
        <v>1664</v>
      </c>
      <c r="E4457">
        <v>-703200734</v>
      </c>
      <c r="F4457">
        <v>-1530668372</v>
      </c>
      <c r="G4457">
        <v>-1330026023</v>
      </c>
      <c r="H4457">
        <v>-693024115</v>
      </c>
      <c r="I4457">
        <v>-1150773367</v>
      </c>
      <c r="J4457">
        <v>-237001339</v>
      </c>
      <c r="K4457">
        <v>-2116829946</v>
      </c>
      <c r="L4457">
        <v>147401667</v>
      </c>
      <c r="M4457">
        <v>-120898757</v>
      </c>
      <c r="N4457">
        <v>-281030006</v>
      </c>
      <c r="O4457">
        <v>128039742</v>
      </c>
      <c r="P4457">
        <v>165</v>
      </c>
      <c r="Q4457" t="s">
        <v>9263</v>
      </c>
    </row>
    <row r="4458" spans="1:17" x14ac:dyDescent="0.3">
      <c r="A4458" t="s">
        <v>33</v>
      </c>
      <c r="B4458" t="str">
        <f>"301090"</f>
        <v>301090</v>
      </c>
      <c r="C4458" t="s">
        <v>9264</v>
      </c>
      <c r="D4458" t="s">
        <v>195</v>
      </c>
      <c r="E4458">
        <v>-710889232</v>
      </c>
      <c r="G4458">
        <v>-42256151</v>
      </c>
      <c r="P4458">
        <v>18</v>
      </c>
      <c r="Q4458" t="s">
        <v>9265</v>
      </c>
    </row>
    <row r="4459" spans="1:17" x14ac:dyDescent="0.3">
      <c r="A4459" t="s">
        <v>17</v>
      </c>
      <c r="B4459" t="str">
        <f>"601838"</f>
        <v>601838</v>
      </c>
      <c r="C4459" t="s">
        <v>9266</v>
      </c>
      <c r="D4459" t="s">
        <v>31</v>
      </c>
      <c r="E4459">
        <v>-714887000</v>
      </c>
      <c r="F4459">
        <v>-1629262000</v>
      </c>
      <c r="G4459">
        <v>-1679437000</v>
      </c>
      <c r="H4459">
        <v>3195968000</v>
      </c>
      <c r="I4459">
        <v>-24826437000</v>
      </c>
      <c r="J4459">
        <v>-12915300000</v>
      </c>
      <c r="P4459">
        <v>1326</v>
      </c>
      <c r="Q4459" t="s">
        <v>9267</v>
      </c>
    </row>
    <row r="4460" spans="1:17" x14ac:dyDescent="0.3">
      <c r="A4460" t="s">
        <v>17</v>
      </c>
      <c r="B4460" t="str">
        <f>"603368"</f>
        <v>603368</v>
      </c>
      <c r="C4460" t="s">
        <v>9268</v>
      </c>
      <c r="D4460" t="s">
        <v>415</v>
      </c>
      <c r="E4460">
        <v>-717602737</v>
      </c>
      <c r="F4460">
        <v>-870629977</v>
      </c>
      <c r="G4460">
        <v>-707387816</v>
      </c>
      <c r="H4460">
        <v>-304725813</v>
      </c>
      <c r="I4460">
        <v>-833754730</v>
      </c>
      <c r="J4460">
        <v>-725576257</v>
      </c>
      <c r="K4460">
        <v>-467321313</v>
      </c>
      <c r="L4460">
        <v>-412117333</v>
      </c>
      <c r="M4460">
        <v>-346908780</v>
      </c>
      <c r="P4460">
        <v>532</v>
      </c>
      <c r="Q4460" t="s">
        <v>9269</v>
      </c>
    </row>
    <row r="4461" spans="1:17" x14ac:dyDescent="0.3">
      <c r="A4461" t="s">
        <v>33</v>
      </c>
      <c r="B4461" t="str">
        <f>"300168"</f>
        <v>300168</v>
      </c>
      <c r="C4461" t="s">
        <v>9270</v>
      </c>
      <c r="D4461" t="s">
        <v>508</v>
      </c>
      <c r="E4461">
        <v>-729894368</v>
      </c>
      <c r="F4461">
        <v>-686353711</v>
      </c>
      <c r="G4461">
        <v>-501530868</v>
      </c>
      <c r="H4461">
        <v>-886948887</v>
      </c>
      <c r="I4461">
        <v>-652739391</v>
      </c>
      <c r="J4461">
        <v>-374744817</v>
      </c>
      <c r="K4461">
        <v>-247095466</v>
      </c>
      <c r="L4461">
        <v>-306752548</v>
      </c>
      <c r="M4461">
        <v>-247526927</v>
      </c>
      <c r="N4461">
        <v>-139406432</v>
      </c>
      <c r="O4461">
        <v>-93254279</v>
      </c>
      <c r="P4461">
        <v>368</v>
      </c>
      <c r="Q4461" t="s">
        <v>9271</v>
      </c>
    </row>
    <row r="4462" spans="1:17" x14ac:dyDescent="0.3">
      <c r="A4462" t="s">
        <v>33</v>
      </c>
      <c r="B4462" t="str">
        <f>"002564"</f>
        <v>002564</v>
      </c>
      <c r="C4462" t="s">
        <v>9272</v>
      </c>
      <c r="D4462" t="s">
        <v>1132</v>
      </c>
      <c r="E4462">
        <v>-730497818</v>
      </c>
      <c r="F4462">
        <v>-776370600</v>
      </c>
      <c r="G4462">
        <v>-1040082726</v>
      </c>
      <c r="H4462">
        <v>-369283109</v>
      </c>
      <c r="I4462">
        <v>-253653581</v>
      </c>
      <c r="J4462">
        <v>-677160768</v>
      </c>
      <c r="K4462">
        <v>39421657</v>
      </c>
      <c r="L4462">
        <v>-10964831</v>
      </c>
      <c r="M4462">
        <v>-99793749</v>
      </c>
      <c r="N4462">
        <v>6146242</v>
      </c>
      <c r="O4462">
        <v>-167822635</v>
      </c>
      <c r="P4462">
        <v>130</v>
      </c>
      <c r="Q4462" t="s">
        <v>9273</v>
      </c>
    </row>
    <row r="4463" spans="1:17" x14ac:dyDescent="0.3">
      <c r="A4463" t="s">
        <v>33</v>
      </c>
      <c r="B4463" t="str">
        <f>"000555"</f>
        <v>000555</v>
      </c>
      <c r="C4463" t="s">
        <v>9274</v>
      </c>
      <c r="D4463" t="s">
        <v>508</v>
      </c>
      <c r="E4463">
        <v>-732647345</v>
      </c>
      <c r="F4463">
        <v>-657782717</v>
      </c>
      <c r="G4463">
        <v>-602150915</v>
      </c>
      <c r="H4463">
        <v>-551439747</v>
      </c>
      <c r="I4463">
        <v>-545649190</v>
      </c>
      <c r="J4463">
        <v>-559223021</v>
      </c>
      <c r="K4463">
        <v>-564837834</v>
      </c>
      <c r="L4463">
        <v>-373316603</v>
      </c>
      <c r="M4463">
        <v>-278987712</v>
      </c>
      <c r="N4463">
        <v>-8750892</v>
      </c>
      <c r="O4463">
        <v>-4271367</v>
      </c>
      <c r="P4463">
        <v>374</v>
      </c>
      <c r="Q4463" t="s">
        <v>9275</v>
      </c>
    </row>
    <row r="4464" spans="1:17" x14ac:dyDescent="0.3">
      <c r="A4464" t="s">
        <v>33</v>
      </c>
      <c r="B4464" t="str">
        <f>"300413"</f>
        <v>300413</v>
      </c>
      <c r="C4464" t="s">
        <v>9276</v>
      </c>
      <c r="D4464" t="s">
        <v>5445</v>
      </c>
      <c r="E4464">
        <v>-733432500</v>
      </c>
      <c r="F4464">
        <v>426746376</v>
      </c>
      <c r="G4464">
        <v>-353131865</v>
      </c>
      <c r="H4464">
        <v>-494359632</v>
      </c>
      <c r="I4464">
        <v>4947133</v>
      </c>
      <c r="J4464">
        <v>11944890</v>
      </c>
      <c r="K4464">
        <v>7867344</v>
      </c>
      <c r="L4464">
        <v>-37695048</v>
      </c>
      <c r="M4464">
        <v>-44947187</v>
      </c>
      <c r="P4464">
        <v>1145</v>
      </c>
      <c r="Q4464" t="s">
        <v>9277</v>
      </c>
    </row>
    <row r="4465" spans="1:17" x14ac:dyDescent="0.3">
      <c r="A4465" t="s">
        <v>33</v>
      </c>
      <c r="B4465" t="str">
        <f>"002544"</f>
        <v>002544</v>
      </c>
      <c r="C4465" t="s">
        <v>9278</v>
      </c>
      <c r="D4465" t="s">
        <v>4393</v>
      </c>
      <c r="E4465">
        <v>-734101783</v>
      </c>
      <c r="F4465">
        <v>-642418683</v>
      </c>
      <c r="G4465">
        <v>-653409330</v>
      </c>
      <c r="H4465">
        <v>-688733343</v>
      </c>
      <c r="I4465">
        <v>-618617933</v>
      </c>
      <c r="J4465">
        <v>-282816937</v>
      </c>
      <c r="K4465">
        <v>-411071650</v>
      </c>
      <c r="L4465">
        <v>-364045113</v>
      </c>
      <c r="M4465">
        <v>-326096985</v>
      </c>
      <c r="N4465">
        <v>-268730587</v>
      </c>
      <c r="O4465">
        <v>-196389606</v>
      </c>
      <c r="P4465">
        <v>324</v>
      </c>
      <c r="Q4465" t="s">
        <v>9279</v>
      </c>
    </row>
    <row r="4466" spans="1:17" x14ac:dyDescent="0.3">
      <c r="A4466" t="s">
        <v>17</v>
      </c>
      <c r="B4466" t="str">
        <f>"601226"</f>
        <v>601226</v>
      </c>
      <c r="C4466" t="s">
        <v>9280</v>
      </c>
      <c r="D4466" t="s">
        <v>1454</v>
      </c>
      <c r="E4466">
        <v>-735645450</v>
      </c>
      <c r="F4466">
        <v>-687943739</v>
      </c>
      <c r="G4466">
        <v>-151761744</v>
      </c>
      <c r="H4466">
        <v>-154230502</v>
      </c>
      <c r="I4466">
        <v>-387647835</v>
      </c>
      <c r="J4466">
        <v>-316238880</v>
      </c>
      <c r="K4466">
        <v>-218076067</v>
      </c>
      <c r="L4466">
        <v>-610236076</v>
      </c>
      <c r="M4466">
        <v>-331615344</v>
      </c>
      <c r="P4466">
        <v>114</v>
      </c>
      <c r="Q4466" t="s">
        <v>9281</v>
      </c>
    </row>
    <row r="4467" spans="1:17" x14ac:dyDescent="0.3">
      <c r="A4467" t="s">
        <v>17</v>
      </c>
      <c r="B4467" t="str">
        <f>"600066"</f>
        <v>600066</v>
      </c>
      <c r="C4467" t="s">
        <v>9282</v>
      </c>
      <c r="D4467" t="s">
        <v>1122</v>
      </c>
      <c r="E4467">
        <v>-736678388</v>
      </c>
      <c r="F4467">
        <v>-313370895</v>
      </c>
      <c r="G4467">
        <v>-495752315</v>
      </c>
      <c r="H4467">
        <v>-1758061888</v>
      </c>
      <c r="I4467">
        <v>-2256500183</v>
      </c>
      <c r="J4467">
        <v>-3333736416</v>
      </c>
      <c r="K4467">
        <v>-1956386396</v>
      </c>
      <c r="L4467">
        <v>-308709675</v>
      </c>
      <c r="M4467">
        <v>590472315</v>
      </c>
      <c r="N4467">
        <v>-414216430</v>
      </c>
      <c r="O4467">
        <v>811439629</v>
      </c>
      <c r="P4467">
        <v>2894</v>
      </c>
      <c r="Q4467" t="s">
        <v>9283</v>
      </c>
    </row>
    <row r="4468" spans="1:17" x14ac:dyDescent="0.3">
      <c r="A4468" t="s">
        <v>33</v>
      </c>
      <c r="B4468" t="str">
        <f>"300316"</f>
        <v>300316</v>
      </c>
      <c r="C4468" t="s">
        <v>9284</v>
      </c>
      <c r="D4468" t="s">
        <v>715</v>
      </c>
      <c r="E4468">
        <v>-744733065</v>
      </c>
      <c r="F4468">
        <v>37558185</v>
      </c>
      <c r="G4468">
        <v>472065183</v>
      </c>
      <c r="H4468">
        <v>-76554249</v>
      </c>
      <c r="I4468">
        <v>-142615915</v>
      </c>
      <c r="J4468">
        <v>-87340578</v>
      </c>
      <c r="K4468">
        <v>-10253917</v>
      </c>
      <c r="L4468">
        <v>-32304410</v>
      </c>
      <c r="M4468">
        <v>48217</v>
      </c>
      <c r="N4468">
        <v>12144427</v>
      </c>
      <c r="O4468">
        <v>-15481440</v>
      </c>
      <c r="P4468">
        <v>1072</v>
      </c>
      <c r="Q4468" t="s">
        <v>9285</v>
      </c>
    </row>
    <row r="4469" spans="1:17" x14ac:dyDescent="0.3">
      <c r="A4469" t="s">
        <v>17</v>
      </c>
      <c r="B4469" t="str">
        <f>"600482"</f>
        <v>600482</v>
      </c>
      <c r="C4469" t="s">
        <v>9286</v>
      </c>
      <c r="D4469" t="s">
        <v>248</v>
      </c>
      <c r="E4469">
        <v>-746636441</v>
      </c>
      <c r="F4469">
        <v>-269849884</v>
      </c>
      <c r="G4469">
        <v>-406657171</v>
      </c>
      <c r="H4469">
        <v>-737757843</v>
      </c>
      <c r="I4469">
        <v>19312014</v>
      </c>
      <c r="J4469">
        <v>-444635038</v>
      </c>
      <c r="K4469">
        <v>-93023282</v>
      </c>
      <c r="L4469">
        <v>-62880137</v>
      </c>
      <c r="M4469">
        <v>-3671744</v>
      </c>
      <c r="N4469">
        <v>-101541425</v>
      </c>
      <c r="O4469">
        <v>132164096</v>
      </c>
      <c r="P4469">
        <v>339</v>
      </c>
      <c r="Q4469" t="s">
        <v>9287</v>
      </c>
    </row>
    <row r="4470" spans="1:17" x14ac:dyDescent="0.3">
      <c r="A4470" t="s">
        <v>17</v>
      </c>
      <c r="B4470" t="str">
        <f>"601139"</f>
        <v>601139</v>
      </c>
      <c r="C4470" t="s">
        <v>9288</v>
      </c>
      <c r="D4470" t="s">
        <v>649</v>
      </c>
      <c r="E4470">
        <v>-751723903</v>
      </c>
      <c r="F4470">
        <v>104804967</v>
      </c>
      <c r="G4470">
        <v>-19807244</v>
      </c>
      <c r="H4470">
        <v>1660823</v>
      </c>
      <c r="I4470">
        <v>260532926</v>
      </c>
      <c r="J4470">
        <v>74878227</v>
      </c>
      <c r="K4470">
        <v>218257019</v>
      </c>
      <c r="L4470">
        <v>-79479313</v>
      </c>
      <c r="M4470">
        <v>228244429</v>
      </c>
      <c r="N4470">
        <v>269855274</v>
      </c>
      <c r="O4470">
        <v>46545208</v>
      </c>
      <c r="P4470">
        <v>476</v>
      </c>
      <c r="Q4470" t="s">
        <v>9289</v>
      </c>
    </row>
    <row r="4471" spans="1:17" x14ac:dyDescent="0.3">
      <c r="A4471" t="s">
        <v>17</v>
      </c>
      <c r="B4471" t="str">
        <f>"600909"</f>
        <v>600909</v>
      </c>
      <c r="C4471" t="s">
        <v>9290</v>
      </c>
      <c r="D4471" t="s">
        <v>52</v>
      </c>
      <c r="E4471">
        <v>-752582353</v>
      </c>
      <c r="F4471">
        <v>-671725210</v>
      </c>
      <c r="G4471">
        <v>338032307</v>
      </c>
      <c r="H4471">
        <v>5305646060</v>
      </c>
      <c r="I4471">
        <v>1895707106</v>
      </c>
      <c r="J4471">
        <v>1228077212</v>
      </c>
      <c r="K4471">
        <v>-2326379192.9899998</v>
      </c>
      <c r="P4471">
        <v>832</v>
      </c>
      <c r="Q4471" t="s">
        <v>9291</v>
      </c>
    </row>
    <row r="4472" spans="1:17" x14ac:dyDescent="0.3">
      <c r="A4472" t="s">
        <v>33</v>
      </c>
      <c r="B4472" t="str">
        <f>"002152"</f>
        <v>002152</v>
      </c>
      <c r="C4472" t="s">
        <v>9292</v>
      </c>
      <c r="D4472" t="s">
        <v>1571</v>
      </c>
      <c r="E4472">
        <v>-755517258</v>
      </c>
      <c r="F4472">
        <v>-472521982</v>
      </c>
      <c r="G4472">
        <v>-702043800</v>
      </c>
      <c r="H4472">
        <v>-523455411</v>
      </c>
      <c r="I4472">
        <v>-426671472</v>
      </c>
      <c r="J4472">
        <v>-557768694</v>
      </c>
      <c r="K4472">
        <v>-391556878</v>
      </c>
      <c r="L4472">
        <v>-681060971</v>
      </c>
      <c r="M4472">
        <v>-517194240</v>
      </c>
      <c r="N4472">
        <v>-357911507</v>
      </c>
      <c r="O4472">
        <v>-252799091</v>
      </c>
      <c r="P4472">
        <v>16880</v>
      </c>
      <c r="Q4472" t="s">
        <v>9293</v>
      </c>
    </row>
    <row r="4473" spans="1:17" x14ac:dyDescent="0.3">
      <c r="A4473" t="s">
        <v>33</v>
      </c>
      <c r="B4473" t="str">
        <f>"000878"</f>
        <v>000878</v>
      </c>
      <c r="C4473" t="s">
        <v>9294</v>
      </c>
      <c r="D4473" t="s">
        <v>153</v>
      </c>
      <c r="E4473">
        <v>-758202691</v>
      </c>
      <c r="F4473">
        <v>-1685761162</v>
      </c>
      <c r="G4473">
        <v>-3181805953</v>
      </c>
      <c r="H4473">
        <v>381442120</v>
      </c>
      <c r="I4473">
        <v>131481772</v>
      </c>
      <c r="J4473">
        <v>-167319063</v>
      </c>
      <c r="K4473">
        <v>-1700719621</v>
      </c>
      <c r="L4473">
        <v>114697424</v>
      </c>
      <c r="M4473">
        <v>485046287</v>
      </c>
      <c r="N4473">
        <v>1412824612</v>
      </c>
      <c r="O4473">
        <v>952743572</v>
      </c>
      <c r="P4473">
        <v>418</v>
      </c>
      <c r="Q4473" t="s">
        <v>9295</v>
      </c>
    </row>
    <row r="4474" spans="1:17" x14ac:dyDescent="0.3">
      <c r="A4474" t="s">
        <v>33</v>
      </c>
      <c r="B4474" t="str">
        <f>"000011"</f>
        <v>000011</v>
      </c>
      <c r="C4474" t="s">
        <v>9296</v>
      </c>
      <c r="D4474" t="s">
        <v>167</v>
      </c>
      <c r="E4474">
        <v>-762389017</v>
      </c>
      <c r="F4474">
        <v>83213088</v>
      </c>
      <c r="G4474">
        <v>-609307577</v>
      </c>
      <c r="H4474">
        <v>-64518467</v>
      </c>
      <c r="I4474">
        <v>-96704936</v>
      </c>
      <c r="J4474">
        <v>-252974419</v>
      </c>
      <c r="K4474">
        <v>877544688</v>
      </c>
      <c r="L4474">
        <v>-129634376</v>
      </c>
      <c r="M4474">
        <v>-33493466</v>
      </c>
      <c r="N4474">
        <v>94342037</v>
      </c>
      <c r="O4474">
        <v>248705663</v>
      </c>
      <c r="P4474">
        <v>479</v>
      </c>
      <c r="Q4474" t="s">
        <v>9297</v>
      </c>
    </row>
    <row r="4475" spans="1:17" x14ac:dyDescent="0.3">
      <c r="A4475" t="s">
        <v>33</v>
      </c>
      <c r="B4475" t="str">
        <f>"002400"</f>
        <v>002400</v>
      </c>
      <c r="C4475" t="s">
        <v>9298</v>
      </c>
      <c r="D4475" t="s">
        <v>1125</v>
      </c>
      <c r="E4475">
        <v>-768893094</v>
      </c>
      <c r="F4475">
        <v>-265159700</v>
      </c>
      <c r="G4475">
        <v>-197439135</v>
      </c>
      <c r="H4475">
        <v>-133804011</v>
      </c>
      <c r="I4475">
        <v>14114186</v>
      </c>
      <c r="J4475">
        <v>-489208295</v>
      </c>
      <c r="K4475">
        <v>106873101</v>
      </c>
      <c r="L4475">
        <v>110894381</v>
      </c>
      <c r="M4475">
        <v>152074127</v>
      </c>
      <c r="N4475">
        <v>79803590</v>
      </c>
      <c r="O4475">
        <v>-30319409</v>
      </c>
      <c r="P4475">
        <v>328</v>
      </c>
      <c r="Q4475" t="s">
        <v>9299</v>
      </c>
    </row>
    <row r="4476" spans="1:17" x14ac:dyDescent="0.3">
      <c r="A4476" t="s">
        <v>33</v>
      </c>
      <c r="B4476" t="str">
        <f>"200016"</f>
        <v>200016</v>
      </c>
      <c r="C4476" t="s">
        <v>9300</v>
      </c>
      <c r="E4476">
        <v>-778566137.96599996</v>
      </c>
      <c r="F4476">
        <v>-626885720.49300003</v>
      </c>
      <c r="G4476">
        <v>-1127024129.2701001</v>
      </c>
      <c r="H4476">
        <v>-632179303.51950002</v>
      </c>
      <c r="I4476">
        <v>-1274716579.0085001</v>
      </c>
      <c r="J4476">
        <v>-1838330905.7586</v>
      </c>
      <c r="K4476">
        <v>354678709.8646</v>
      </c>
      <c r="L4476">
        <v>346702061.25</v>
      </c>
      <c r="M4476">
        <v>1167326646.8928001</v>
      </c>
      <c r="N4476">
        <v>571579547.63759995</v>
      </c>
      <c r="O4476">
        <v>564385035.60000002</v>
      </c>
      <c r="P4476">
        <v>36</v>
      </c>
      <c r="Q4476" t="s">
        <v>9301</v>
      </c>
    </row>
    <row r="4477" spans="1:17" x14ac:dyDescent="0.3">
      <c r="A4477" t="s">
        <v>17</v>
      </c>
      <c r="B4477" t="str">
        <f>"600737"</f>
        <v>600737</v>
      </c>
      <c r="C4477" t="s">
        <v>9302</v>
      </c>
      <c r="D4477" t="s">
        <v>1820</v>
      </c>
      <c r="E4477">
        <v>-779724947</v>
      </c>
      <c r="F4477">
        <v>-1987598867</v>
      </c>
      <c r="G4477">
        <v>593618898</v>
      </c>
      <c r="H4477">
        <v>-170538212</v>
      </c>
      <c r="I4477">
        <v>-320136724</v>
      </c>
      <c r="J4477">
        <v>-2569120258</v>
      </c>
      <c r="K4477">
        <v>1843491507</v>
      </c>
      <c r="L4477">
        <v>-275343657</v>
      </c>
      <c r="M4477">
        <v>-148510081</v>
      </c>
      <c r="N4477">
        <v>-280092187</v>
      </c>
      <c r="O4477">
        <v>146605914</v>
      </c>
      <c r="P4477">
        <v>515</v>
      </c>
      <c r="Q4477" t="s">
        <v>9303</v>
      </c>
    </row>
    <row r="4478" spans="1:17" x14ac:dyDescent="0.3">
      <c r="A4478" t="s">
        <v>33</v>
      </c>
      <c r="B4478" t="str">
        <f>"000021"</f>
        <v>000021</v>
      </c>
      <c r="C4478" t="s">
        <v>9304</v>
      </c>
      <c r="D4478" t="s">
        <v>226</v>
      </c>
      <c r="E4478">
        <v>-791130977</v>
      </c>
      <c r="F4478">
        <v>-179702845</v>
      </c>
      <c r="G4478">
        <v>239574840</v>
      </c>
      <c r="H4478">
        <v>-17441917</v>
      </c>
      <c r="I4478">
        <v>43924927</v>
      </c>
      <c r="J4478">
        <v>59367299</v>
      </c>
      <c r="K4478">
        <v>78385847</v>
      </c>
      <c r="L4478">
        <v>-279593626</v>
      </c>
      <c r="M4478">
        <v>135371989</v>
      </c>
      <c r="N4478">
        <v>55118044</v>
      </c>
      <c r="O4478">
        <v>25203042</v>
      </c>
      <c r="P4478">
        <v>442</v>
      </c>
      <c r="Q4478" t="s">
        <v>9305</v>
      </c>
    </row>
    <row r="4479" spans="1:17" x14ac:dyDescent="0.3">
      <c r="A4479" t="s">
        <v>33</v>
      </c>
      <c r="B4479" t="str">
        <f>"002793"</f>
        <v>002793</v>
      </c>
      <c r="C4479" t="s">
        <v>9306</v>
      </c>
      <c r="D4479" t="s">
        <v>590</v>
      </c>
      <c r="E4479">
        <v>-794046526</v>
      </c>
      <c r="F4479">
        <v>-248079595</v>
      </c>
      <c r="G4479">
        <v>-172069444</v>
      </c>
      <c r="H4479">
        <v>16270273</v>
      </c>
      <c r="I4479">
        <v>-24563270</v>
      </c>
      <c r="J4479">
        <v>-39873322</v>
      </c>
      <c r="K4479">
        <v>5179334</v>
      </c>
      <c r="L4479">
        <v>295672</v>
      </c>
      <c r="P4479">
        <v>213</v>
      </c>
      <c r="Q4479" t="s">
        <v>9307</v>
      </c>
    </row>
    <row r="4480" spans="1:17" x14ac:dyDescent="0.3">
      <c r="A4480" t="s">
        <v>17</v>
      </c>
      <c r="B4480" t="str">
        <f>"603501"</f>
        <v>603501</v>
      </c>
      <c r="C4480" t="s">
        <v>9308</v>
      </c>
      <c r="D4480" t="s">
        <v>1277</v>
      </c>
      <c r="E4480">
        <v>-797348154</v>
      </c>
      <c r="F4480">
        <v>482416923</v>
      </c>
      <c r="G4480">
        <v>-86831881</v>
      </c>
      <c r="H4480">
        <v>-57386267</v>
      </c>
      <c r="I4480">
        <v>-193332922</v>
      </c>
      <c r="J4480">
        <v>69678289</v>
      </c>
      <c r="K4480">
        <v>7160978</v>
      </c>
      <c r="P4480">
        <v>2200</v>
      </c>
      <c r="Q4480" t="s">
        <v>9309</v>
      </c>
    </row>
    <row r="4481" spans="1:17" x14ac:dyDescent="0.3">
      <c r="A4481" t="s">
        <v>33</v>
      </c>
      <c r="B4481" t="str">
        <f>"000581"</f>
        <v>000581</v>
      </c>
      <c r="C4481" t="s">
        <v>9310</v>
      </c>
      <c r="D4481" t="s">
        <v>858</v>
      </c>
      <c r="E4481">
        <v>-797509773</v>
      </c>
      <c r="F4481">
        <v>-229541250</v>
      </c>
      <c r="G4481">
        <v>319204810</v>
      </c>
      <c r="H4481">
        <v>145409651</v>
      </c>
      <c r="I4481">
        <v>86416705</v>
      </c>
      <c r="J4481">
        <v>92118224</v>
      </c>
      <c r="K4481">
        <v>42831761</v>
      </c>
      <c r="L4481">
        <v>208387102</v>
      </c>
      <c r="M4481">
        <v>138667588</v>
      </c>
      <c r="N4481">
        <v>93309331</v>
      </c>
      <c r="O4481">
        <v>135895280</v>
      </c>
      <c r="P4481">
        <v>1711</v>
      </c>
      <c r="Q4481" t="s">
        <v>9311</v>
      </c>
    </row>
    <row r="4482" spans="1:17" x14ac:dyDescent="0.3">
      <c r="A4482" t="s">
        <v>17</v>
      </c>
      <c r="B4482" t="str">
        <f>"600094"</f>
        <v>600094</v>
      </c>
      <c r="C4482" t="s">
        <v>9312</v>
      </c>
      <c r="D4482" t="s">
        <v>167</v>
      </c>
      <c r="E4482">
        <v>-798317707</v>
      </c>
      <c r="F4482">
        <v>198636289</v>
      </c>
      <c r="G4482">
        <v>2079423118</v>
      </c>
      <c r="H4482">
        <v>1208086220</v>
      </c>
      <c r="I4482">
        <v>200951412</v>
      </c>
      <c r="J4482">
        <v>242527194</v>
      </c>
      <c r="K4482">
        <v>-2529063704</v>
      </c>
      <c r="L4482">
        <v>-1267880585</v>
      </c>
      <c r="M4482">
        <v>-879246037</v>
      </c>
      <c r="N4482">
        <v>544556307</v>
      </c>
      <c r="O4482">
        <v>-427372509</v>
      </c>
      <c r="P4482">
        <v>159</v>
      </c>
      <c r="Q4482" t="s">
        <v>9313</v>
      </c>
    </row>
    <row r="4483" spans="1:17" x14ac:dyDescent="0.3">
      <c r="A4483" t="s">
        <v>33</v>
      </c>
      <c r="B4483" t="str">
        <f>"002939"</f>
        <v>002939</v>
      </c>
      <c r="C4483" t="s">
        <v>9314</v>
      </c>
      <c r="D4483" t="s">
        <v>52</v>
      </c>
      <c r="E4483">
        <v>-802111348</v>
      </c>
      <c r="F4483">
        <v>-1222933261</v>
      </c>
      <c r="G4483">
        <v>1918577340</v>
      </c>
      <c r="H4483">
        <v>4380997970</v>
      </c>
      <c r="I4483">
        <v>1564879195</v>
      </c>
      <c r="P4483">
        <v>832</v>
      </c>
      <c r="Q4483" t="s">
        <v>9315</v>
      </c>
    </row>
    <row r="4484" spans="1:17" x14ac:dyDescent="0.3">
      <c r="A4484" t="s">
        <v>17</v>
      </c>
      <c r="B4484" t="str">
        <f>"600259"</f>
        <v>600259</v>
      </c>
      <c r="C4484" t="s">
        <v>9316</v>
      </c>
      <c r="D4484" t="s">
        <v>333</v>
      </c>
      <c r="E4484">
        <v>-804606274</v>
      </c>
      <c r="F4484">
        <v>-486139990</v>
      </c>
      <c r="G4484">
        <v>141084464</v>
      </c>
      <c r="H4484">
        <v>104106989</v>
      </c>
      <c r="I4484">
        <v>-50161739</v>
      </c>
      <c r="J4484">
        <v>-173437049</v>
      </c>
      <c r="K4484">
        <v>-61495925</v>
      </c>
      <c r="L4484">
        <v>-89558063</v>
      </c>
      <c r="M4484">
        <v>-175184606</v>
      </c>
      <c r="N4484">
        <v>-115443086</v>
      </c>
      <c r="O4484">
        <v>-71642514</v>
      </c>
      <c r="P4484">
        <v>221</v>
      </c>
      <c r="Q4484" t="s">
        <v>9317</v>
      </c>
    </row>
    <row r="4485" spans="1:17" x14ac:dyDescent="0.3">
      <c r="A4485" t="s">
        <v>33</v>
      </c>
      <c r="B4485" t="str">
        <f>"002100"</f>
        <v>002100</v>
      </c>
      <c r="C4485" t="s">
        <v>9318</v>
      </c>
      <c r="D4485" t="s">
        <v>1825</v>
      </c>
      <c r="E4485">
        <v>-808347021</v>
      </c>
      <c r="F4485">
        <v>585028586</v>
      </c>
      <c r="G4485">
        <v>510611920</v>
      </c>
      <c r="H4485">
        <v>97896378</v>
      </c>
      <c r="I4485">
        <v>-170628030</v>
      </c>
      <c r="J4485">
        <v>-14031873</v>
      </c>
      <c r="K4485">
        <v>183192982</v>
      </c>
      <c r="L4485">
        <v>-100807331</v>
      </c>
      <c r="M4485">
        <v>42429472</v>
      </c>
      <c r="N4485">
        <v>34477314</v>
      </c>
      <c r="O4485">
        <v>11162461</v>
      </c>
      <c r="P4485">
        <v>737</v>
      </c>
      <c r="Q4485" t="s">
        <v>9319</v>
      </c>
    </row>
    <row r="4486" spans="1:17" x14ac:dyDescent="0.3">
      <c r="A4486" t="s">
        <v>33</v>
      </c>
      <c r="B4486" t="str">
        <f>"000156"</f>
        <v>000156</v>
      </c>
      <c r="C4486" t="s">
        <v>9320</v>
      </c>
      <c r="D4486" t="s">
        <v>1074</v>
      </c>
      <c r="E4486">
        <v>-809227226</v>
      </c>
      <c r="F4486">
        <v>-75261591</v>
      </c>
      <c r="G4486">
        <v>-85089639</v>
      </c>
      <c r="H4486">
        <v>152019251</v>
      </c>
      <c r="I4486">
        <v>124767614</v>
      </c>
      <c r="J4486">
        <v>16719708</v>
      </c>
      <c r="K4486">
        <v>31556520</v>
      </c>
      <c r="L4486">
        <v>62364343</v>
      </c>
      <c r="M4486">
        <v>95506748</v>
      </c>
      <c r="N4486">
        <v>77773190</v>
      </c>
      <c r="O4486">
        <v>-6228427</v>
      </c>
      <c r="P4486">
        <v>309</v>
      </c>
      <c r="Q4486" t="s">
        <v>9321</v>
      </c>
    </row>
    <row r="4487" spans="1:17" x14ac:dyDescent="0.3">
      <c r="A4487" t="s">
        <v>33</v>
      </c>
      <c r="B4487" t="str">
        <f>"001227"</f>
        <v>001227</v>
      </c>
      <c r="C4487" t="s">
        <v>9322</v>
      </c>
      <c r="D4487" t="s">
        <v>31</v>
      </c>
      <c r="E4487">
        <v>-819287939</v>
      </c>
      <c r="F4487">
        <v>1848522128</v>
      </c>
      <c r="P4487">
        <v>31</v>
      </c>
      <c r="Q4487" t="s">
        <v>9323</v>
      </c>
    </row>
    <row r="4488" spans="1:17" x14ac:dyDescent="0.3">
      <c r="A4488" t="s">
        <v>17</v>
      </c>
      <c r="B4488" t="str">
        <f>"600864"</f>
        <v>600864</v>
      </c>
      <c r="C4488" t="s">
        <v>9324</v>
      </c>
      <c r="D4488" t="s">
        <v>52</v>
      </c>
      <c r="E4488">
        <v>-822651144</v>
      </c>
      <c r="F4488">
        <v>-613455271</v>
      </c>
      <c r="G4488">
        <v>277089453</v>
      </c>
      <c r="H4488">
        <v>2844233588</v>
      </c>
      <c r="I4488">
        <v>328062145</v>
      </c>
      <c r="J4488">
        <v>-2169814042</v>
      </c>
      <c r="K4488">
        <v>-147481124</v>
      </c>
      <c r="L4488">
        <v>-135685024</v>
      </c>
      <c r="M4488">
        <v>-130085872</v>
      </c>
      <c r="N4488">
        <v>-173154309</v>
      </c>
      <c r="O4488">
        <v>-241488714</v>
      </c>
      <c r="P4488">
        <v>412</v>
      </c>
      <c r="Q4488" t="s">
        <v>9325</v>
      </c>
    </row>
    <row r="4489" spans="1:17" x14ac:dyDescent="0.3">
      <c r="A4489" t="s">
        <v>17</v>
      </c>
      <c r="B4489" t="str">
        <f>"605589"</f>
        <v>605589</v>
      </c>
      <c r="C4489" t="s">
        <v>9326</v>
      </c>
      <c r="D4489" t="s">
        <v>1817</v>
      </c>
      <c r="E4489">
        <v>-825003852</v>
      </c>
      <c r="F4489">
        <v>-521952648</v>
      </c>
      <c r="G4489">
        <v>227107916</v>
      </c>
      <c r="P4489">
        <v>40</v>
      </c>
      <c r="Q4489" t="s">
        <v>9327</v>
      </c>
    </row>
    <row r="4490" spans="1:17" x14ac:dyDescent="0.3">
      <c r="A4490" t="s">
        <v>17</v>
      </c>
      <c r="B4490" t="str">
        <f>"600206"</f>
        <v>600206</v>
      </c>
      <c r="C4490" t="s">
        <v>9328</v>
      </c>
      <c r="D4490" t="s">
        <v>1177</v>
      </c>
      <c r="E4490">
        <v>-825904497</v>
      </c>
      <c r="F4490">
        <v>-781533653</v>
      </c>
      <c r="G4490">
        <v>-479656085</v>
      </c>
      <c r="H4490">
        <v>-312034903</v>
      </c>
      <c r="I4490">
        <v>-266146490</v>
      </c>
      <c r="J4490">
        <v>-178759582</v>
      </c>
      <c r="K4490">
        <v>-205135030</v>
      </c>
      <c r="L4490">
        <v>-68117983</v>
      </c>
      <c r="M4490">
        <v>-86544469</v>
      </c>
      <c r="N4490">
        <v>7527073</v>
      </c>
      <c r="O4490">
        <v>24201882</v>
      </c>
      <c r="P4490">
        <v>421</v>
      </c>
      <c r="Q4490" t="s">
        <v>9329</v>
      </c>
    </row>
    <row r="4491" spans="1:17" x14ac:dyDescent="0.3">
      <c r="A4491" t="s">
        <v>17</v>
      </c>
      <c r="B4491" t="str">
        <f>"600366"</f>
        <v>600366</v>
      </c>
      <c r="C4491" t="s">
        <v>9330</v>
      </c>
      <c r="D4491" t="s">
        <v>1559</v>
      </c>
      <c r="E4491">
        <v>-826113872</v>
      </c>
      <c r="F4491">
        <v>-175069680</v>
      </c>
      <c r="G4491">
        <v>-41722669</v>
      </c>
      <c r="H4491">
        <v>153529615</v>
      </c>
      <c r="I4491">
        <v>-89188710</v>
      </c>
      <c r="J4491">
        <v>-69720543</v>
      </c>
      <c r="K4491">
        <v>56186598</v>
      </c>
      <c r="L4491">
        <v>73902813</v>
      </c>
      <c r="M4491">
        <v>-10429064</v>
      </c>
      <c r="N4491">
        <v>-114510450</v>
      </c>
      <c r="O4491">
        <v>276847099</v>
      </c>
      <c r="P4491">
        <v>236</v>
      </c>
      <c r="Q4491" t="s">
        <v>9331</v>
      </c>
    </row>
    <row r="4492" spans="1:17" x14ac:dyDescent="0.3">
      <c r="A4492" t="s">
        <v>33</v>
      </c>
      <c r="B4492" t="str">
        <f>"000981"</f>
        <v>000981</v>
      </c>
      <c r="C4492" t="s">
        <v>9332</v>
      </c>
      <c r="D4492" t="s">
        <v>167</v>
      </c>
      <c r="E4492">
        <v>-828529166</v>
      </c>
      <c r="F4492">
        <v>-194092692</v>
      </c>
      <c r="G4492">
        <v>176536969</v>
      </c>
      <c r="H4492">
        <v>228522368</v>
      </c>
      <c r="I4492">
        <v>435976599</v>
      </c>
      <c r="J4492">
        <v>-348880609</v>
      </c>
      <c r="K4492">
        <v>516047575</v>
      </c>
      <c r="L4492">
        <v>-410651312</v>
      </c>
      <c r="M4492">
        <v>-1810445889</v>
      </c>
      <c r="N4492">
        <v>-731137330</v>
      </c>
      <c r="O4492">
        <v>-238697770</v>
      </c>
      <c r="P4492">
        <v>118</v>
      </c>
      <c r="Q4492" t="s">
        <v>9333</v>
      </c>
    </row>
    <row r="4493" spans="1:17" x14ac:dyDescent="0.3">
      <c r="A4493" t="s">
        <v>17</v>
      </c>
      <c r="B4493" t="str">
        <f>"600765"</f>
        <v>600765</v>
      </c>
      <c r="C4493" t="s">
        <v>9334</v>
      </c>
      <c r="D4493" t="s">
        <v>2262</v>
      </c>
      <c r="E4493">
        <v>-832980972</v>
      </c>
      <c r="F4493">
        <v>160207021</v>
      </c>
      <c r="G4493">
        <v>-81757347</v>
      </c>
      <c r="H4493">
        <v>-33976812</v>
      </c>
      <c r="I4493">
        <v>-85672383</v>
      </c>
      <c r="J4493">
        <v>-162381267</v>
      </c>
      <c r="K4493">
        <v>-247925229</v>
      </c>
      <c r="L4493">
        <v>-36563090</v>
      </c>
      <c r="M4493">
        <v>-134297384</v>
      </c>
      <c r="N4493">
        <v>-88551896</v>
      </c>
      <c r="O4493">
        <v>-169581823</v>
      </c>
      <c r="P4493">
        <v>355</v>
      </c>
      <c r="Q4493" t="s">
        <v>9335</v>
      </c>
    </row>
    <row r="4494" spans="1:17" x14ac:dyDescent="0.3">
      <c r="A4494" t="s">
        <v>17</v>
      </c>
      <c r="B4494" t="str">
        <f>"603606"</f>
        <v>603606</v>
      </c>
      <c r="C4494" t="s">
        <v>9336</v>
      </c>
      <c r="D4494" t="s">
        <v>1282</v>
      </c>
      <c r="E4494">
        <v>-844093062</v>
      </c>
      <c r="F4494">
        <v>16501530</v>
      </c>
      <c r="G4494">
        <v>-358107670</v>
      </c>
      <c r="H4494">
        <v>-281800020</v>
      </c>
      <c r="I4494">
        <v>-111316675</v>
      </c>
      <c r="J4494">
        <v>-398360000</v>
      </c>
      <c r="K4494">
        <v>-147618779</v>
      </c>
      <c r="L4494">
        <v>-167136173</v>
      </c>
      <c r="M4494">
        <v>-32396886</v>
      </c>
      <c r="P4494">
        <v>1568</v>
      </c>
      <c r="Q4494" t="s">
        <v>9337</v>
      </c>
    </row>
    <row r="4495" spans="1:17" x14ac:dyDescent="0.3">
      <c r="A4495" t="s">
        <v>17</v>
      </c>
      <c r="B4495" t="str">
        <f>"603515"</f>
        <v>603515</v>
      </c>
      <c r="C4495" t="s">
        <v>9338</v>
      </c>
      <c r="D4495" t="s">
        <v>1955</v>
      </c>
      <c r="E4495">
        <v>-855311464</v>
      </c>
      <c r="F4495">
        <v>-845454311</v>
      </c>
      <c r="G4495">
        <v>-897803518</v>
      </c>
      <c r="H4495">
        <v>-298269240</v>
      </c>
      <c r="I4495">
        <v>-216917466</v>
      </c>
      <c r="J4495">
        <v>-181113763</v>
      </c>
      <c r="K4495">
        <v>12605600</v>
      </c>
      <c r="L4495">
        <v>-275234900</v>
      </c>
      <c r="P4495">
        <v>2557</v>
      </c>
      <c r="Q4495" t="s">
        <v>9339</v>
      </c>
    </row>
    <row r="4496" spans="1:17" x14ac:dyDescent="0.3">
      <c r="A4496" t="s">
        <v>33</v>
      </c>
      <c r="B4496" t="str">
        <f>"001914"</f>
        <v>001914</v>
      </c>
      <c r="C4496" t="s">
        <v>9340</v>
      </c>
      <c r="D4496" t="s">
        <v>2398</v>
      </c>
      <c r="E4496">
        <v>-857664568</v>
      </c>
      <c r="F4496">
        <v>-712364522</v>
      </c>
      <c r="G4496">
        <v>-816698656</v>
      </c>
      <c r="H4496">
        <v>-686664691</v>
      </c>
      <c r="I4496">
        <v>-151120551</v>
      </c>
      <c r="J4496">
        <v>567050344</v>
      </c>
      <c r="K4496">
        <v>-421304640</v>
      </c>
      <c r="L4496">
        <v>-521109874</v>
      </c>
      <c r="M4496">
        <v>-2122493643</v>
      </c>
      <c r="N4496">
        <v>-553615771</v>
      </c>
      <c r="O4496">
        <v>-474998384</v>
      </c>
      <c r="P4496">
        <v>264</v>
      </c>
      <c r="Q4496" t="s">
        <v>9341</v>
      </c>
    </row>
    <row r="4497" spans="1:17" x14ac:dyDescent="0.3">
      <c r="A4497" t="s">
        <v>17</v>
      </c>
      <c r="B4497" t="str">
        <f>"603906"</f>
        <v>603906</v>
      </c>
      <c r="C4497" t="s">
        <v>9342</v>
      </c>
      <c r="D4497" t="s">
        <v>418</v>
      </c>
      <c r="E4497">
        <v>-866001096</v>
      </c>
      <c r="F4497">
        <v>92014340</v>
      </c>
      <c r="G4497">
        <v>155210692</v>
      </c>
      <c r="H4497">
        <v>111610565</v>
      </c>
      <c r="I4497">
        <v>78736070</v>
      </c>
      <c r="J4497">
        <v>34020701</v>
      </c>
      <c r="K4497">
        <v>32695365</v>
      </c>
      <c r="P4497">
        <v>185</v>
      </c>
      <c r="Q4497" t="s">
        <v>9343</v>
      </c>
    </row>
    <row r="4498" spans="1:17" x14ac:dyDescent="0.3">
      <c r="A4498" t="s">
        <v>33</v>
      </c>
      <c r="B4498" t="str">
        <f>"000065"</f>
        <v>000065</v>
      </c>
      <c r="C4498" t="s">
        <v>9344</v>
      </c>
      <c r="D4498" t="s">
        <v>8165</v>
      </c>
      <c r="E4498">
        <v>-881411173</v>
      </c>
      <c r="F4498">
        <v>-526590047</v>
      </c>
      <c r="G4498">
        <v>-525386133</v>
      </c>
      <c r="H4498">
        <v>-228798334</v>
      </c>
      <c r="I4498">
        <v>-307744757</v>
      </c>
      <c r="J4498">
        <v>1007629271</v>
      </c>
      <c r="K4498">
        <v>-125184146</v>
      </c>
      <c r="L4498">
        <v>-355585723</v>
      </c>
      <c r="M4498">
        <v>-214094031</v>
      </c>
      <c r="N4498">
        <v>140658709</v>
      </c>
      <c r="O4498">
        <v>4501876</v>
      </c>
      <c r="P4498">
        <v>394</v>
      </c>
      <c r="Q4498" t="s">
        <v>9345</v>
      </c>
    </row>
    <row r="4499" spans="1:17" x14ac:dyDescent="0.3">
      <c r="A4499" t="s">
        <v>17</v>
      </c>
      <c r="B4499" t="str">
        <f>"600320"</f>
        <v>600320</v>
      </c>
      <c r="C4499" t="s">
        <v>9346</v>
      </c>
      <c r="D4499" t="s">
        <v>1132</v>
      </c>
      <c r="E4499">
        <v>-891161550</v>
      </c>
      <c r="F4499">
        <v>21625922</v>
      </c>
      <c r="G4499">
        <v>-375004585</v>
      </c>
      <c r="H4499">
        <v>59817552</v>
      </c>
      <c r="I4499">
        <v>20699815</v>
      </c>
      <c r="J4499">
        <v>581290268</v>
      </c>
      <c r="K4499">
        <v>384687691</v>
      </c>
      <c r="L4499">
        <v>-1411408163</v>
      </c>
      <c r="M4499">
        <v>-725904099</v>
      </c>
      <c r="N4499">
        <v>-454843739</v>
      </c>
      <c r="O4499">
        <v>-291555352</v>
      </c>
      <c r="P4499">
        <v>190</v>
      </c>
      <c r="Q4499" t="s">
        <v>9347</v>
      </c>
    </row>
    <row r="4500" spans="1:17" x14ac:dyDescent="0.3">
      <c r="A4500" t="s">
        <v>17</v>
      </c>
      <c r="B4500" t="str">
        <f>"600056"</f>
        <v>600056</v>
      </c>
      <c r="C4500" t="s">
        <v>9348</v>
      </c>
      <c r="D4500" t="s">
        <v>415</v>
      </c>
      <c r="E4500">
        <v>-901941859</v>
      </c>
      <c r="F4500">
        <v>-588255884</v>
      </c>
      <c r="G4500">
        <v>-1272710927</v>
      </c>
      <c r="H4500">
        <v>-1393799391</v>
      </c>
      <c r="I4500">
        <v>-1447486629</v>
      </c>
      <c r="J4500">
        <v>-654440294</v>
      </c>
      <c r="K4500">
        <v>-664859002</v>
      </c>
      <c r="L4500">
        <v>-738053131</v>
      </c>
      <c r="M4500">
        <v>-372629994</v>
      </c>
      <c r="N4500">
        <v>-512450756</v>
      </c>
      <c r="O4500">
        <v>-360621595</v>
      </c>
      <c r="P4500">
        <v>890</v>
      </c>
      <c r="Q4500" t="s">
        <v>9349</v>
      </c>
    </row>
    <row r="4501" spans="1:17" x14ac:dyDescent="0.3">
      <c r="A4501" t="s">
        <v>17</v>
      </c>
      <c r="B4501" t="str">
        <f>"600871"</f>
        <v>600871</v>
      </c>
      <c r="C4501" t="s">
        <v>9350</v>
      </c>
      <c r="D4501" t="s">
        <v>348</v>
      </c>
      <c r="E4501">
        <v>-902539000</v>
      </c>
      <c r="F4501">
        <v>-385477000</v>
      </c>
      <c r="G4501">
        <v>-1184219000</v>
      </c>
      <c r="H4501">
        <v>-1119740000</v>
      </c>
      <c r="I4501">
        <v>-1864850000</v>
      </c>
      <c r="J4501">
        <v>-1312169000</v>
      </c>
      <c r="K4501">
        <v>-1953173000</v>
      </c>
      <c r="L4501">
        <v>-1879255000</v>
      </c>
      <c r="M4501">
        <v>159567000</v>
      </c>
      <c r="N4501">
        <v>-500786000</v>
      </c>
      <c r="O4501">
        <v>-501103000</v>
      </c>
      <c r="P4501">
        <v>172</v>
      </c>
      <c r="Q4501" t="s">
        <v>9351</v>
      </c>
    </row>
    <row r="4502" spans="1:17" x14ac:dyDescent="0.3">
      <c r="A4502" t="s">
        <v>17</v>
      </c>
      <c r="B4502" t="str">
        <f>"600638"</f>
        <v>600638</v>
      </c>
      <c r="C4502" t="s">
        <v>9352</v>
      </c>
      <c r="D4502" t="s">
        <v>167</v>
      </c>
      <c r="E4502">
        <v>-914524029</v>
      </c>
      <c r="F4502">
        <v>93787406</v>
      </c>
      <c r="G4502">
        <v>-365860626</v>
      </c>
      <c r="H4502">
        <v>-710720769</v>
      </c>
      <c r="I4502">
        <v>-634584961</v>
      </c>
      <c r="J4502">
        <v>-376123164</v>
      </c>
      <c r="K4502">
        <v>37074678</v>
      </c>
      <c r="L4502">
        <v>171199267</v>
      </c>
      <c r="M4502">
        <v>-148679687</v>
      </c>
      <c r="N4502">
        <v>-189131692</v>
      </c>
      <c r="O4502">
        <v>-120675896</v>
      </c>
      <c r="P4502">
        <v>106</v>
      </c>
      <c r="Q4502" t="s">
        <v>9353</v>
      </c>
    </row>
    <row r="4503" spans="1:17" x14ac:dyDescent="0.3">
      <c r="A4503" t="s">
        <v>33</v>
      </c>
      <c r="B4503" t="str">
        <f>"002387"</f>
        <v>002387</v>
      </c>
      <c r="C4503" t="s">
        <v>9354</v>
      </c>
      <c r="D4503" t="s">
        <v>102</v>
      </c>
      <c r="E4503">
        <v>-914779095</v>
      </c>
      <c r="F4503">
        <v>693674791</v>
      </c>
      <c r="G4503">
        <v>-361409529</v>
      </c>
      <c r="H4503">
        <v>-498883324</v>
      </c>
      <c r="I4503">
        <v>-114075245</v>
      </c>
      <c r="J4503">
        <v>-21519130</v>
      </c>
      <c r="K4503">
        <v>-69345119</v>
      </c>
      <c r="L4503">
        <v>9063976</v>
      </c>
      <c r="M4503">
        <v>-102895044</v>
      </c>
      <c r="N4503">
        <v>-31328762</v>
      </c>
      <c r="O4503">
        <v>-94759366</v>
      </c>
      <c r="P4503">
        <v>274</v>
      </c>
      <c r="Q4503" t="s">
        <v>9355</v>
      </c>
    </row>
    <row r="4504" spans="1:17" x14ac:dyDescent="0.3">
      <c r="A4504" t="s">
        <v>17</v>
      </c>
      <c r="B4504" t="str">
        <f>"601399"</f>
        <v>601399</v>
      </c>
      <c r="C4504" t="s">
        <v>9356</v>
      </c>
      <c r="D4504" t="s">
        <v>1132</v>
      </c>
      <c r="E4504">
        <v>-920493323</v>
      </c>
      <c r="F4504">
        <v>-108109096</v>
      </c>
      <c r="G4504">
        <v>-522394471</v>
      </c>
      <c r="M4504">
        <v>-175935719</v>
      </c>
      <c r="N4504">
        <v>-477692765</v>
      </c>
      <c r="O4504">
        <v>-750483388</v>
      </c>
      <c r="P4504">
        <v>53</v>
      </c>
      <c r="Q4504" t="s">
        <v>9357</v>
      </c>
    </row>
    <row r="4505" spans="1:17" x14ac:dyDescent="0.3">
      <c r="A4505" t="s">
        <v>17</v>
      </c>
      <c r="B4505" t="str">
        <f>"600718"</f>
        <v>600718</v>
      </c>
      <c r="C4505" t="s">
        <v>9358</v>
      </c>
      <c r="D4505" t="s">
        <v>508</v>
      </c>
      <c r="E4505">
        <v>-922905793</v>
      </c>
      <c r="F4505">
        <v>-831089988</v>
      </c>
      <c r="G4505">
        <v>-940634460</v>
      </c>
      <c r="H4505">
        <v>-1315766795</v>
      </c>
      <c r="I4505">
        <v>-1166836590</v>
      </c>
      <c r="J4505">
        <v>-1245217887</v>
      </c>
      <c r="K4505">
        <v>-1101591434</v>
      </c>
      <c r="L4505">
        <v>-785510739</v>
      </c>
      <c r="M4505">
        <v>-862683934</v>
      </c>
      <c r="N4505">
        <v>-835536964</v>
      </c>
      <c r="O4505">
        <v>-665657413</v>
      </c>
      <c r="P4505">
        <v>396</v>
      </c>
      <c r="Q4505" t="s">
        <v>9359</v>
      </c>
    </row>
    <row r="4506" spans="1:17" x14ac:dyDescent="0.3">
      <c r="A4506" t="s">
        <v>17</v>
      </c>
      <c r="B4506" t="str">
        <f>"600629"</f>
        <v>600629</v>
      </c>
      <c r="C4506" t="s">
        <v>9360</v>
      </c>
      <c r="D4506" t="s">
        <v>4300</v>
      </c>
      <c r="E4506">
        <v>-929721727</v>
      </c>
      <c r="F4506">
        <v>-644475732</v>
      </c>
      <c r="G4506">
        <v>-500038319</v>
      </c>
      <c r="H4506">
        <v>-468875660</v>
      </c>
      <c r="I4506">
        <v>-446888952</v>
      </c>
      <c r="J4506">
        <v>-445105531</v>
      </c>
      <c r="K4506">
        <v>-372755478</v>
      </c>
      <c r="L4506">
        <v>46870412</v>
      </c>
      <c r="M4506">
        <v>-5468771</v>
      </c>
      <c r="N4506">
        <v>-6708642</v>
      </c>
      <c r="O4506">
        <v>69759093</v>
      </c>
      <c r="P4506">
        <v>151</v>
      </c>
      <c r="Q4506" t="s">
        <v>9361</v>
      </c>
    </row>
    <row r="4507" spans="1:17" x14ac:dyDescent="0.3">
      <c r="A4507" t="s">
        <v>17</v>
      </c>
      <c r="B4507" t="str">
        <f>"600973"</f>
        <v>600973</v>
      </c>
      <c r="C4507" t="s">
        <v>9362</v>
      </c>
      <c r="D4507" t="s">
        <v>1282</v>
      </c>
      <c r="E4507">
        <v>-931269531</v>
      </c>
      <c r="F4507">
        <v>-1349350770</v>
      </c>
      <c r="G4507">
        <v>-905325303</v>
      </c>
      <c r="H4507">
        <v>670653203</v>
      </c>
      <c r="I4507">
        <v>-866305611</v>
      </c>
      <c r="J4507">
        <v>-1776458236</v>
      </c>
      <c r="K4507">
        <v>-507677033</v>
      </c>
      <c r="L4507">
        <v>-391584280</v>
      </c>
      <c r="M4507">
        <v>-121239668</v>
      </c>
      <c r="N4507">
        <v>-292789138</v>
      </c>
      <c r="O4507">
        <v>35139457</v>
      </c>
      <c r="P4507">
        <v>116</v>
      </c>
      <c r="Q4507" t="s">
        <v>9363</v>
      </c>
    </row>
    <row r="4508" spans="1:17" x14ac:dyDescent="0.3">
      <c r="A4508" t="s">
        <v>33</v>
      </c>
      <c r="B4508" t="str">
        <f>"000544"</f>
        <v>000544</v>
      </c>
      <c r="C4508" t="s">
        <v>9364</v>
      </c>
      <c r="D4508" t="s">
        <v>932</v>
      </c>
      <c r="E4508">
        <v>-931572961</v>
      </c>
      <c r="F4508">
        <v>57808347</v>
      </c>
      <c r="G4508">
        <v>-135928245</v>
      </c>
      <c r="H4508">
        <v>226350338</v>
      </c>
      <c r="I4508">
        <v>109412087</v>
      </c>
      <c r="J4508">
        <v>-40215033</v>
      </c>
      <c r="K4508">
        <v>-44593153</v>
      </c>
      <c r="L4508">
        <v>-48837510</v>
      </c>
      <c r="M4508">
        <v>-43284238</v>
      </c>
      <c r="N4508">
        <v>-46177525</v>
      </c>
      <c r="O4508">
        <v>-84763757</v>
      </c>
      <c r="P4508">
        <v>247</v>
      </c>
      <c r="Q4508" t="s">
        <v>9365</v>
      </c>
    </row>
    <row r="4509" spans="1:17" x14ac:dyDescent="0.3">
      <c r="A4509" t="s">
        <v>33</v>
      </c>
      <c r="B4509" t="str">
        <f>"002307"</f>
        <v>002307</v>
      </c>
      <c r="C4509" t="s">
        <v>9366</v>
      </c>
      <c r="D4509" t="s">
        <v>1527</v>
      </c>
      <c r="E4509">
        <v>-940518472</v>
      </c>
      <c r="F4509">
        <v>-783057146</v>
      </c>
      <c r="G4509">
        <v>-455139090</v>
      </c>
      <c r="H4509">
        <v>-501698108</v>
      </c>
      <c r="I4509">
        <v>-245770326</v>
      </c>
      <c r="J4509">
        <v>-267233776</v>
      </c>
      <c r="K4509">
        <v>-54318082</v>
      </c>
      <c r="L4509">
        <v>-248765490</v>
      </c>
      <c r="M4509">
        <v>-82374075</v>
      </c>
      <c r="N4509">
        <v>-139494320</v>
      </c>
      <c r="O4509">
        <v>-27674199</v>
      </c>
      <c r="P4509">
        <v>90</v>
      </c>
      <c r="Q4509" t="s">
        <v>9367</v>
      </c>
    </row>
    <row r="4510" spans="1:17" x14ac:dyDescent="0.3">
      <c r="A4510" t="s">
        <v>33</v>
      </c>
      <c r="B4510" t="str">
        <f>"200011"</f>
        <v>200011</v>
      </c>
      <c r="C4510" t="s">
        <v>9368</v>
      </c>
      <c r="E4510">
        <v>-940788046.97800004</v>
      </c>
      <c r="F4510">
        <v>98565902.736000001</v>
      </c>
      <c r="G4510">
        <v>-665912250.90330005</v>
      </c>
      <c r="H4510">
        <v>-75428539.769700006</v>
      </c>
      <c r="I4510">
        <v>-120929522.46799999</v>
      </c>
      <c r="J4510">
        <v>-285405739.5158</v>
      </c>
      <c r="K4510">
        <v>1054194433.6944</v>
      </c>
      <c r="L4510">
        <v>-162042970</v>
      </c>
      <c r="M4510">
        <v>-41813242.954400003</v>
      </c>
      <c r="N4510">
        <v>117908677.8426</v>
      </c>
      <c r="O4510">
        <v>306654082.47899997</v>
      </c>
      <c r="P4510">
        <v>176</v>
      </c>
      <c r="Q4510" t="s">
        <v>9369</v>
      </c>
    </row>
    <row r="4511" spans="1:17" x14ac:dyDescent="0.3">
      <c r="A4511" t="s">
        <v>33</v>
      </c>
      <c r="B4511" t="str">
        <f>"002065"</f>
        <v>002065</v>
      </c>
      <c r="C4511" t="s">
        <v>9370</v>
      </c>
      <c r="D4511" t="s">
        <v>508</v>
      </c>
      <c r="E4511">
        <v>-946226887</v>
      </c>
      <c r="F4511">
        <v>-867003630</v>
      </c>
      <c r="G4511">
        <v>-634652320</v>
      </c>
      <c r="H4511">
        <v>-845178960</v>
      </c>
      <c r="I4511">
        <v>-724780145</v>
      </c>
      <c r="J4511">
        <v>-570480540</v>
      </c>
      <c r="K4511">
        <v>-634216384</v>
      </c>
      <c r="L4511">
        <v>-480421081</v>
      </c>
      <c r="M4511">
        <v>-439708881</v>
      </c>
      <c r="N4511">
        <v>-154970993</v>
      </c>
      <c r="O4511">
        <v>-164329237</v>
      </c>
      <c r="P4511">
        <v>942</v>
      </c>
      <c r="Q4511" t="s">
        <v>9371</v>
      </c>
    </row>
    <row r="4512" spans="1:17" x14ac:dyDescent="0.3">
      <c r="A4512" t="s">
        <v>33</v>
      </c>
      <c r="B4512" t="str">
        <f>"002385"</f>
        <v>002385</v>
      </c>
      <c r="C4512" t="s">
        <v>9372</v>
      </c>
      <c r="D4512" t="s">
        <v>1825</v>
      </c>
      <c r="E4512">
        <v>-950214638</v>
      </c>
      <c r="F4512">
        <v>-396086297</v>
      </c>
      <c r="G4512">
        <v>-75046967</v>
      </c>
      <c r="H4512">
        <v>-234469670</v>
      </c>
      <c r="I4512">
        <v>-736025173</v>
      </c>
      <c r="J4512">
        <v>-588239354</v>
      </c>
      <c r="K4512">
        <v>-537126971</v>
      </c>
      <c r="L4512">
        <v>-683818208</v>
      </c>
      <c r="M4512">
        <v>-620839120</v>
      </c>
      <c r="N4512">
        <v>-225788362</v>
      </c>
      <c r="O4512">
        <v>-184530251</v>
      </c>
      <c r="P4512">
        <v>890</v>
      </c>
      <c r="Q4512" t="s">
        <v>9373</v>
      </c>
    </row>
    <row r="4513" spans="1:17" x14ac:dyDescent="0.3">
      <c r="A4513" t="s">
        <v>33</v>
      </c>
      <c r="B4513" t="str">
        <f>"300428"</f>
        <v>300428</v>
      </c>
      <c r="C4513" t="s">
        <v>9374</v>
      </c>
      <c r="D4513" t="s">
        <v>1618</v>
      </c>
      <c r="E4513">
        <v>-951100594</v>
      </c>
      <c r="F4513">
        <v>-339740902</v>
      </c>
      <c r="G4513">
        <v>120427799</v>
      </c>
      <c r="H4513">
        <v>64914241</v>
      </c>
      <c r="I4513">
        <v>-70135344</v>
      </c>
      <c r="J4513">
        <v>-12759694</v>
      </c>
      <c r="K4513">
        <v>-28704802</v>
      </c>
      <c r="L4513">
        <v>-23518313</v>
      </c>
      <c r="M4513">
        <v>-23835488</v>
      </c>
      <c r="P4513">
        <v>171</v>
      </c>
      <c r="Q4513" t="s">
        <v>9375</v>
      </c>
    </row>
    <row r="4514" spans="1:17" x14ac:dyDescent="0.3">
      <c r="A4514" t="s">
        <v>33</v>
      </c>
      <c r="B4514" t="str">
        <f>"002110"</f>
        <v>002110</v>
      </c>
      <c r="C4514" t="s">
        <v>9376</v>
      </c>
      <c r="D4514" t="s">
        <v>872</v>
      </c>
      <c r="E4514">
        <v>-952134243</v>
      </c>
      <c r="F4514">
        <v>-3513035636</v>
      </c>
      <c r="G4514">
        <v>165159296</v>
      </c>
      <c r="H4514">
        <v>544782950</v>
      </c>
      <c r="I4514">
        <v>140708286</v>
      </c>
      <c r="J4514">
        <v>630479231</v>
      </c>
      <c r="K4514">
        <v>448328968</v>
      </c>
      <c r="L4514">
        <v>429479290</v>
      </c>
      <c r="M4514">
        <v>910787984</v>
      </c>
      <c r="N4514">
        <v>143357302</v>
      </c>
      <c r="O4514">
        <v>-704033568</v>
      </c>
      <c r="P4514">
        <v>1174</v>
      </c>
      <c r="Q4514" t="s">
        <v>9377</v>
      </c>
    </row>
    <row r="4515" spans="1:17" x14ac:dyDescent="0.3">
      <c r="A4515" t="s">
        <v>17</v>
      </c>
      <c r="B4515" t="str">
        <f>"600387"</f>
        <v>600387</v>
      </c>
      <c r="C4515" t="s">
        <v>9378</v>
      </c>
      <c r="D4515" t="s">
        <v>323</v>
      </c>
      <c r="E4515">
        <v>-953091406</v>
      </c>
      <c r="F4515">
        <v>-1133497826</v>
      </c>
      <c r="G4515">
        <v>-27058977</v>
      </c>
      <c r="H4515">
        <v>28993235</v>
      </c>
      <c r="I4515">
        <v>233044029</v>
      </c>
      <c r="J4515">
        <v>-213499336</v>
      </c>
      <c r="K4515">
        <v>71412814</v>
      </c>
      <c r="L4515">
        <v>-128525429</v>
      </c>
      <c r="M4515">
        <v>-150006213</v>
      </c>
      <c r="N4515">
        <v>44944097</v>
      </c>
      <c r="O4515">
        <v>-45802587</v>
      </c>
      <c r="P4515">
        <v>116</v>
      </c>
      <c r="Q4515" t="s">
        <v>9379</v>
      </c>
    </row>
    <row r="4516" spans="1:17" x14ac:dyDescent="0.3">
      <c r="A4516" t="s">
        <v>17</v>
      </c>
      <c r="B4516" t="str">
        <f>"603156"</f>
        <v>603156</v>
      </c>
      <c r="C4516" t="s">
        <v>9380</v>
      </c>
      <c r="D4516" t="s">
        <v>1187</v>
      </c>
      <c r="E4516">
        <v>-957285180</v>
      </c>
      <c r="F4516">
        <v>-612409274</v>
      </c>
      <c r="G4516">
        <v>-711422409</v>
      </c>
      <c r="H4516">
        <v>-978752641</v>
      </c>
      <c r="I4516">
        <v>-771537294</v>
      </c>
      <c r="J4516">
        <v>-1492676236</v>
      </c>
      <c r="P4516">
        <v>1235</v>
      </c>
      <c r="Q4516" t="s">
        <v>9381</v>
      </c>
    </row>
    <row r="4517" spans="1:17" x14ac:dyDescent="0.3">
      <c r="A4517" t="s">
        <v>17</v>
      </c>
      <c r="B4517" t="str">
        <f>"688561"</f>
        <v>688561</v>
      </c>
      <c r="C4517" t="s">
        <v>9382</v>
      </c>
      <c r="D4517" t="s">
        <v>1713</v>
      </c>
      <c r="E4517">
        <v>-969153552</v>
      </c>
      <c r="F4517">
        <v>-638413497</v>
      </c>
      <c r="G4517">
        <v>-377109031</v>
      </c>
      <c r="H4517">
        <v>-472393091</v>
      </c>
      <c r="P4517">
        <v>192</v>
      </c>
      <c r="Q4517" t="s">
        <v>9383</v>
      </c>
    </row>
    <row r="4518" spans="1:17" x14ac:dyDescent="0.3">
      <c r="A4518" t="s">
        <v>33</v>
      </c>
      <c r="B4518" t="str">
        <f>"300244"</f>
        <v>300244</v>
      </c>
      <c r="C4518" t="s">
        <v>9384</v>
      </c>
      <c r="D4518" t="s">
        <v>2198</v>
      </c>
      <c r="E4518">
        <v>-973140105</v>
      </c>
      <c r="F4518">
        <v>-410932426</v>
      </c>
      <c r="G4518">
        <v>-319876954</v>
      </c>
      <c r="H4518">
        <v>-245585813</v>
      </c>
      <c r="I4518">
        <v>-295522613</v>
      </c>
      <c r="J4518">
        <v>-207779966</v>
      </c>
      <c r="K4518">
        <v>-96757002</v>
      </c>
      <c r="L4518">
        <v>-49432973</v>
      </c>
      <c r="M4518">
        <v>-16806623</v>
      </c>
      <c r="N4518">
        <v>-38181402</v>
      </c>
      <c r="O4518">
        <v>-69872293</v>
      </c>
      <c r="P4518">
        <v>1268</v>
      </c>
      <c r="Q4518" t="s">
        <v>9385</v>
      </c>
    </row>
    <row r="4519" spans="1:17" x14ac:dyDescent="0.3">
      <c r="A4519" t="s">
        <v>17</v>
      </c>
      <c r="B4519" t="str">
        <f>"600500"</f>
        <v>600500</v>
      </c>
      <c r="C4519" t="s">
        <v>9386</v>
      </c>
      <c r="D4519" t="s">
        <v>418</v>
      </c>
      <c r="E4519">
        <v>-974721204</v>
      </c>
      <c r="F4519">
        <v>-2548549483</v>
      </c>
      <c r="G4519">
        <v>-1123220333</v>
      </c>
      <c r="H4519">
        <v>-930147226</v>
      </c>
      <c r="I4519">
        <v>-1869539771</v>
      </c>
      <c r="J4519">
        <v>-1896661930</v>
      </c>
      <c r="K4519">
        <v>23885049</v>
      </c>
      <c r="L4519">
        <v>-2039340236</v>
      </c>
      <c r="M4519">
        <v>-262125295</v>
      </c>
      <c r="N4519">
        <v>-656493232</v>
      </c>
      <c r="O4519">
        <v>-2270861943</v>
      </c>
      <c r="P4519">
        <v>285</v>
      </c>
      <c r="Q4519" t="s">
        <v>9387</v>
      </c>
    </row>
    <row r="4520" spans="1:17" x14ac:dyDescent="0.3">
      <c r="A4520" t="s">
        <v>33</v>
      </c>
      <c r="B4520" t="str">
        <f>"000600"</f>
        <v>000600</v>
      </c>
      <c r="C4520" t="s">
        <v>9388</v>
      </c>
      <c r="D4520" t="s">
        <v>145</v>
      </c>
      <c r="E4520">
        <v>-994651547</v>
      </c>
      <c r="F4520">
        <v>534582229</v>
      </c>
      <c r="G4520">
        <v>506531426</v>
      </c>
      <c r="H4520">
        <v>634883788</v>
      </c>
      <c r="I4520">
        <v>648512443</v>
      </c>
      <c r="J4520">
        <v>-261824677</v>
      </c>
      <c r="K4520">
        <v>780083918</v>
      </c>
      <c r="L4520">
        <v>431328782</v>
      </c>
      <c r="M4520">
        <v>710583547</v>
      </c>
      <c r="N4520">
        <v>662516896</v>
      </c>
      <c r="O4520">
        <v>5606233</v>
      </c>
      <c r="P4520">
        <v>312</v>
      </c>
      <c r="Q4520" t="s">
        <v>9389</v>
      </c>
    </row>
    <row r="4521" spans="1:17" x14ac:dyDescent="0.3">
      <c r="A4521" t="s">
        <v>17</v>
      </c>
      <c r="B4521" t="str">
        <f>"600588"</f>
        <v>600588</v>
      </c>
      <c r="C4521" t="s">
        <v>9390</v>
      </c>
      <c r="D4521" t="s">
        <v>1713</v>
      </c>
      <c r="E4521">
        <v>-1003458167</v>
      </c>
      <c r="F4521">
        <v>-856423623</v>
      </c>
      <c r="G4521">
        <v>-990309202</v>
      </c>
      <c r="H4521">
        <v>-618102624</v>
      </c>
      <c r="I4521">
        <v>-500955270</v>
      </c>
      <c r="J4521">
        <v>-642078558</v>
      </c>
      <c r="K4521">
        <v>-528358952</v>
      </c>
      <c r="L4521">
        <v>-515709624</v>
      </c>
      <c r="M4521">
        <v>-506261049</v>
      </c>
      <c r="N4521">
        <v>-447085188</v>
      </c>
      <c r="O4521">
        <v>-379533771</v>
      </c>
      <c r="P4521">
        <v>4576</v>
      </c>
      <c r="Q4521" t="s">
        <v>9391</v>
      </c>
    </row>
    <row r="4522" spans="1:17" x14ac:dyDescent="0.3">
      <c r="A4522" t="s">
        <v>33</v>
      </c>
      <c r="B4522" t="str">
        <f>"000860"</f>
        <v>000860</v>
      </c>
      <c r="C4522" t="s">
        <v>9392</v>
      </c>
      <c r="D4522" t="s">
        <v>229</v>
      </c>
      <c r="E4522">
        <v>-1005660549</v>
      </c>
      <c r="F4522">
        <v>-1205876128</v>
      </c>
      <c r="G4522">
        <v>-858282474</v>
      </c>
      <c r="H4522">
        <v>236571410</v>
      </c>
      <c r="I4522">
        <v>874021395</v>
      </c>
      <c r="J4522">
        <v>652270733</v>
      </c>
      <c r="K4522">
        <v>331375765</v>
      </c>
      <c r="L4522">
        <v>423678558</v>
      </c>
      <c r="M4522">
        <v>476721569</v>
      </c>
      <c r="N4522">
        <v>703756465</v>
      </c>
      <c r="O4522">
        <v>-26765821</v>
      </c>
      <c r="P4522">
        <v>1515</v>
      </c>
      <c r="Q4522" t="s">
        <v>9393</v>
      </c>
    </row>
    <row r="4523" spans="1:17" x14ac:dyDescent="0.3">
      <c r="A4523" t="s">
        <v>33</v>
      </c>
      <c r="B4523" t="str">
        <f>"000034"</f>
        <v>000034</v>
      </c>
      <c r="C4523" t="s">
        <v>9394</v>
      </c>
      <c r="D4523" t="s">
        <v>508</v>
      </c>
      <c r="E4523">
        <v>-1005853666</v>
      </c>
      <c r="F4523">
        <v>480740600</v>
      </c>
      <c r="G4523">
        <v>995352005</v>
      </c>
      <c r="H4523">
        <v>264844226</v>
      </c>
      <c r="I4523">
        <v>-152701046</v>
      </c>
      <c r="J4523">
        <v>-133329362</v>
      </c>
      <c r="K4523">
        <v>-20553276</v>
      </c>
      <c r="L4523">
        <v>-16266106</v>
      </c>
      <c r="M4523">
        <v>-7725051</v>
      </c>
      <c r="N4523">
        <v>-8417215</v>
      </c>
      <c r="O4523">
        <v>-8857144</v>
      </c>
      <c r="P4523">
        <v>412</v>
      </c>
      <c r="Q4523" t="s">
        <v>9395</v>
      </c>
    </row>
    <row r="4524" spans="1:17" x14ac:dyDescent="0.3">
      <c r="A4524" t="s">
        <v>33</v>
      </c>
      <c r="B4524" t="str">
        <f>"000911"</f>
        <v>000911</v>
      </c>
      <c r="C4524" t="s">
        <v>9396</v>
      </c>
      <c r="D4524" t="s">
        <v>1820</v>
      </c>
      <c r="E4524">
        <v>-1009731198</v>
      </c>
      <c r="F4524">
        <v>-120238594</v>
      </c>
      <c r="G4524">
        <v>-385088534</v>
      </c>
      <c r="H4524">
        <v>-355751330</v>
      </c>
      <c r="I4524">
        <v>-1146018242</v>
      </c>
      <c r="J4524">
        <v>-1191748651</v>
      </c>
      <c r="K4524">
        <v>-1021483925</v>
      </c>
      <c r="L4524">
        <v>-641913527</v>
      </c>
      <c r="M4524">
        <v>-497256667</v>
      </c>
      <c r="N4524">
        <v>-643609985</v>
      </c>
      <c r="O4524">
        <v>-568209262</v>
      </c>
      <c r="P4524">
        <v>334</v>
      </c>
      <c r="Q4524" t="s">
        <v>9397</v>
      </c>
    </row>
    <row r="4525" spans="1:17" x14ac:dyDescent="0.3">
      <c r="A4525" t="s">
        <v>17</v>
      </c>
      <c r="B4525" t="str">
        <f>"688009"</f>
        <v>688009</v>
      </c>
      <c r="C4525" t="s">
        <v>9398</v>
      </c>
      <c r="D4525" t="s">
        <v>1703</v>
      </c>
      <c r="E4525">
        <v>-1014920673</v>
      </c>
      <c r="F4525">
        <v>-1276606868</v>
      </c>
      <c r="G4525">
        <v>-1145721633</v>
      </c>
      <c r="H4525">
        <v>-1107082380</v>
      </c>
      <c r="I4525">
        <v>-370950030</v>
      </c>
      <c r="P4525">
        <v>201</v>
      </c>
      <c r="Q4525" t="s">
        <v>9399</v>
      </c>
    </row>
    <row r="4526" spans="1:17" x14ac:dyDescent="0.3">
      <c r="A4526" t="s">
        <v>33</v>
      </c>
      <c r="B4526" t="str">
        <f>"002941"</f>
        <v>002941</v>
      </c>
      <c r="C4526" t="s">
        <v>9400</v>
      </c>
      <c r="D4526" t="s">
        <v>1527</v>
      </c>
      <c r="E4526">
        <v>-1016645363</v>
      </c>
      <c r="F4526">
        <v>-570057186</v>
      </c>
      <c r="G4526">
        <v>-713904611</v>
      </c>
      <c r="H4526">
        <v>-777975605</v>
      </c>
      <c r="I4526">
        <v>-213871602</v>
      </c>
      <c r="P4526">
        <v>145</v>
      </c>
      <c r="Q4526" t="s">
        <v>9401</v>
      </c>
    </row>
    <row r="4527" spans="1:17" x14ac:dyDescent="0.3">
      <c r="A4527" t="s">
        <v>17</v>
      </c>
      <c r="B4527" t="str">
        <f>"603019"</f>
        <v>603019</v>
      </c>
      <c r="C4527" t="s">
        <v>9402</v>
      </c>
      <c r="D4527" t="s">
        <v>1571</v>
      </c>
      <c r="E4527">
        <v>-1022701005</v>
      </c>
      <c r="F4527">
        <v>-257988631</v>
      </c>
      <c r="G4527">
        <v>-46132087</v>
      </c>
      <c r="H4527">
        <v>680337558</v>
      </c>
      <c r="I4527">
        <v>-231003525</v>
      </c>
      <c r="J4527">
        <v>-65725632</v>
      </c>
      <c r="K4527">
        <v>-280415504</v>
      </c>
      <c r="L4527">
        <v>-330267640</v>
      </c>
      <c r="M4527">
        <v>-231073304</v>
      </c>
      <c r="P4527">
        <v>1206</v>
      </c>
      <c r="Q4527" t="s">
        <v>9403</v>
      </c>
    </row>
    <row r="4528" spans="1:17" x14ac:dyDescent="0.3">
      <c r="A4528" t="s">
        <v>17</v>
      </c>
      <c r="B4528" t="str">
        <f>"600515"</f>
        <v>600515</v>
      </c>
      <c r="C4528" t="s">
        <v>9404</v>
      </c>
      <c r="D4528" t="s">
        <v>167</v>
      </c>
      <c r="E4528">
        <v>-1027543918</v>
      </c>
      <c r="F4528">
        <v>343896846</v>
      </c>
      <c r="G4528">
        <v>268705506</v>
      </c>
      <c r="H4528">
        <v>1819157976</v>
      </c>
      <c r="I4528">
        <v>1775039800</v>
      </c>
      <c r="J4528">
        <v>43418276</v>
      </c>
      <c r="K4528">
        <v>51425546</v>
      </c>
      <c r="L4528">
        <v>59957784</v>
      </c>
      <c r="M4528">
        <v>108689059</v>
      </c>
      <c r="N4528">
        <v>14165706</v>
      </c>
      <c r="O4528">
        <v>-1411557</v>
      </c>
      <c r="P4528">
        <v>163</v>
      </c>
      <c r="Q4528" t="s">
        <v>9405</v>
      </c>
    </row>
    <row r="4529" spans="1:17" x14ac:dyDescent="0.3">
      <c r="A4529" t="s">
        <v>17</v>
      </c>
      <c r="B4529" t="str">
        <f>"600278"</f>
        <v>600278</v>
      </c>
      <c r="C4529" t="s">
        <v>9406</v>
      </c>
      <c r="D4529" t="s">
        <v>1592</v>
      </c>
      <c r="E4529">
        <v>-1028875747</v>
      </c>
      <c r="F4529">
        <v>-631069410</v>
      </c>
      <c r="G4529">
        <v>110730533</v>
      </c>
      <c r="H4529">
        <v>-182075351</v>
      </c>
      <c r="I4529">
        <v>-370697276</v>
      </c>
      <c r="J4529">
        <v>-168381365</v>
      </c>
      <c r="K4529">
        <v>153878773</v>
      </c>
      <c r="L4529">
        <v>153550149</v>
      </c>
      <c r="M4529">
        <v>-157187529</v>
      </c>
      <c r="N4529">
        <v>-23348213</v>
      </c>
      <c r="O4529">
        <v>15001798</v>
      </c>
      <c r="P4529">
        <v>90</v>
      </c>
      <c r="Q4529" t="s">
        <v>9407</v>
      </c>
    </row>
    <row r="4530" spans="1:17" x14ac:dyDescent="0.3">
      <c r="A4530" t="s">
        <v>33</v>
      </c>
      <c r="B4530" t="str">
        <f>"002311"</f>
        <v>002311</v>
      </c>
      <c r="C4530" t="s">
        <v>9408</v>
      </c>
      <c r="D4530" t="s">
        <v>8102</v>
      </c>
      <c r="E4530">
        <v>-1046616500</v>
      </c>
      <c r="F4530">
        <v>-834854929</v>
      </c>
      <c r="G4530">
        <v>-264442061</v>
      </c>
      <c r="H4530">
        <v>-678764342</v>
      </c>
      <c r="I4530">
        <v>147825656</v>
      </c>
      <c r="J4530">
        <v>-271051793</v>
      </c>
      <c r="K4530">
        <v>425881911</v>
      </c>
      <c r="L4530">
        <v>25347968</v>
      </c>
      <c r="M4530">
        <v>992371075</v>
      </c>
      <c r="N4530">
        <v>205144937</v>
      </c>
      <c r="O4530">
        <v>379647403</v>
      </c>
      <c r="P4530">
        <v>1933</v>
      </c>
      <c r="Q4530" t="s">
        <v>9409</v>
      </c>
    </row>
    <row r="4531" spans="1:17" x14ac:dyDescent="0.3">
      <c r="A4531" t="s">
        <v>17</v>
      </c>
      <c r="B4531" t="str">
        <f>"600501"</f>
        <v>600501</v>
      </c>
      <c r="C4531" t="s">
        <v>9410</v>
      </c>
      <c r="D4531" t="s">
        <v>1895</v>
      </c>
      <c r="E4531">
        <v>-1047491164</v>
      </c>
      <c r="F4531">
        <v>-520618608</v>
      </c>
      <c r="G4531">
        <v>516600603</v>
      </c>
      <c r="H4531">
        <v>-353204203</v>
      </c>
      <c r="I4531">
        <v>-388617637</v>
      </c>
      <c r="J4531">
        <v>-284383544</v>
      </c>
      <c r="K4531">
        <v>-162653299</v>
      </c>
      <c r="L4531">
        <v>-125731001</v>
      </c>
      <c r="M4531">
        <v>-235323351</v>
      </c>
      <c r="N4531">
        <v>-100979043</v>
      </c>
      <c r="O4531">
        <v>-164927078</v>
      </c>
      <c r="P4531">
        <v>117</v>
      </c>
      <c r="Q4531" t="s">
        <v>9411</v>
      </c>
    </row>
    <row r="4532" spans="1:17" x14ac:dyDescent="0.3">
      <c r="A4532" t="s">
        <v>33</v>
      </c>
      <c r="B4532" t="str">
        <f>"002999"</f>
        <v>002999</v>
      </c>
      <c r="C4532" t="s">
        <v>9412</v>
      </c>
      <c r="D4532" t="s">
        <v>610</v>
      </c>
      <c r="E4532">
        <v>-1049082322</v>
      </c>
      <c r="F4532">
        <v>-921106613</v>
      </c>
      <c r="G4532">
        <v>-234946950</v>
      </c>
      <c r="P4532">
        <v>45</v>
      </c>
      <c r="Q4532" t="s">
        <v>9413</v>
      </c>
    </row>
    <row r="4533" spans="1:17" x14ac:dyDescent="0.3">
      <c r="A4533" t="s">
        <v>33</v>
      </c>
      <c r="B4533" t="str">
        <f>"002797"</f>
        <v>002797</v>
      </c>
      <c r="C4533" t="s">
        <v>9414</v>
      </c>
      <c r="D4533" t="s">
        <v>52</v>
      </c>
      <c r="E4533">
        <v>-1051833937</v>
      </c>
      <c r="F4533">
        <v>994640164</v>
      </c>
      <c r="G4533">
        <v>1540427333</v>
      </c>
      <c r="H4533">
        <v>3849081518</v>
      </c>
      <c r="I4533">
        <v>-100972739</v>
      </c>
      <c r="J4533">
        <v>9326212</v>
      </c>
      <c r="K4533">
        <v>-1112776841</v>
      </c>
      <c r="L4533">
        <v>1458681396</v>
      </c>
      <c r="P4533">
        <v>838</v>
      </c>
      <c r="Q4533" t="s">
        <v>9415</v>
      </c>
    </row>
    <row r="4534" spans="1:17" x14ac:dyDescent="0.3">
      <c r="A4534" t="s">
        <v>33</v>
      </c>
      <c r="B4534" t="str">
        <f>"000521"</f>
        <v>000521</v>
      </c>
      <c r="C4534" t="s">
        <v>9416</v>
      </c>
      <c r="D4534" t="s">
        <v>474</v>
      </c>
      <c r="E4534">
        <v>-1064503447</v>
      </c>
      <c r="F4534">
        <v>-968522458</v>
      </c>
      <c r="G4534">
        <v>-1003451133</v>
      </c>
      <c r="H4534">
        <v>-921543887</v>
      </c>
      <c r="I4534">
        <v>-771375312</v>
      </c>
      <c r="J4534">
        <v>551271013</v>
      </c>
      <c r="K4534">
        <v>139597747</v>
      </c>
      <c r="L4534">
        <v>-126760953</v>
      </c>
      <c r="M4534">
        <v>-308282103</v>
      </c>
      <c r="N4534">
        <v>-89944370</v>
      </c>
      <c r="O4534">
        <v>-131391287</v>
      </c>
      <c r="P4534">
        <v>181</v>
      </c>
      <c r="Q4534" t="s">
        <v>9417</v>
      </c>
    </row>
    <row r="4535" spans="1:17" x14ac:dyDescent="0.3">
      <c r="A4535" t="s">
        <v>33</v>
      </c>
      <c r="B4535" t="str">
        <f>"002221"</f>
        <v>002221</v>
      </c>
      <c r="C4535" t="s">
        <v>9418</v>
      </c>
      <c r="D4535" t="s">
        <v>732</v>
      </c>
      <c r="E4535">
        <v>-1069835817</v>
      </c>
      <c r="F4535">
        <v>-303206942</v>
      </c>
      <c r="G4535">
        <v>-829243437</v>
      </c>
      <c r="H4535">
        <v>-119129607</v>
      </c>
      <c r="I4535">
        <v>-325478852</v>
      </c>
      <c r="J4535">
        <v>-345413054</v>
      </c>
      <c r="K4535">
        <v>-359273584</v>
      </c>
      <c r="L4535">
        <v>-943744658</v>
      </c>
      <c r="M4535">
        <v>982453934</v>
      </c>
      <c r="N4535">
        <v>514224419</v>
      </c>
      <c r="O4535">
        <v>103356957</v>
      </c>
      <c r="P4535">
        <v>390</v>
      </c>
      <c r="Q4535" t="s">
        <v>9419</v>
      </c>
    </row>
    <row r="4536" spans="1:17" x14ac:dyDescent="0.3">
      <c r="A4536" t="s">
        <v>17</v>
      </c>
      <c r="B4536" t="str">
        <f>"601375"</f>
        <v>601375</v>
      </c>
      <c r="C4536" t="s">
        <v>9420</v>
      </c>
      <c r="D4536" t="s">
        <v>52</v>
      </c>
      <c r="E4536">
        <v>-1071347955</v>
      </c>
      <c r="F4536">
        <v>87066272</v>
      </c>
      <c r="G4536">
        <v>1186948898</v>
      </c>
      <c r="H4536">
        <v>3407530938</v>
      </c>
      <c r="I4536">
        <v>-398605695</v>
      </c>
      <c r="J4536">
        <v>-2418805618</v>
      </c>
      <c r="K4536">
        <v>563599364</v>
      </c>
      <c r="P4536">
        <v>690</v>
      </c>
      <c r="Q4536" t="s">
        <v>9421</v>
      </c>
    </row>
    <row r="4537" spans="1:17" x14ac:dyDescent="0.3">
      <c r="A4537" t="s">
        <v>33</v>
      </c>
      <c r="B4537" t="str">
        <f>"002171"</f>
        <v>002171</v>
      </c>
      <c r="C4537" t="s">
        <v>9422</v>
      </c>
      <c r="D4537" t="s">
        <v>153</v>
      </c>
      <c r="E4537">
        <v>-1071817136</v>
      </c>
      <c r="F4537">
        <v>-759208240</v>
      </c>
      <c r="G4537">
        <v>-153740358</v>
      </c>
      <c r="H4537">
        <v>-315685278</v>
      </c>
      <c r="I4537">
        <v>-239522367</v>
      </c>
      <c r="J4537">
        <v>-188785384</v>
      </c>
      <c r="K4537">
        <v>-72396350</v>
      </c>
      <c r="L4537">
        <v>-271156168</v>
      </c>
      <c r="M4537">
        <v>-98801852</v>
      </c>
      <c r="N4537">
        <v>-29625676</v>
      </c>
      <c r="O4537">
        <v>-106696416</v>
      </c>
      <c r="P4537">
        <v>237</v>
      </c>
      <c r="Q4537" t="s">
        <v>9423</v>
      </c>
    </row>
    <row r="4538" spans="1:17" x14ac:dyDescent="0.3">
      <c r="A4538" t="s">
        <v>17</v>
      </c>
      <c r="B4538" t="str">
        <f>"600570"</f>
        <v>600570</v>
      </c>
      <c r="C4538" t="s">
        <v>9424</v>
      </c>
      <c r="D4538" t="s">
        <v>807</v>
      </c>
      <c r="E4538">
        <v>-1072701705</v>
      </c>
      <c r="F4538">
        <v>-832461298</v>
      </c>
      <c r="G4538">
        <v>-757580705</v>
      </c>
      <c r="H4538">
        <v>-624887548</v>
      </c>
      <c r="I4538">
        <v>-530144978</v>
      </c>
      <c r="J4538">
        <v>-414015505</v>
      </c>
      <c r="K4538">
        <v>-334150546</v>
      </c>
      <c r="L4538">
        <v>-7639581</v>
      </c>
      <c r="M4538">
        <v>-208253689</v>
      </c>
      <c r="N4538">
        <v>-139792054</v>
      </c>
      <c r="O4538">
        <v>-135299146</v>
      </c>
      <c r="P4538">
        <v>2779</v>
      </c>
      <c r="Q4538" t="s">
        <v>9425</v>
      </c>
    </row>
    <row r="4539" spans="1:17" x14ac:dyDescent="0.3">
      <c r="A4539" t="s">
        <v>17</v>
      </c>
      <c r="B4539" t="str">
        <f>"600657"</f>
        <v>600657</v>
      </c>
      <c r="C4539" t="s">
        <v>9426</v>
      </c>
      <c r="D4539" t="s">
        <v>167</v>
      </c>
      <c r="E4539">
        <v>-1078495450</v>
      </c>
      <c r="F4539">
        <v>337787507</v>
      </c>
      <c r="G4539">
        <v>-991781809</v>
      </c>
      <c r="H4539">
        <v>-861319388</v>
      </c>
      <c r="I4539">
        <v>-1427575264</v>
      </c>
      <c r="J4539">
        <v>-166240180</v>
      </c>
      <c r="K4539">
        <v>455560529</v>
      </c>
      <c r="L4539">
        <v>-2475683974</v>
      </c>
      <c r="M4539">
        <v>-1645092987</v>
      </c>
      <c r="N4539">
        <v>-903370664</v>
      </c>
      <c r="O4539">
        <v>-460742627</v>
      </c>
      <c r="P4539">
        <v>423</v>
      </c>
      <c r="Q4539" t="s">
        <v>9427</v>
      </c>
    </row>
    <row r="4540" spans="1:17" x14ac:dyDescent="0.3">
      <c r="A4540" t="s">
        <v>17</v>
      </c>
      <c r="B4540" t="str">
        <f>"600491"</f>
        <v>600491</v>
      </c>
      <c r="C4540" t="s">
        <v>9428</v>
      </c>
      <c r="D4540" t="s">
        <v>827</v>
      </c>
      <c r="E4540">
        <v>-1079805694</v>
      </c>
      <c r="F4540">
        <v>-167703562</v>
      </c>
      <c r="G4540">
        <v>-151085447</v>
      </c>
      <c r="H4540">
        <v>-642773157</v>
      </c>
      <c r="I4540">
        <v>-932665415</v>
      </c>
      <c r="J4540">
        <v>-106963655</v>
      </c>
      <c r="K4540">
        <v>-527328540</v>
      </c>
      <c r="L4540">
        <v>-550953964</v>
      </c>
      <c r="M4540">
        <v>-412299173</v>
      </c>
      <c r="N4540">
        <v>-131204720</v>
      </c>
      <c r="O4540">
        <v>-230301698</v>
      </c>
      <c r="P4540">
        <v>116</v>
      </c>
      <c r="Q4540" t="s">
        <v>9429</v>
      </c>
    </row>
    <row r="4541" spans="1:17" x14ac:dyDescent="0.3">
      <c r="A4541" t="s">
        <v>17</v>
      </c>
      <c r="B4541" t="str">
        <f>"603288"</f>
        <v>603288</v>
      </c>
      <c r="C4541" t="s">
        <v>9430</v>
      </c>
      <c r="D4541" t="s">
        <v>669</v>
      </c>
      <c r="E4541">
        <v>-1082217189</v>
      </c>
      <c r="F4541">
        <v>-123014095</v>
      </c>
      <c r="G4541">
        <v>414456412</v>
      </c>
      <c r="H4541">
        <v>53066227</v>
      </c>
      <c r="I4541">
        <v>453960849</v>
      </c>
      <c r="J4541">
        <v>-92958673</v>
      </c>
      <c r="K4541">
        <v>224742721</v>
      </c>
      <c r="L4541">
        <v>-581478916</v>
      </c>
      <c r="M4541">
        <v>-403575554</v>
      </c>
      <c r="N4541">
        <v>-509483659</v>
      </c>
      <c r="P4541">
        <v>54149</v>
      </c>
      <c r="Q4541" t="s">
        <v>9431</v>
      </c>
    </row>
    <row r="4542" spans="1:17" x14ac:dyDescent="0.3">
      <c r="A4542" t="s">
        <v>33</v>
      </c>
      <c r="B4542" t="str">
        <f>"300772"</f>
        <v>300772</v>
      </c>
      <c r="C4542" t="s">
        <v>9432</v>
      </c>
      <c r="D4542" t="s">
        <v>8494</v>
      </c>
      <c r="E4542">
        <v>-1090879815</v>
      </c>
      <c r="F4542">
        <v>-755939735</v>
      </c>
      <c r="G4542">
        <v>107958437</v>
      </c>
      <c r="H4542">
        <v>-113021026</v>
      </c>
      <c r="I4542">
        <v>-285888545</v>
      </c>
      <c r="P4542">
        <v>177</v>
      </c>
      <c r="Q4542" t="s">
        <v>9433</v>
      </c>
    </row>
    <row r="4543" spans="1:17" x14ac:dyDescent="0.3">
      <c r="A4543" t="s">
        <v>17</v>
      </c>
      <c r="B4543" t="str">
        <f>"603993"</f>
        <v>603993</v>
      </c>
      <c r="C4543" t="s">
        <v>9434</v>
      </c>
      <c r="D4543" t="s">
        <v>3495</v>
      </c>
      <c r="E4543">
        <v>-1098206575</v>
      </c>
      <c r="F4543">
        <v>2569906911</v>
      </c>
      <c r="G4543">
        <v>5887743222</v>
      </c>
      <c r="H4543">
        <v>476366544</v>
      </c>
      <c r="I4543">
        <v>2571731500</v>
      </c>
      <c r="J4543">
        <v>1427245428</v>
      </c>
      <c r="K4543">
        <v>264806531</v>
      </c>
      <c r="L4543">
        <v>-78962309</v>
      </c>
      <c r="M4543">
        <v>497770618</v>
      </c>
      <c r="N4543">
        <v>370174721</v>
      </c>
      <c r="O4543">
        <v>560478240</v>
      </c>
      <c r="P4543">
        <v>1125</v>
      </c>
      <c r="Q4543" t="s">
        <v>9435</v>
      </c>
    </row>
    <row r="4544" spans="1:17" x14ac:dyDescent="0.3">
      <c r="A4544" t="s">
        <v>33</v>
      </c>
      <c r="B4544" t="str">
        <f>"300737"</f>
        <v>300737</v>
      </c>
      <c r="C4544" t="s">
        <v>9436</v>
      </c>
      <c r="D4544" t="s">
        <v>8537</v>
      </c>
      <c r="E4544">
        <v>-1098352709</v>
      </c>
      <c r="F4544">
        <v>-273401681</v>
      </c>
      <c r="G4544">
        <v>-261073984</v>
      </c>
      <c r="H4544">
        <v>-310629927</v>
      </c>
      <c r="I4544">
        <v>-80037568</v>
      </c>
      <c r="J4544">
        <v>-135207205</v>
      </c>
      <c r="P4544">
        <v>459</v>
      </c>
      <c r="Q4544" t="s">
        <v>9437</v>
      </c>
    </row>
    <row r="4545" spans="1:17" x14ac:dyDescent="0.3">
      <c r="A4545" t="s">
        <v>17</v>
      </c>
      <c r="B4545" t="str">
        <f>"601099"</f>
        <v>601099</v>
      </c>
      <c r="C4545" t="s">
        <v>9438</v>
      </c>
      <c r="D4545" t="s">
        <v>52</v>
      </c>
      <c r="E4545">
        <v>-1120850220</v>
      </c>
      <c r="F4545">
        <v>-366684912</v>
      </c>
      <c r="G4545">
        <v>1073455437</v>
      </c>
      <c r="H4545">
        <v>2009807179</v>
      </c>
      <c r="I4545">
        <v>-180055014</v>
      </c>
      <c r="J4545">
        <v>2791736847</v>
      </c>
      <c r="K4545">
        <v>-2007281776</v>
      </c>
      <c r="L4545">
        <v>948552033</v>
      </c>
      <c r="M4545">
        <v>9091578</v>
      </c>
      <c r="N4545">
        <v>160124317</v>
      </c>
      <c r="O4545">
        <v>-366977758</v>
      </c>
      <c r="P4545">
        <v>738</v>
      </c>
      <c r="Q4545" t="s">
        <v>9439</v>
      </c>
    </row>
    <row r="4546" spans="1:17" x14ac:dyDescent="0.3">
      <c r="A4546" t="s">
        <v>33</v>
      </c>
      <c r="B4546" t="str">
        <f>"002203"</f>
        <v>002203</v>
      </c>
      <c r="C4546" t="s">
        <v>9440</v>
      </c>
      <c r="D4546" t="s">
        <v>153</v>
      </c>
      <c r="E4546">
        <v>-1131876426</v>
      </c>
      <c r="F4546">
        <v>-1199213171</v>
      </c>
      <c r="G4546">
        <v>585196776</v>
      </c>
      <c r="H4546">
        <v>315396723</v>
      </c>
      <c r="I4546">
        <v>684139280</v>
      </c>
      <c r="J4546">
        <v>-600621962</v>
      </c>
      <c r="K4546">
        <v>-73409512</v>
      </c>
      <c r="L4546">
        <v>-303000571</v>
      </c>
      <c r="M4546">
        <v>233737210</v>
      </c>
      <c r="N4546">
        <v>90616039</v>
      </c>
      <c r="O4546">
        <v>-266399510</v>
      </c>
      <c r="P4546">
        <v>239</v>
      </c>
      <c r="Q4546" t="s">
        <v>9441</v>
      </c>
    </row>
    <row r="4547" spans="1:17" x14ac:dyDescent="0.3">
      <c r="A4547" t="s">
        <v>33</v>
      </c>
      <c r="B4547" t="str">
        <f>"002396"</f>
        <v>002396</v>
      </c>
      <c r="C4547" t="s">
        <v>9442</v>
      </c>
      <c r="D4547" t="s">
        <v>461</v>
      </c>
      <c r="E4547">
        <v>-1134789423</v>
      </c>
      <c r="F4547">
        <v>-1092423979</v>
      </c>
      <c r="G4547">
        <v>-1381275979</v>
      </c>
      <c r="H4547">
        <v>-857580925</v>
      </c>
      <c r="I4547">
        <v>-718960549</v>
      </c>
      <c r="J4547">
        <v>-607676559</v>
      </c>
      <c r="K4547">
        <v>-568287490</v>
      </c>
      <c r="L4547">
        <v>-329275596</v>
      </c>
      <c r="M4547">
        <v>-311376176</v>
      </c>
      <c r="N4547">
        <v>-292373048</v>
      </c>
      <c r="O4547">
        <v>-188879267</v>
      </c>
      <c r="P4547">
        <v>3694</v>
      </c>
      <c r="Q4547" t="s">
        <v>9443</v>
      </c>
    </row>
    <row r="4548" spans="1:17" x14ac:dyDescent="0.3">
      <c r="A4548" t="s">
        <v>33</v>
      </c>
      <c r="B4548" t="str">
        <f>"000903"</f>
        <v>000903</v>
      </c>
      <c r="C4548" t="s">
        <v>9444</v>
      </c>
      <c r="D4548" t="s">
        <v>858</v>
      </c>
      <c r="E4548">
        <v>-1135962298</v>
      </c>
      <c r="F4548">
        <v>-431644688</v>
      </c>
      <c r="G4548">
        <v>187660320</v>
      </c>
      <c r="H4548">
        <v>498806384</v>
      </c>
      <c r="I4548">
        <v>-415722323</v>
      </c>
      <c r="J4548">
        <v>-161833225</v>
      </c>
      <c r="K4548">
        <v>112830671</v>
      </c>
      <c r="L4548">
        <v>-11124515</v>
      </c>
      <c r="M4548">
        <v>56393997</v>
      </c>
      <c r="N4548">
        <v>205633643</v>
      </c>
      <c r="O4548">
        <v>-56211058</v>
      </c>
      <c r="P4548">
        <v>155</v>
      </c>
      <c r="Q4548" t="s">
        <v>9445</v>
      </c>
    </row>
    <row r="4549" spans="1:17" x14ac:dyDescent="0.3">
      <c r="A4549" t="s">
        <v>17</v>
      </c>
      <c r="B4549" t="str">
        <f>"603927"</f>
        <v>603927</v>
      </c>
      <c r="C4549" t="s">
        <v>9446</v>
      </c>
      <c r="D4549" t="s">
        <v>807</v>
      </c>
      <c r="E4549">
        <v>-1141221523</v>
      </c>
      <c r="F4549">
        <v>-976151836</v>
      </c>
      <c r="G4549">
        <v>-809547274</v>
      </c>
      <c r="H4549">
        <v>-932751389</v>
      </c>
      <c r="I4549">
        <v>-742123541</v>
      </c>
      <c r="P4549">
        <v>821</v>
      </c>
      <c r="Q4549" t="s">
        <v>9447</v>
      </c>
    </row>
    <row r="4550" spans="1:17" x14ac:dyDescent="0.3">
      <c r="A4550" t="s">
        <v>17</v>
      </c>
      <c r="B4550" t="str">
        <f>"601901"</f>
        <v>601901</v>
      </c>
      <c r="C4550" t="s">
        <v>9448</v>
      </c>
      <c r="D4550" t="s">
        <v>52</v>
      </c>
      <c r="E4550">
        <v>-1152848118</v>
      </c>
      <c r="F4550">
        <v>1199639546</v>
      </c>
      <c r="G4550">
        <v>8740684769</v>
      </c>
      <c r="H4550">
        <v>19999132789</v>
      </c>
      <c r="I4550">
        <v>-1461806999</v>
      </c>
      <c r="J4550">
        <v>1967868730</v>
      </c>
      <c r="K4550">
        <v>-12766751587</v>
      </c>
      <c r="L4550">
        <v>5297230742</v>
      </c>
      <c r="M4550">
        <v>1465637761</v>
      </c>
      <c r="N4550">
        <v>1069162639</v>
      </c>
      <c r="O4550">
        <v>990163223</v>
      </c>
      <c r="P4550">
        <v>931</v>
      </c>
      <c r="Q4550" t="s">
        <v>9449</v>
      </c>
    </row>
    <row r="4551" spans="1:17" x14ac:dyDescent="0.3">
      <c r="A4551" t="s">
        <v>17</v>
      </c>
      <c r="B4551" t="str">
        <f>"600372"</f>
        <v>600372</v>
      </c>
      <c r="C4551" t="s">
        <v>9450</v>
      </c>
      <c r="D4551" t="s">
        <v>2262</v>
      </c>
      <c r="E4551">
        <v>-1178634544</v>
      </c>
      <c r="F4551">
        <v>-124487412</v>
      </c>
      <c r="G4551">
        <v>-335990178</v>
      </c>
      <c r="H4551">
        <v>-176390062</v>
      </c>
      <c r="I4551">
        <v>-275514331</v>
      </c>
      <c r="J4551">
        <v>-645149723</v>
      </c>
      <c r="K4551">
        <v>-482466556</v>
      </c>
      <c r="L4551">
        <v>-427652949</v>
      </c>
      <c r="M4551">
        <v>-360104264</v>
      </c>
      <c r="N4551">
        <v>-186223956</v>
      </c>
      <c r="O4551">
        <v>-226821562</v>
      </c>
      <c r="P4551">
        <v>433</v>
      </c>
      <c r="Q4551" t="s">
        <v>9451</v>
      </c>
    </row>
    <row r="4552" spans="1:17" x14ac:dyDescent="0.3">
      <c r="A4552" t="s">
        <v>33</v>
      </c>
      <c r="B4552" t="str">
        <f>"002230"</f>
        <v>002230</v>
      </c>
      <c r="C4552" t="s">
        <v>9452</v>
      </c>
      <c r="D4552" t="s">
        <v>1713</v>
      </c>
      <c r="E4552">
        <v>-1182202908</v>
      </c>
      <c r="F4552">
        <v>-1205546397</v>
      </c>
      <c r="G4552">
        <v>-784014664</v>
      </c>
      <c r="H4552">
        <v>-534324453</v>
      </c>
      <c r="I4552">
        <v>-631824925</v>
      </c>
      <c r="J4552">
        <v>-483684918</v>
      </c>
      <c r="K4552">
        <v>-182143303</v>
      </c>
      <c r="L4552">
        <v>-93752872</v>
      </c>
      <c r="M4552">
        <v>-28309826</v>
      </c>
      <c r="N4552">
        <v>-31611690</v>
      </c>
      <c r="O4552">
        <v>-29948739</v>
      </c>
      <c r="P4552">
        <v>3020</v>
      </c>
      <c r="Q4552" t="s">
        <v>9453</v>
      </c>
    </row>
    <row r="4553" spans="1:17" x14ac:dyDescent="0.3">
      <c r="A4553" t="s">
        <v>17</v>
      </c>
      <c r="B4553" t="str">
        <f>"600901"</f>
        <v>600901</v>
      </c>
      <c r="C4553" t="s">
        <v>9454</v>
      </c>
      <c r="D4553" t="s">
        <v>180</v>
      </c>
      <c r="E4553">
        <v>-1183044205</v>
      </c>
      <c r="F4553">
        <v>1699033740</v>
      </c>
      <c r="G4553">
        <v>-641763573</v>
      </c>
      <c r="H4553">
        <v>-251489886</v>
      </c>
      <c r="I4553">
        <v>-4444975774</v>
      </c>
      <c r="J4553">
        <v>-1134298924</v>
      </c>
      <c r="P4553">
        <v>475</v>
      </c>
      <c r="Q4553" t="s">
        <v>9455</v>
      </c>
    </row>
    <row r="4554" spans="1:17" x14ac:dyDescent="0.3">
      <c r="A4554" t="s">
        <v>33</v>
      </c>
      <c r="B4554" t="str">
        <f>"000626"</f>
        <v>000626</v>
      </c>
      <c r="C4554" t="s">
        <v>9456</v>
      </c>
      <c r="D4554" t="s">
        <v>5270</v>
      </c>
      <c r="E4554">
        <v>-1191402355</v>
      </c>
      <c r="F4554">
        <v>-217869956</v>
      </c>
      <c r="G4554">
        <v>-107685253</v>
      </c>
      <c r="H4554">
        <v>-255129651</v>
      </c>
      <c r="I4554">
        <v>-1317239008</v>
      </c>
      <c r="J4554">
        <v>-605631362</v>
      </c>
      <c r="K4554">
        <v>-356018415</v>
      </c>
      <c r="L4554">
        <v>-579494353</v>
      </c>
      <c r="M4554">
        <v>-980606216</v>
      </c>
      <c r="N4554">
        <v>-385251563</v>
      </c>
      <c r="O4554">
        <v>-196926292</v>
      </c>
      <c r="P4554">
        <v>125</v>
      </c>
      <c r="Q4554" t="s">
        <v>9457</v>
      </c>
    </row>
    <row r="4555" spans="1:17" x14ac:dyDescent="0.3">
      <c r="A4555" t="s">
        <v>33</v>
      </c>
      <c r="B4555" t="str">
        <f>"000828"</f>
        <v>000828</v>
      </c>
      <c r="C4555" t="s">
        <v>9458</v>
      </c>
      <c r="D4555" t="s">
        <v>458</v>
      </c>
      <c r="E4555">
        <v>-1192548887</v>
      </c>
      <c r="F4555">
        <v>663649314</v>
      </c>
      <c r="G4555">
        <v>1876038582</v>
      </c>
      <c r="H4555">
        <v>337886543</v>
      </c>
      <c r="I4555">
        <v>86641983</v>
      </c>
      <c r="J4555">
        <v>-36155476</v>
      </c>
      <c r="K4555">
        <v>230862343</v>
      </c>
      <c r="L4555">
        <v>-593231479</v>
      </c>
      <c r="M4555">
        <v>-188744276</v>
      </c>
      <c r="N4555">
        <v>121159959</v>
      </c>
      <c r="O4555">
        <v>130375713</v>
      </c>
      <c r="P4555">
        <v>961</v>
      </c>
      <c r="Q4555" t="s">
        <v>9459</v>
      </c>
    </row>
    <row r="4556" spans="1:17" x14ac:dyDescent="0.3">
      <c r="A4556" t="s">
        <v>17</v>
      </c>
      <c r="B4556" t="str">
        <f>"600835"</f>
        <v>600835</v>
      </c>
      <c r="C4556" t="s">
        <v>9460</v>
      </c>
      <c r="D4556" t="s">
        <v>2528</v>
      </c>
      <c r="E4556">
        <v>-1194407320</v>
      </c>
      <c r="F4556">
        <v>-1452306255</v>
      </c>
      <c r="G4556">
        <v>-1780727489</v>
      </c>
      <c r="H4556">
        <v>-1549530275</v>
      </c>
      <c r="I4556">
        <v>-1182456308</v>
      </c>
      <c r="J4556">
        <v>-277228251</v>
      </c>
      <c r="K4556">
        <v>319139035</v>
      </c>
      <c r="L4556">
        <v>-139849646</v>
      </c>
      <c r="M4556">
        <v>-47720878</v>
      </c>
      <c r="N4556">
        <v>-633039859</v>
      </c>
      <c r="O4556">
        <v>-125661126</v>
      </c>
      <c r="P4556">
        <v>661</v>
      </c>
      <c r="Q4556" t="s">
        <v>9461</v>
      </c>
    </row>
    <row r="4557" spans="1:17" x14ac:dyDescent="0.3">
      <c r="A4557" t="s">
        <v>17</v>
      </c>
      <c r="B4557" t="str">
        <f>"600489"</f>
        <v>600489</v>
      </c>
      <c r="C4557" t="s">
        <v>9462</v>
      </c>
      <c r="D4557" t="s">
        <v>777</v>
      </c>
      <c r="E4557">
        <v>-1196111369</v>
      </c>
      <c r="F4557">
        <v>-1582731557</v>
      </c>
      <c r="G4557">
        <v>-878863927</v>
      </c>
      <c r="H4557">
        <v>-481316162</v>
      </c>
      <c r="I4557">
        <v>148761795</v>
      </c>
      <c r="J4557">
        <v>477332305</v>
      </c>
      <c r="K4557">
        <v>1140069517</v>
      </c>
      <c r="L4557">
        <v>109477591</v>
      </c>
      <c r="M4557">
        <v>519423760</v>
      </c>
      <c r="N4557">
        <v>349347661</v>
      </c>
      <c r="O4557">
        <v>451324770</v>
      </c>
      <c r="P4557">
        <v>454</v>
      </c>
      <c r="Q4557" t="s">
        <v>9463</v>
      </c>
    </row>
    <row r="4558" spans="1:17" x14ac:dyDescent="0.3">
      <c r="A4558" t="s">
        <v>33</v>
      </c>
      <c r="B4558" t="str">
        <f>"000158"</f>
        <v>000158</v>
      </c>
      <c r="C4558" t="s">
        <v>9464</v>
      </c>
      <c r="D4558" t="s">
        <v>508</v>
      </c>
      <c r="E4558">
        <v>-1209231704</v>
      </c>
      <c r="F4558">
        <v>-713895477</v>
      </c>
      <c r="G4558">
        <v>-431980317</v>
      </c>
      <c r="H4558">
        <v>-796989126</v>
      </c>
      <c r="I4558">
        <v>-955329474</v>
      </c>
      <c r="J4558">
        <v>-522954299</v>
      </c>
      <c r="K4558">
        <v>-797867115</v>
      </c>
      <c r="L4558">
        <v>-11274401</v>
      </c>
      <c r="M4558">
        <v>-114052572</v>
      </c>
      <c r="N4558">
        <v>-139965532</v>
      </c>
      <c r="O4558">
        <v>-37587205</v>
      </c>
      <c r="P4558">
        <v>295</v>
      </c>
      <c r="Q4558" t="s">
        <v>9465</v>
      </c>
    </row>
    <row r="4559" spans="1:17" x14ac:dyDescent="0.3">
      <c r="A4559" t="s">
        <v>33</v>
      </c>
      <c r="B4559" t="str">
        <f>"000042"</f>
        <v>000042</v>
      </c>
      <c r="C4559" t="s">
        <v>9466</v>
      </c>
      <c r="D4559" t="s">
        <v>167</v>
      </c>
      <c r="E4559">
        <v>-1210418725</v>
      </c>
      <c r="F4559">
        <v>-108455836</v>
      </c>
      <c r="G4559">
        <v>625038052</v>
      </c>
      <c r="H4559">
        <v>-30533005</v>
      </c>
      <c r="I4559">
        <v>-259232827</v>
      </c>
      <c r="J4559">
        <v>218668957</v>
      </c>
      <c r="K4559">
        <v>-947805794</v>
      </c>
      <c r="L4559">
        <v>-623791932</v>
      </c>
      <c r="M4559">
        <v>-181816776</v>
      </c>
      <c r="N4559">
        <v>13730767</v>
      </c>
      <c r="O4559">
        <v>-281175749</v>
      </c>
      <c r="P4559">
        <v>121</v>
      </c>
      <c r="Q4559" t="s">
        <v>9467</v>
      </c>
    </row>
    <row r="4560" spans="1:17" x14ac:dyDescent="0.3">
      <c r="A4560" t="s">
        <v>33</v>
      </c>
      <c r="B4560" t="str">
        <f>"300450"</f>
        <v>300450</v>
      </c>
      <c r="C4560" t="s">
        <v>9468</v>
      </c>
      <c r="D4560" t="s">
        <v>1549</v>
      </c>
      <c r="E4560">
        <v>-1211314479</v>
      </c>
      <c r="F4560">
        <v>182442433</v>
      </c>
      <c r="G4560">
        <v>-222278432</v>
      </c>
      <c r="H4560">
        <v>-57053921</v>
      </c>
      <c r="I4560">
        <v>-488800763</v>
      </c>
      <c r="J4560">
        <v>2237945</v>
      </c>
      <c r="K4560">
        <v>-37238085</v>
      </c>
      <c r="L4560">
        <v>64482991</v>
      </c>
      <c r="M4560">
        <v>19122547</v>
      </c>
      <c r="P4560">
        <v>9753</v>
      </c>
      <c r="Q4560" t="s">
        <v>9469</v>
      </c>
    </row>
    <row r="4561" spans="1:17" x14ac:dyDescent="0.3">
      <c r="A4561" t="s">
        <v>17</v>
      </c>
      <c r="B4561" t="str">
        <f>"601888"</f>
        <v>601888</v>
      </c>
      <c r="C4561" t="s">
        <v>9470</v>
      </c>
      <c r="D4561" t="s">
        <v>9471</v>
      </c>
      <c r="E4561">
        <v>-1233256091</v>
      </c>
      <c r="F4561">
        <v>79152109</v>
      </c>
      <c r="G4561">
        <v>-740546674</v>
      </c>
      <c r="H4561">
        <v>3651918975</v>
      </c>
      <c r="I4561">
        <v>2136990116</v>
      </c>
      <c r="J4561">
        <v>284969960</v>
      </c>
      <c r="K4561">
        <v>910362304</v>
      </c>
      <c r="L4561">
        <v>697801441</v>
      </c>
      <c r="M4561">
        <v>542406482</v>
      </c>
      <c r="N4561">
        <v>654316405</v>
      </c>
      <c r="O4561">
        <v>305730731</v>
      </c>
      <c r="P4561">
        <v>6129</v>
      </c>
      <c r="Q4561" t="s">
        <v>9472</v>
      </c>
    </row>
    <row r="4562" spans="1:17" x14ac:dyDescent="0.3">
      <c r="A4562" t="s">
        <v>33</v>
      </c>
      <c r="B4562" t="str">
        <f>"301236"</f>
        <v>301236</v>
      </c>
      <c r="C4562" t="s">
        <v>9473</v>
      </c>
      <c r="E4562">
        <v>-1239980587</v>
      </c>
      <c r="P4562">
        <v>4</v>
      </c>
      <c r="Q4562" t="s">
        <v>9474</v>
      </c>
    </row>
    <row r="4563" spans="1:17" x14ac:dyDescent="0.3">
      <c r="A4563" t="s">
        <v>17</v>
      </c>
      <c r="B4563" t="str">
        <f>"601068"</f>
        <v>601068</v>
      </c>
      <c r="C4563" t="s">
        <v>9475</v>
      </c>
      <c r="D4563" t="s">
        <v>1454</v>
      </c>
      <c r="E4563">
        <v>-1252187573</v>
      </c>
      <c r="F4563">
        <v>-745263445</v>
      </c>
      <c r="G4563">
        <v>-1597419268</v>
      </c>
      <c r="H4563">
        <v>-1188843988</v>
      </c>
      <c r="I4563">
        <v>-1210329500</v>
      </c>
      <c r="J4563">
        <v>-1134426800</v>
      </c>
      <c r="P4563">
        <v>109</v>
      </c>
      <c r="Q4563" t="s">
        <v>9476</v>
      </c>
    </row>
    <row r="4564" spans="1:17" x14ac:dyDescent="0.3">
      <c r="A4564" t="s">
        <v>17</v>
      </c>
      <c r="B4564" t="str">
        <f>"600850"</f>
        <v>600850</v>
      </c>
      <c r="C4564" t="s">
        <v>9477</v>
      </c>
      <c r="D4564" t="s">
        <v>508</v>
      </c>
      <c r="E4564">
        <v>-1276547402</v>
      </c>
      <c r="F4564">
        <v>-718253226</v>
      </c>
      <c r="G4564">
        <v>-768814010</v>
      </c>
      <c r="H4564">
        <v>-407448487</v>
      </c>
      <c r="I4564">
        <v>-588347721</v>
      </c>
      <c r="J4564">
        <v>-351819174</v>
      </c>
      <c r="K4564">
        <v>-404951607</v>
      </c>
      <c r="L4564">
        <v>-132634004</v>
      </c>
      <c r="M4564">
        <v>-273982835</v>
      </c>
      <c r="N4564">
        <v>-267950723</v>
      </c>
      <c r="O4564">
        <v>-95640971</v>
      </c>
      <c r="P4564">
        <v>322</v>
      </c>
      <c r="Q4564" t="s">
        <v>9478</v>
      </c>
    </row>
    <row r="4565" spans="1:17" x14ac:dyDescent="0.3">
      <c r="A4565" t="s">
        <v>17</v>
      </c>
      <c r="B4565" t="str">
        <f>"688187"</f>
        <v>688187</v>
      </c>
      <c r="C4565" t="s">
        <v>9479</v>
      </c>
      <c r="D4565" t="s">
        <v>1703</v>
      </c>
      <c r="E4565">
        <v>-1276651036</v>
      </c>
      <c r="P4565">
        <v>59</v>
      </c>
      <c r="Q4565" t="s">
        <v>9480</v>
      </c>
    </row>
    <row r="4566" spans="1:17" x14ac:dyDescent="0.3">
      <c r="A4566" t="s">
        <v>33</v>
      </c>
      <c r="B4566" t="str">
        <f>"002375"</f>
        <v>002375</v>
      </c>
      <c r="C4566" t="s">
        <v>9481</v>
      </c>
      <c r="D4566" t="s">
        <v>1779</v>
      </c>
      <c r="E4566">
        <v>-1282550502</v>
      </c>
      <c r="F4566">
        <v>-1078948378</v>
      </c>
      <c r="G4566">
        <v>-1043259968</v>
      </c>
      <c r="H4566">
        <v>-645499669</v>
      </c>
      <c r="I4566">
        <v>-864957257</v>
      </c>
      <c r="J4566">
        <v>-883084425</v>
      </c>
      <c r="K4566">
        <v>-1014066045</v>
      </c>
      <c r="L4566">
        <v>-872082146</v>
      </c>
      <c r="M4566">
        <v>-813991767</v>
      </c>
      <c r="N4566">
        <v>-583776756</v>
      </c>
      <c r="O4566">
        <v>-370305223</v>
      </c>
      <c r="P4566">
        <v>176</v>
      </c>
      <c r="Q4566" t="s">
        <v>9482</v>
      </c>
    </row>
    <row r="4567" spans="1:17" x14ac:dyDescent="0.3">
      <c r="A4567" t="s">
        <v>33</v>
      </c>
      <c r="B4567" t="str">
        <f>"002371"</f>
        <v>002371</v>
      </c>
      <c r="C4567" t="s">
        <v>9483</v>
      </c>
      <c r="D4567" t="s">
        <v>2201</v>
      </c>
      <c r="E4567">
        <v>-1294300561</v>
      </c>
      <c r="F4567">
        <v>661328683</v>
      </c>
      <c r="G4567">
        <v>721968606</v>
      </c>
      <c r="H4567">
        <v>-253858889</v>
      </c>
      <c r="I4567">
        <v>-255457347</v>
      </c>
      <c r="J4567">
        <v>-5015638</v>
      </c>
      <c r="K4567">
        <v>-11518936</v>
      </c>
      <c r="L4567">
        <v>-49034652</v>
      </c>
      <c r="M4567">
        <v>-86272046</v>
      </c>
      <c r="N4567">
        <v>-34222473</v>
      </c>
      <c r="O4567">
        <v>-106559624</v>
      </c>
      <c r="P4567">
        <v>1587</v>
      </c>
      <c r="Q4567" t="s">
        <v>9484</v>
      </c>
    </row>
    <row r="4568" spans="1:17" x14ac:dyDescent="0.3">
      <c r="A4568" t="s">
        <v>33</v>
      </c>
      <c r="B4568" t="str">
        <f>"000411"</f>
        <v>000411</v>
      </c>
      <c r="C4568" t="s">
        <v>9485</v>
      </c>
      <c r="D4568" t="s">
        <v>415</v>
      </c>
      <c r="E4568">
        <v>-1294868316</v>
      </c>
      <c r="F4568">
        <v>-1270433692</v>
      </c>
      <c r="G4568">
        <v>-1139928630</v>
      </c>
      <c r="H4568">
        <v>-1094477095</v>
      </c>
      <c r="I4568">
        <v>-1357454101</v>
      </c>
      <c r="J4568">
        <v>-1069361575</v>
      </c>
      <c r="K4568">
        <v>-797850673</v>
      </c>
      <c r="L4568">
        <v>-854732941</v>
      </c>
      <c r="M4568">
        <v>-600280104</v>
      </c>
      <c r="N4568">
        <v>-512417140</v>
      </c>
      <c r="O4568">
        <v>-479449746</v>
      </c>
      <c r="P4568">
        <v>236</v>
      </c>
      <c r="Q4568" t="s">
        <v>9486</v>
      </c>
    </row>
    <row r="4569" spans="1:17" x14ac:dyDescent="0.3">
      <c r="A4569" t="s">
        <v>33</v>
      </c>
      <c r="B4569" t="str">
        <f>"000498"</f>
        <v>000498</v>
      </c>
      <c r="C4569" t="s">
        <v>9487</v>
      </c>
      <c r="D4569" t="s">
        <v>1527</v>
      </c>
      <c r="E4569">
        <v>-1296355805</v>
      </c>
      <c r="F4569">
        <v>242812350</v>
      </c>
      <c r="G4569">
        <v>-988295595</v>
      </c>
      <c r="H4569">
        <v>-911472940</v>
      </c>
      <c r="I4569">
        <v>-335894579</v>
      </c>
      <c r="J4569">
        <v>-54803560</v>
      </c>
      <c r="K4569">
        <v>182024777</v>
      </c>
      <c r="L4569">
        <v>-483120792</v>
      </c>
      <c r="M4569">
        <v>-374584570</v>
      </c>
      <c r="N4569">
        <v>-75430242</v>
      </c>
      <c r="O4569">
        <v>-1191704</v>
      </c>
      <c r="P4569">
        <v>276</v>
      </c>
      <c r="Q4569" t="s">
        <v>9488</v>
      </c>
    </row>
    <row r="4570" spans="1:17" x14ac:dyDescent="0.3">
      <c r="A4570" t="s">
        <v>33</v>
      </c>
      <c r="B4570" t="str">
        <f>"000728"</f>
        <v>000728</v>
      </c>
      <c r="C4570" t="s">
        <v>9489</v>
      </c>
      <c r="D4570" t="s">
        <v>52</v>
      </c>
      <c r="E4570">
        <v>-1299800121</v>
      </c>
      <c r="F4570">
        <v>-3273455051</v>
      </c>
      <c r="G4570">
        <v>3797281238</v>
      </c>
      <c r="H4570">
        <v>5754876969</v>
      </c>
      <c r="I4570">
        <v>364614614</v>
      </c>
      <c r="J4570">
        <v>34371089</v>
      </c>
      <c r="K4570">
        <v>1113771093</v>
      </c>
      <c r="L4570">
        <v>1503780528</v>
      </c>
      <c r="M4570">
        <v>249442365</v>
      </c>
      <c r="N4570">
        <v>-2345437679</v>
      </c>
      <c r="O4570">
        <v>106341115</v>
      </c>
      <c r="P4570">
        <v>1900</v>
      </c>
      <c r="Q4570" t="s">
        <v>9490</v>
      </c>
    </row>
    <row r="4571" spans="1:17" x14ac:dyDescent="0.3">
      <c r="A4571" t="s">
        <v>17</v>
      </c>
      <c r="B4571" t="str">
        <f>"600639"</f>
        <v>600639</v>
      </c>
      <c r="C4571" t="s">
        <v>9491</v>
      </c>
      <c r="D4571" t="s">
        <v>1135</v>
      </c>
      <c r="E4571">
        <v>-1300782297</v>
      </c>
      <c r="F4571">
        <v>-670387108</v>
      </c>
      <c r="G4571">
        <v>-1674727826</v>
      </c>
      <c r="H4571">
        <v>-901629608</v>
      </c>
      <c r="I4571">
        <v>-709667484</v>
      </c>
      <c r="J4571">
        <v>-8668177</v>
      </c>
      <c r="K4571">
        <v>-268124844</v>
      </c>
      <c r="L4571">
        <v>-153704776</v>
      </c>
      <c r="M4571">
        <v>12708967</v>
      </c>
      <c r="N4571">
        <v>-134043529</v>
      </c>
      <c r="O4571">
        <v>-56729933</v>
      </c>
      <c r="P4571">
        <v>189</v>
      </c>
      <c r="Q4571" t="s">
        <v>9492</v>
      </c>
    </row>
    <row r="4572" spans="1:17" x14ac:dyDescent="0.3">
      <c r="A4572" t="s">
        <v>33</v>
      </c>
      <c r="B4572" t="str">
        <f>"002097"</f>
        <v>002097</v>
      </c>
      <c r="C4572" t="s">
        <v>9493</v>
      </c>
      <c r="D4572" t="s">
        <v>320</v>
      </c>
      <c r="E4572">
        <v>-1308593426</v>
      </c>
      <c r="F4572">
        <v>-252132851</v>
      </c>
      <c r="G4572">
        <v>-522295438</v>
      </c>
      <c r="H4572">
        <v>-94717154</v>
      </c>
      <c r="I4572">
        <v>48151189</v>
      </c>
      <c r="J4572">
        <v>-132822620</v>
      </c>
      <c r="K4572">
        <v>-6102862</v>
      </c>
      <c r="L4572">
        <v>80337312</v>
      </c>
      <c r="M4572">
        <v>144779883</v>
      </c>
      <c r="N4572">
        <v>95440892</v>
      </c>
      <c r="O4572">
        <v>-93886101</v>
      </c>
      <c r="P4572">
        <v>217</v>
      </c>
      <c r="Q4572" t="s">
        <v>9494</v>
      </c>
    </row>
    <row r="4573" spans="1:17" x14ac:dyDescent="0.3">
      <c r="A4573" t="s">
        <v>17</v>
      </c>
      <c r="B4573" t="str">
        <f>"600511"</f>
        <v>600511</v>
      </c>
      <c r="C4573" t="s">
        <v>9495</v>
      </c>
      <c r="D4573" t="s">
        <v>415</v>
      </c>
      <c r="E4573">
        <v>-1309048044</v>
      </c>
      <c r="F4573">
        <v>-1202178079</v>
      </c>
      <c r="G4573">
        <v>-1147897587</v>
      </c>
      <c r="H4573">
        <v>-849202468</v>
      </c>
      <c r="I4573">
        <v>29834236</v>
      </c>
      <c r="J4573">
        <v>74606128</v>
      </c>
      <c r="K4573">
        <v>234945517</v>
      </c>
      <c r="L4573">
        <v>230693654</v>
      </c>
      <c r="M4573">
        <v>55621944</v>
      </c>
      <c r="N4573">
        <v>37020982</v>
      </c>
      <c r="O4573">
        <v>21561320</v>
      </c>
      <c r="P4573">
        <v>24746</v>
      </c>
      <c r="Q4573" t="s">
        <v>9496</v>
      </c>
    </row>
    <row r="4574" spans="1:17" x14ac:dyDescent="0.3">
      <c r="A4574" t="s">
        <v>33</v>
      </c>
      <c r="B4574" t="str">
        <f>"200521"</f>
        <v>200521</v>
      </c>
      <c r="C4574" t="s">
        <v>9497</v>
      </c>
      <c r="E4574">
        <v>-1313597253.598</v>
      </c>
      <c r="F4574">
        <v>-1147214851.5009999</v>
      </c>
      <c r="G4574">
        <v>-1096671743.2557001</v>
      </c>
      <c r="H4574">
        <v>-1077376958.2916999</v>
      </c>
      <c r="I4574">
        <v>-964604827.65600002</v>
      </c>
      <c r="J4574">
        <v>621943956.86660004</v>
      </c>
      <c r="K4574">
        <v>167698773.4711</v>
      </c>
      <c r="L4574">
        <v>-158451191.25</v>
      </c>
      <c r="M4574">
        <v>-384859377.38520002</v>
      </c>
      <c r="N4574">
        <v>-112412473.626</v>
      </c>
      <c r="O4574">
        <v>-162005456.87099999</v>
      </c>
      <c r="P4574">
        <v>23</v>
      </c>
      <c r="Q4574" t="s">
        <v>9498</v>
      </c>
    </row>
    <row r="4575" spans="1:17" x14ac:dyDescent="0.3">
      <c r="A4575" t="s">
        <v>17</v>
      </c>
      <c r="B4575" t="str">
        <f>"601686"</f>
        <v>601686</v>
      </c>
      <c r="C4575" t="s">
        <v>9499</v>
      </c>
      <c r="D4575" t="s">
        <v>7069</v>
      </c>
      <c r="E4575">
        <v>-1317406435</v>
      </c>
      <c r="F4575">
        <v>-1091615272</v>
      </c>
      <c r="G4575">
        <v>-1115949516</v>
      </c>
      <c r="P4575">
        <v>57</v>
      </c>
      <c r="Q4575" t="s">
        <v>9500</v>
      </c>
    </row>
    <row r="4576" spans="1:17" x14ac:dyDescent="0.3">
      <c r="A4576" t="s">
        <v>17</v>
      </c>
      <c r="B4576" t="str">
        <f>"601212"</f>
        <v>601212</v>
      </c>
      <c r="C4576" t="s">
        <v>9501</v>
      </c>
      <c r="D4576" t="s">
        <v>2026</v>
      </c>
      <c r="E4576">
        <v>-1320041447</v>
      </c>
      <c r="F4576">
        <v>-566142288</v>
      </c>
      <c r="G4576">
        <v>641555758</v>
      </c>
      <c r="H4576">
        <v>918565739</v>
      </c>
      <c r="I4576">
        <v>479629003</v>
      </c>
      <c r="J4576">
        <v>-219824414</v>
      </c>
      <c r="K4576">
        <v>-1040999232</v>
      </c>
      <c r="P4576">
        <v>185</v>
      </c>
      <c r="Q4576" t="s">
        <v>9502</v>
      </c>
    </row>
    <row r="4577" spans="1:17" x14ac:dyDescent="0.3">
      <c r="A4577" t="s">
        <v>33</v>
      </c>
      <c r="B4577" t="str">
        <f>"000926"</f>
        <v>000926</v>
      </c>
      <c r="C4577" t="s">
        <v>9503</v>
      </c>
      <c r="D4577" t="s">
        <v>167</v>
      </c>
      <c r="E4577">
        <v>-1326407403</v>
      </c>
      <c r="F4577">
        <v>923619979</v>
      </c>
      <c r="G4577">
        <v>-545498157</v>
      </c>
      <c r="H4577">
        <v>414241439</v>
      </c>
      <c r="I4577">
        <v>-1251967860</v>
      </c>
      <c r="J4577">
        <v>-198070926</v>
      </c>
      <c r="K4577">
        <v>-1231322612</v>
      </c>
      <c r="L4577">
        <v>-1087679336</v>
      </c>
      <c r="M4577">
        <v>-691084337</v>
      </c>
      <c r="N4577">
        <v>862538207</v>
      </c>
      <c r="O4577">
        <v>373395113</v>
      </c>
      <c r="P4577">
        <v>239</v>
      </c>
      <c r="Q4577" t="s">
        <v>9504</v>
      </c>
    </row>
    <row r="4578" spans="1:17" x14ac:dyDescent="0.3">
      <c r="A4578" t="s">
        <v>33</v>
      </c>
      <c r="B4578" t="str">
        <f>"002157"</f>
        <v>002157</v>
      </c>
      <c r="C4578" t="s">
        <v>9505</v>
      </c>
      <c r="D4578" t="s">
        <v>1637</v>
      </c>
      <c r="E4578">
        <v>-1360823060</v>
      </c>
      <c r="F4578">
        <v>-3657782405</v>
      </c>
      <c r="G4578">
        <v>-1938920258</v>
      </c>
      <c r="H4578">
        <v>-197189325</v>
      </c>
      <c r="I4578">
        <v>-501378763</v>
      </c>
      <c r="J4578">
        <v>-381646885</v>
      </c>
      <c r="K4578">
        <v>79484526</v>
      </c>
      <c r="L4578">
        <v>273962412</v>
      </c>
      <c r="M4578">
        <v>-82987333</v>
      </c>
      <c r="N4578">
        <v>-54012739</v>
      </c>
      <c r="O4578">
        <v>-3771870</v>
      </c>
      <c r="P4578">
        <v>1128</v>
      </c>
      <c r="Q4578" t="s">
        <v>9506</v>
      </c>
    </row>
    <row r="4579" spans="1:17" x14ac:dyDescent="0.3">
      <c r="A4579" t="s">
        <v>17</v>
      </c>
      <c r="B4579" t="str">
        <f>"600271"</f>
        <v>600271</v>
      </c>
      <c r="C4579" t="s">
        <v>9507</v>
      </c>
      <c r="D4579" t="s">
        <v>508</v>
      </c>
      <c r="E4579">
        <v>-1367413390</v>
      </c>
      <c r="F4579">
        <v>-629246380</v>
      </c>
      <c r="G4579">
        <v>-971903034</v>
      </c>
      <c r="H4579">
        <v>-1303335722</v>
      </c>
      <c r="I4579">
        <v>-1051119460</v>
      </c>
      <c r="J4579">
        <v>-669223160</v>
      </c>
      <c r="K4579">
        <v>-1158738958</v>
      </c>
      <c r="L4579">
        <v>-1018349736</v>
      </c>
      <c r="M4579">
        <v>-441784472</v>
      </c>
      <c r="N4579">
        <v>-140592037</v>
      </c>
      <c r="O4579">
        <v>-379350593</v>
      </c>
      <c r="P4579">
        <v>16700</v>
      </c>
      <c r="Q4579" t="s">
        <v>9508</v>
      </c>
    </row>
    <row r="4580" spans="1:17" x14ac:dyDescent="0.3">
      <c r="A4580" t="s">
        <v>17</v>
      </c>
      <c r="B4580" t="str">
        <f>"600406"</f>
        <v>600406</v>
      </c>
      <c r="C4580" t="s">
        <v>9509</v>
      </c>
      <c r="D4580" t="s">
        <v>1182</v>
      </c>
      <c r="E4580">
        <v>-1385072391</v>
      </c>
      <c r="F4580">
        <v>-1163216438</v>
      </c>
      <c r="G4580">
        <v>66710444</v>
      </c>
      <c r="H4580">
        <v>-1069469734</v>
      </c>
      <c r="I4580">
        <v>-1077996136</v>
      </c>
      <c r="J4580">
        <v>-721421445</v>
      </c>
      <c r="K4580">
        <v>-770256120</v>
      </c>
      <c r="L4580">
        <v>-501906650</v>
      </c>
      <c r="M4580">
        <v>-570945379</v>
      </c>
      <c r="N4580">
        <v>-306582472</v>
      </c>
      <c r="O4580">
        <v>-325345926</v>
      </c>
      <c r="P4580">
        <v>2124</v>
      </c>
      <c r="Q4580" t="s">
        <v>9510</v>
      </c>
    </row>
    <row r="4581" spans="1:17" x14ac:dyDescent="0.3">
      <c r="A4581" t="s">
        <v>33</v>
      </c>
      <c r="B4581" t="str">
        <f>"002081"</f>
        <v>002081</v>
      </c>
      <c r="C4581" t="s">
        <v>9511</v>
      </c>
      <c r="D4581" t="s">
        <v>1779</v>
      </c>
      <c r="E4581">
        <v>-1385412979</v>
      </c>
      <c r="F4581">
        <v>-1726929589</v>
      </c>
      <c r="G4581">
        <v>-1880564984</v>
      </c>
      <c r="H4581">
        <v>-940518084</v>
      </c>
      <c r="I4581">
        <v>-1074085402</v>
      </c>
      <c r="J4581">
        <v>-333352397</v>
      </c>
      <c r="K4581">
        <v>-469608814</v>
      </c>
      <c r="L4581">
        <v>-1091921572</v>
      </c>
      <c r="M4581">
        <v>-659744683</v>
      </c>
      <c r="N4581">
        <v>-508069933</v>
      </c>
      <c r="O4581">
        <v>-485007299</v>
      </c>
      <c r="P4581">
        <v>18140</v>
      </c>
      <c r="Q4581" t="s">
        <v>9512</v>
      </c>
    </row>
    <row r="4582" spans="1:17" x14ac:dyDescent="0.3">
      <c r="A4582" t="s">
        <v>17</v>
      </c>
      <c r="B4582" t="str">
        <f>"600284"</f>
        <v>600284</v>
      </c>
      <c r="C4582" t="s">
        <v>9513</v>
      </c>
      <c r="D4582" t="s">
        <v>1527</v>
      </c>
      <c r="E4582">
        <v>-1386359795</v>
      </c>
      <c r="F4582">
        <v>-693638711</v>
      </c>
      <c r="G4582">
        <v>-2078479518</v>
      </c>
      <c r="H4582">
        <v>-240827193</v>
      </c>
      <c r="I4582">
        <v>-88800171</v>
      </c>
      <c r="J4582">
        <v>-6905859</v>
      </c>
      <c r="K4582">
        <v>-355734700</v>
      </c>
      <c r="L4582">
        <v>-433305097</v>
      </c>
      <c r="M4582">
        <v>-364485623</v>
      </c>
      <c r="N4582">
        <v>-251342639</v>
      </c>
      <c r="O4582">
        <v>-204913546</v>
      </c>
      <c r="P4582">
        <v>172</v>
      </c>
      <c r="Q4582" t="s">
        <v>9514</v>
      </c>
    </row>
    <row r="4583" spans="1:17" x14ac:dyDescent="0.3">
      <c r="A4583" t="s">
        <v>33</v>
      </c>
      <c r="B4583" t="str">
        <f>"002080"</f>
        <v>002080</v>
      </c>
      <c r="C4583" t="s">
        <v>9515</v>
      </c>
      <c r="D4583" t="s">
        <v>410</v>
      </c>
      <c r="E4583">
        <v>-1438111911</v>
      </c>
      <c r="F4583">
        <v>-83857477</v>
      </c>
      <c r="G4583">
        <v>168700825</v>
      </c>
      <c r="H4583">
        <v>-418656901</v>
      </c>
      <c r="I4583">
        <v>-232093625</v>
      </c>
      <c r="J4583">
        <v>-115775901</v>
      </c>
      <c r="K4583">
        <v>-195595120</v>
      </c>
      <c r="L4583">
        <v>386222773</v>
      </c>
      <c r="M4583">
        <v>-176204958</v>
      </c>
      <c r="N4583">
        <v>-17174720</v>
      </c>
      <c r="O4583">
        <v>-169358280</v>
      </c>
      <c r="P4583">
        <v>913</v>
      </c>
      <c r="Q4583" t="s">
        <v>9516</v>
      </c>
    </row>
    <row r="4584" spans="1:17" x14ac:dyDescent="0.3">
      <c r="A4584" t="s">
        <v>33</v>
      </c>
      <c r="B4584" t="str">
        <f>"002276"</f>
        <v>002276</v>
      </c>
      <c r="C4584" t="s">
        <v>9517</v>
      </c>
      <c r="D4584" t="s">
        <v>1282</v>
      </c>
      <c r="E4584">
        <v>-1445920045</v>
      </c>
      <c r="F4584">
        <v>-585292794</v>
      </c>
      <c r="G4584">
        <v>-165618857</v>
      </c>
      <c r="H4584">
        <v>-194856888</v>
      </c>
      <c r="I4584">
        <v>-249859912</v>
      </c>
      <c r="J4584">
        <v>-409580768</v>
      </c>
      <c r="K4584">
        <v>-225818889</v>
      </c>
      <c r="L4584">
        <v>-150606282</v>
      </c>
      <c r="M4584">
        <v>-130910188</v>
      </c>
      <c r="N4584">
        <v>-6210880</v>
      </c>
      <c r="O4584">
        <v>-118812950</v>
      </c>
      <c r="P4584">
        <v>255</v>
      </c>
      <c r="Q4584" t="s">
        <v>9518</v>
      </c>
    </row>
    <row r="4585" spans="1:17" x14ac:dyDescent="0.3">
      <c r="A4585" t="s">
        <v>17</v>
      </c>
      <c r="B4585" t="str">
        <f>"600528"</f>
        <v>600528</v>
      </c>
      <c r="C4585" t="s">
        <v>9519</v>
      </c>
      <c r="D4585" t="s">
        <v>1703</v>
      </c>
      <c r="E4585">
        <v>-1447586152</v>
      </c>
      <c r="F4585">
        <v>-1132992915</v>
      </c>
      <c r="G4585">
        <v>-1117191120</v>
      </c>
      <c r="H4585">
        <v>-964263433</v>
      </c>
      <c r="I4585">
        <v>-719651972</v>
      </c>
      <c r="J4585">
        <v>-624932427</v>
      </c>
      <c r="K4585">
        <v>-1390323950</v>
      </c>
      <c r="L4585">
        <v>-1047788073</v>
      </c>
      <c r="M4585">
        <v>-444918862</v>
      </c>
      <c r="N4585">
        <v>-1400221964</v>
      </c>
      <c r="O4585">
        <v>-886001258</v>
      </c>
      <c r="P4585">
        <v>252</v>
      </c>
      <c r="Q4585" t="s">
        <v>9520</v>
      </c>
    </row>
    <row r="4586" spans="1:17" x14ac:dyDescent="0.3">
      <c r="A4586" t="s">
        <v>17</v>
      </c>
      <c r="B4586" t="str">
        <f>"601598"</f>
        <v>601598</v>
      </c>
      <c r="C4586" t="s">
        <v>9521</v>
      </c>
      <c r="D4586" t="s">
        <v>272</v>
      </c>
      <c r="E4586">
        <v>-1460576807</v>
      </c>
      <c r="F4586">
        <v>-2182023265</v>
      </c>
      <c r="G4586">
        <v>-966749848</v>
      </c>
      <c r="H4586">
        <v>-1075982061</v>
      </c>
      <c r="I4586">
        <v>-1181617776</v>
      </c>
      <c r="P4586">
        <v>316</v>
      </c>
      <c r="Q4586" t="s">
        <v>9522</v>
      </c>
    </row>
    <row r="4587" spans="1:17" x14ac:dyDescent="0.3">
      <c r="A4587" t="s">
        <v>33</v>
      </c>
      <c r="B4587" t="str">
        <f>"002092"</f>
        <v>002092</v>
      </c>
      <c r="C4587" t="s">
        <v>9523</v>
      </c>
      <c r="D4587" t="s">
        <v>496</v>
      </c>
      <c r="E4587">
        <v>-1461333480</v>
      </c>
      <c r="F4587">
        <v>320978726</v>
      </c>
      <c r="G4587">
        <v>-385697131</v>
      </c>
      <c r="H4587">
        <v>646191162</v>
      </c>
      <c r="I4587">
        <v>17480200</v>
      </c>
      <c r="J4587">
        <v>-895492849</v>
      </c>
      <c r="K4587">
        <v>281867</v>
      </c>
      <c r="L4587">
        <v>177278518</v>
      </c>
      <c r="M4587">
        <v>426580463</v>
      </c>
      <c r="N4587">
        <v>595954131</v>
      </c>
      <c r="O4587">
        <v>-277074511</v>
      </c>
      <c r="P4587">
        <v>521</v>
      </c>
      <c r="Q4587" t="s">
        <v>9524</v>
      </c>
    </row>
    <row r="4588" spans="1:17" x14ac:dyDescent="0.3">
      <c r="A4588" t="s">
        <v>33</v>
      </c>
      <c r="B4588" t="str">
        <f>"002368"</f>
        <v>002368</v>
      </c>
      <c r="C4588" t="s">
        <v>9525</v>
      </c>
      <c r="D4588" t="s">
        <v>508</v>
      </c>
      <c r="E4588">
        <v>-1473124552</v>
      </c>
      <c r="F4588">
        <v>-1965789375</v>
      </c>
      <c r="G4588">
        <v>-899983705</v>
      </c>
      <c r="H4588">
        <v>-909658228</v>
      </c>
      <c r="I4588">
        <v>-515524042</v>
      </c>
      <c r="J4588">
        <v>-343545336</v>
      </c>
      <c r="K4588">
        <v>-502047928</v>
      </c>
      <c r="L4588">
        <v>-662666938</v>
      </c>
      <c r="M4588">
        <v>-694341468</v>
      </c>
      <c r="N4588">
        <v>-420384348</v>
      </c>
      <c r="O4588">
        <v>-96334143</v>
      </c>
      <c r="P4588">
        <v>373</v>
      </c>
      <c r="Q4588" t="s">
        <v>9526</v>
      </c>
    </row>
    <row r="4589" spans="1:17" x14ac:dyDescent="0.3">
      <c r="A4589" t="s">
        <v>17</v>
      </c>
      <c r="B4589" t="str">
        <f>"600791"</f>
        <v>600791</v>
      </c>
      <c r="C4589" t="s">
        <v>9527</v>
      </c>
      <c r="D4589" t="s">
        <v>167</v>
      </c>
      <c r="E4589">
        <v>-1499995765</v>
      </c>
      <c r="F4589">
        <v>230734081</v>
      </c>
      <c r="G4589">
        <v>-370905210</v>
      </c>
      <c r="H4589">
        <v>-1103647537</v>
      </c>
      <c r="I4589">
        <v>-12878645</v>
      </c>
      <c r="J4589">
        <v>16338689</v>
      </c>
      <c r="K4589">
        <v>-232727042</v>
      </c>
      <c r="L4589">
        <v>-20840243</v>
      </c>
      <c r="M4589">
        <v>350985139</v>
      </c>
      <c r="N4589">
        <v>28365639</v>
      </c>
      <c r="O4589">
        <v>-486993673</v>
      </c>
      <c r="P4589">
        <v>105</v>
      </c>
      <c r="Q4589" t="s">
        <v>9528</v>
      </c>
    </row>
    <row r="4590" spans="1:17" x14ac:dyDescent="0.3">
      <c r="A4590" t="s">
        <v>17</v>
      </c>
      <c r="B4590" t="str">
        <f>"600177"</f>
        <v>600177</v>
      </c>
      <c r="C4590" t="s">
        <v>9529</v>
      </c>
      <c r="D4590" t="s">
        <v>581</v>
      </c>
      <c r="E4590">
        <v>-1530407975</v>
      </c>
      <c r="F4590">
        <v>129201055</v>
      </c>
      <c r="G4590">
        <v>777566301</v>
      </c>
      <c r="H4590">
        <v>52686424</v>
      </c>
      <c r="I4590">
        <v>-40815800</v>
      </c>
      <c r="J4590">
        <v>38978926</v>
      </c>
      <c r="K4590">
        <v>440738410</v>
      </c>
      <c r="L4590">
        <v>633326260</v>
      </c>
      <c r="M4590">
        <v>190303191</v>
      </c>
      <c r="N4590">
        <v>1285903331</v>
      </c>
      <c r="O4590">
        <v>492869065</v>
      </c>
      <c r="P4590">
        <v>1571</v>
      </c>
      <c r="Q4590" t="s">
        <v>9530</v>
      </c>
    </row>
    <row r="4591" spans="1:17" x14ac:dyDescent="0.3">
      <c r="A4591" t="s">
        <v>17</v>
      </c>
      <c r="B4591" t="str">
        <f>"600038"</f>
        <v>600038</v>
      </c>
      <c r="C4591" t="s">
        <v>9531</v>
      </c>
      <c r="D4591" t="s">
        <v>2262</v>
      </c>
      <c r="E4591">
        <v>-1538026891</v>
      </c>
      <c r="F4591">
        <v>-232553762</v>
      </c>
      <c r="G4591">
        <v>61915236</v>
      </c>
      <c r="H4591">
        <v>101301005</v>
      </c>
      <c r="I4591">
        <v>-285870269</v>
      </c>
      <c r="J4591">
        <v>548417000</v>
      </c>
      <c r="K4591">
        <v>270805891</v>
      </c>
      <c r="L4591">
        <v>-1291301103</v>
      </c>
      <c r="M4591">
        <v>-684808363</v>
      </c>
      <c r="N4591">
        <v>-329326338</v>
      </c>
      <c r="O4591">
        <v>7221539</v>
      </c>
      <c r="P4591">
        <v>447</v>
      </c>
      <c r="Q4591" t="s">
        <v>9532</v>
      </c>
    </row>
    <row r="4592" spans="1:17" x14ac:dyDescent="0.3">
      <c r="A4592" t="s">
        <v>33</v>
      </c>
      <c r="B4592" t="str">
        <f>"002314"</f>
        <v>002314</v>
      </c>
      <c r="C4592" t="s">
        <v>9533</v>
      </c>
      <c r="D4592" t="s">
        <v>167</v>
      </c>
      <c r="E4592">
        <v>-1541903675</v>
      </c>
      <c r="F4592">
        <v>-494872118</v>
      </c>
      <c r="G4592">
        <v>-4205188802</v>
      </c>
      <c r="H4592">
        <v>611842712</v>
      </c>
      <c r="I4592">
        <v>-1849507569</v>
      </c>
      <c r="J4592">
        <v>-479926457</v>
      </c>
      <c r="K4592">
        <v>1360631815</v>
      </c>
      <c r="L4592">
        <v>-13967454</v>
      </c>
      <c r="M4592">
        <v>-7039540</v>
      </c>
      <c r="N4592">
        <v>-7716692</v>
      </c>
      <c r="O4592">
        <v>-8711046</v>
      </c>
      <c r="P4592">
        <v>206</v>
      </c>
      <c r="Q4592" t="s">
        <v>9534</v>
      </c>
    </row>
    <row r="4593" spans="1:17" x14ac:dyDescent="0.3">
      <c r="A4593" t="s">
        <v>17</v>
      </c>
      <c r="B4593" t="str">
        <f>"600848"</f>
        <v>600848</v>
      </c>
      <c r="C4593" t="s">
        <v>9535</v>
      </c>
      <c r="D4593" t="s">
        <v>1135</v>
      </c>
      <c r="E4593">
        <v>-1557996691</v>
      </c>
      <c r="F4593">
        <v>-701261918</v>
      </c>
      <c r="G4593">
        <v>-878882203</v>
      </c>
      <c r="H4593">
        <v>-420456469</v>
      </c>
      <c r="I4593">
        <v>-1099502197</v>
      </c>
      <c r="J4593">
        <v>-103853314</v>
      </c>
      <c r="K4593">
        <v>-169192162</v>
      </c>
      <c r="L4593">
        <v>-89410943</v>
      </c>
      <c r="M4593">
        <v>-82812116</v>
      </c>
      <c r="N4593">
        <v>-57863032</v>
      </c>
      <c r="O4593">
        <v>-41111089</v>
      </c>
      <c r="P4593">
        <v>271</v>
      </c>
      <c r="Q4593" t="s">
        <v>9536</v>
      </c>
    </row>
    <row r="4594" spans="1:17" x14ac:dyDescent="0.3">
      <c r="A4594" t="s">
        <v>33</v>
      </c>
      <c r="B4594" t="str">
        <f>"002013"</f>
        <v>002013</v>
      </c>
      <c r="C4594" t="s">
        <v>9537</v>
      </c>
      <c r="D4594" t="s">
        <v>2262</v>
      </c>
      <c r="E4594">
        <v>-1561267099</v>
      </c>
      <c r="F4594">
        <v>30975809</v>
      </c>
      <c r="G4594">
        <v>-436957523</v>
      </c>
      <c r="H4594">
        <v>-410990315</v>
      </c>
      <c r="I4594">
        <v>-471085624</v>
      </c>
      <c r="J4594">
        <v>-247950928</v>
      </c>
      <c r="K4594">
        <v>-396845350</v>
      </c>
      <c r="L4594">
        <v>-605270241</v>
      </c>
      <c r="M4594">
        <v>-460900813</v>
      </c>
      <c r="N4594">
        <v>-318422479</v>
      </c>
      <c r="O4594">
        <v>13660326</v>
      </c>
      <c r="P4594">
        <v>656</v>
      </c>
      <c r="Q4594" t="s">
        <v>9538</v>
      </c>
    </row>
    <row r="4595" spans="1:17" x14ac:dyDescent="0.3">
      <c r="A4595" t="s">
        <v>17</v>
      </c>
      <c r="B4595" t="str">
        <f>"600335"</f>
        <v>600335</v>
      </c>
      <c r="C4595" t="s">
        <v>9539</v>
      </c>
      <c r="D4595" t="s">
        <v>2643</v>
      </c>
      <c r="E4595">
        <v>-1567100746</v>
      </c>
      <c r="F4595">
        <v>662670332</v>
      </c>
      <c r="G4595">
        <v>-3148813228</v>
      </c>
      <c r="H4595">
        <v>10620701</v>
      </c>
      <c r="I4595">
        <v>-2584077957</v>
      </c>
      <c r="J4595">
        <v>-1463132282</v>
      </c>
      <c r="K4595">
        <v>2207663107</v>
      </c>
      <c r="L4595">
        <v>-490114375</v>
      </c>
      <c r="M4595">
        <v>2094346130</v>
      </c>
      <c r="N4595">
        <v>1628278299</v>
      </c>
      <c r="O4595">
        <v>-1839478867</v>
      </c>
      <c r="P4595">
        <v>150</v>
      </c>
      <c r="Q4595" t="s">
        <v>9540</v>
      </c>
    </row>
    <row r="4596" spans="1:17" x14ac:dyDescent="0.3">
      <c r="A4596" t="s">
        <v>17</v>
      </c>
      <c r="B4596" t="str">
        <f>"600667"</f>
        <v>600667</v>
      </c>
      <c r="C4596" t="s">
        <v>9541</v>
      </c>
      <c r="D4596" t="s">
        <v>370</v>
      </c>
      <c r="E4596">
        <v>-1569301217</v>
      </c>
      <c r="F4596">
        <v>-746655921</v>
      </c>
      <c r="G4596">
        <v>-731406320</v>
      </c>
      <c r="H4596">
        <v>-575824094</v>
      </c>
      <c r="I4596">
        <v>-635854868</v>
      </c>
      <c r="J4596">
        <v>-236578145</v>
      </c>
      <c r="K4596">
        <v>-414931863</v>
      </c>
      <c r="L4596">
        <v>-322405224</v>
      </c>
      <c r="M4596">
        <v>-23707746</v>
      </c>
      <c r="N4596">
        <v>167526402</v>
      </c>
      <c r="O4596">
        <v>316843655</v>
      </c>
      <c r="P4596">
        <v>445</v>
      </c>
      <c r="Q4596" t="s">
        <v>9542</v>
      </c>
    </row>
    <row r="4597" spans="1:17" x14ac:dyDescent="0.3">
      <c r="A4597" t="s">
        <v>33</v>
      </c>
      <c r="B4597" t="str">
        <f>"000928"</f>
        <v>000928</v>
      </c>
      <c r="C4597" t="s">
        <v>9543</v>
      </c>
      <c r="D4597" t="s">
        <v>8165</v>
      </c>
      <c r="E4597">
        <v>-1595303595</v>
      </c>
      <c r="F4597">
        <v>-2157774053</v>
      </c>
      <c r="G4597">
        <v>-776262228</v>
      </c>
      <c r="H4597">
        <v>313913336</v>
      </c>
      <c r="I4597">
        <v>109150831</v>
      </c>
      <c r="J4597">
        <v>268298043</v>
      </c>
      <c r="K4597">
        <v>-620443029</v>
      </c>
      <c r="L4597">
        <v>1506883</v>
      </c>
      <c r="M4597">
        <v>24597645</v>
      </c>
      <c r="N4597">
        <v>-21177054</v>
      </c>
      <c r="O4597">
        <v>28827718</v>
      </c>
      <c r="P4597">
        <v>271</v>
      </c>
      <c r="Q4597" t="s">
        <v>9544</v>
      </c>
    </row>
    <row r="4598" spans="1:17" x14ac:dyDescent="0.3">
      <c r="A4598" t="s">
        <v>17</v>
      </c>
      <c r="B4598" t="str">
        <f>"600879"</f>
        <v>600879</v>
      </c>
      <c r="C4598" t="s">
        <v>9545</v>
      </c>
      <c r="D4598" t="s">
        <v>2671</v>
      </c>
      <c r="E4598">
        <v>-1599328838</v>
      </c>
      <c r="F4598">
        <v>-615213505</v>
      </c>
      <c r="G4598">
        <v>-473880412</v>
      </c>
      <c r="H4598">
        <v>-601856562</v>
      </c>
      <c r="I4598">
        <v>-739414536</v>
      </c>
      <c r="J4598">
        <v>-743802911</v>
      </c>
      <c r="K4598">
        <v>-338853049</v>
      </c>
      <c r="L4598">
        <v>-343376547</v>
      </c>
      <c r="M4598">
        <v>-202934753</v>
      </c>
      <c r="N4598">
        <v>-106442764</v>
      </c>
      <c r="O4598">
        <v>-210464922</v>
      </c>
      <c r="P4598">
        <v>359</v>
      </c>
      <c r="Q4598" t="s">
        <v>9546</v>
      </c>
    </row>
    <row r="4599" spans="1:17" x14ac:dyDescent="0.3">
      <c r="A4599" t="s">
        <v>33</v>
      </c>
      <c r="B4599" t="str">
        <f>"000877"</f>
        <v>000877</v>
      </c>
      <c r="C4599" t="s">
        <v>9547</v>
      </c>
      <c r="D4599" t="s">
        <v>260</v>
      </c>
      <c r="E4599">
        <v>-1638507835</v>
      </c>
      <c r="F4599">
        <v>-58998400</v>
      </c>
      <c r="G4599">
        <v>-173474219</v>
      </c>
      <c r="H4599">
        <v>18924952</v>
      </c>
      <c r="I4599">
        <v>-91945670</v>
      </c>
      <c r="J4599">
        <v>-96349248</v>
      </c>
      <c r="K4599">
        <v>-59192172</v>
      </c>
      <c r="L4599">
        <v>-175546362</v>
      </c>
      <c r="M4599">
        <v>-430291438</v>
      </c>
      <c r="N4599">
        <v>-645715668</v>
      </c>
      <c r="O4599">
        <v>-604280937</v>
      </c>
      <c r="P4599">
        <v>742</v>
      </c>
      <c r="Q4599" t="s">
        <v>9548</v>
      </c>
    </row>
    <row r="4600" spans="1:17" x14ac:dyDescent="0.3">
      <c r="A4600" t="s">
        <v>33</v>
      </c>
      <c r="B4600" t="str">
        <f>"300274"</f>
        <v>300274</v>
      </c>
      <c r="C4600" t="s">
        <v>9549</v>
      </c>
      <c r="D4600" t="s">
        <v>2708</v>
      </c>
      <c r="E4600">
        <v>-1682576215</v>
      </c>
      <c r="F4600">
        <v>-2483141098</v>
      </c>
      <c r="G4600">
        <v>-940033163</v>
      </c>
      <c r="H4600">
        <v>-722515278</v>
      </c>
      <c r="I4600">
        <v>-1336316289</v>
      </c>
      <c r="J4600">
        <v>-666793047</v>
      </c>
      <c r="K4600">
        <v>-419747079</v>
      </c>
      <c r="L4600">
        <v>-159388613</v>
      </c>
      <c r="M4600">
        <v>-87565003</v>
      </c>
      <c r="N4600">
        <v>-20634445</v>
      </c>
      <c r="O4600">
        <v>-72079231</v>
      </c>
      <c r="P4600">
        <v>2195</v>
      </c>
      <c r="Q4600" t="s">
        <v>9550</v>
      </c>
    </row>
    <row r="4601" spans="1:17" x14ac:dyDescent="0.3">
      <c r="A4601" t="s">
        <v>17</v>
      </c>
      <c r="B4601" t="str">
        <f>"600655"</f>
        <v>600655</v>
      </c>
      <c r="C4601" t="s">
        <v>9551</v>
      </c>
      <c r="D4601" t="s">
        <v>394</v>
      </c>
      <c r="E4601">
        <v>-1691615491</v>
      </c>
      <c r="F4601">
        <v>-933123737</v>
      </c>
      <c r="G4601">
        <v>112854151</v>
      </c>
      <c r="H4601">
        <v>1733776187</v>
      </c>
      <c r="I4601">
        <v>176460319</v>
      </c>
      <c r="J4601">
        <v>242830689</v>
      </c>
      <c r="K4601">
        <v>253688852</v>
      </c>
      <c r="L4601">
        <v>-1058354501</v>
      </c>
      <c r="M4601">
        <v>320072534</v>
      </c>
      <c r="N4601">
        <v>397569632</v>
      </c>
      <c r="O4601">
        <v>879220284</v>
      </c>
      <c r="P4601">
        <v>409</v>
      </c>
      <c r="Q4601" t="s">
        <v>9552</v>
      </c>
    </row>
    <row r="4602" spans="1:17" x14ac:dyDescent="0.3">
      <c r="A4602" t="s">
        <v>33</v>
      </c>
      <c r="B4602" t="str">
        <f>"002929"</f>
        <v>002929</v>
      </c>
      <c r="C4602" t="s">
        <v>9553</v>
      </c>
      <c r="D4602" t="s">
        <v>4393</v>
      </c>
      <c r="E4602">
        <v>-1701838557</v>
      </c>
      <c r="F4602">
        <v>-408342464</v>
      </c>
      <c r="G4602">
        <v>80381171</v>
      </c>
      <c r="H4602">
        <v>-200898124</v>
      </c>
      <c r="I4602">
        <v>-396720643</v>
      </c>
      <c r="J4602">
        <v>-393185067</v>
      </c>
      <c r="P4602">
        <v>270</v>
      </c>
      <c r="Q4602" t="s">
        <v>9554</v>
      </c>
    </row>
    <row r="4603" spans="1:17" x14ac:dyDescent="0.3">
      <c r="A4603" t="s">
        <v>33</v>
      </c>
      <c r="B4603" t="str">
        <f>"300769"</f>
        <v>300769</v>
      </c>
      <c r="C4603" t="s">
        <v>9555</v>
      </c>
      <c r="D4603" t="s">
        <v>795</v>
      </c>
      <c r="E4603">
        <v>-1727195118</v>
      </c>
      <c r="F4603">
        <v>-331209781</v>
      </c>
      <c r="G4603">
        <v>17192460</v>
      </c>
      <c r="H4603">
        <v>48777366</v>
      </c>
      <c r="I4603">
        <v>34304994</v>
      </c>
      <c r="P4603">
        <v>325</v>
      </c>
      <c r="Q4603" t="s">
        <v>9556</v>
      </c>
    </row>
    <row r="4604" spans="1:17" x14ac:dyDescent="0.3">
      <c r="A4604" t="s">
        <v>33</v>
      </c>
      <c r="B4604" t="str">
        <f>"000948"</f>
        <v>000948</v>
      </c>
      <c r="C4604" t="s">
        <v>9557</v>
      </c>
      <c r="D4604" t="s">
        <v>807</v>
      </c>
      <c r="E4604">
        <v>-1731109942</v>
      </c>
      <c r="F4604">
        <v>-723615181</v>
      </c>
      <c r="G4604">
        <v>-735341173</v>
      </c>
      <c r="H4604">
        <v>-558758377</v>
      </c>
      <c r="I4604">
        <v>-545483454</v>
      </c>
      <c r="J4604">
        <v>-425567396</v>
      </c>
      <c r="K4604">
        <v>-374567427</v>
      </c>
      <c r="L4604">
        <v>-309598837</v>
      </c>
      <c r="M4604">
        <v>-329447778</v>
      </c>
      <c r="N4604">
        <v>-248975997</v>
      </c>
      <c r="O4604">
        <v>-319358294</v>
      </c>
      <c r="P4604">
        <v>213</v>
      </c>
      <c r="Q4604" t="s">
        <v>9558</v>
      </c>
    </row>
    <row r="4605" spans="1:17" x14ac:dyDescent="0.3">
      <c r="A4605" t="s">
        <v>17</v>
      </c>
      <c r="B4605" t="str">
        <f>"600649"</f>
        <v>600649</v>
      </c>
      <c r="C4605" t="s">
        <v>9559</v>
      </c>
      <c r="D4605" t="s">
        <v>167</v>
      </c>
      <c r="E4605">
        <v>-1744026053</v>
      </c>
      <c r="F4605">
        <v>-5004226467</v>
      </c>
      <c r="G4605">
        <v>-3187197225</v>
      </c>
      <c r="H4605">
        <v>-2833189011</v>
      </c>
      <c r="I4605">
        <v>8534824</v>
      </c>
      <c r="J4605">
        <v>36186005</v>
      </c>
      <c r="K4605">
        <v>-607801501</v>
      </c>
      <c r="L4605">
        <v>195983789</v>
      </c>
      <c r="M4605">
        <v>-445904793</v>
      </c>
      <c r="N4605">
        <v>-625037153</v>
      </c>
      <c r="O4605">
        <v>-1149719340</v>
      </c>
      <c r="P4605">
        <v>205</v>
      </c>
      <c r="Q4605" t="s">
        <v>9560</v>
      </c>
    </row>
    <row r="4606" spans="1:17" x14ac:dyDescent="0.3">
      <c r="A4606" t="s">
        <v>33</v>
      </c>
      <c r="B4606" t="str">
        <f>"000876"</f>
        <v>000876</v>
      </c>
      <c r="C4606" t="s">
        <v>9561</v>
      </c>
      <c r="D4606" t="s">
        <v>1637</v>
      </c>
      <c r="E4606">
        <v>-1767885694</v>
      </c>
      <c r="F4606">
        <v>-3426409638</v>
      </c>
      <c r="G4606">
        <v>157570147</v>
      </c>
      <c r="H4606">
        <v>20415410</v>
      </c>
      <c r="I4606">
        <v>10712414</v>
      </c>
      <c r="J4606">
        <v>98070153</v>
      </c>
      <c r="K4606">
        <v>718631739</v>
      </c>
      <c r="L4606">
        <v>364588203</v>
      </c>
      <c r="M4606">
        <v>-383323156</v>
      </c>
      <c r="N4606">
        <v>-258090939</v>
      </c>
      <c r="O4606">
        <v>638276729</v>
      </c>
      <c r="P4606">
        <v>2609</v>
      </c>
      <c r="Q4606" t="s">
        <v>9562</v>
      </c>
    </row>
    <row r="4607" spans="1:17" x14ac:dyDescent="0.3">
      <c r="A4607" t="s">
        <v>33</v>
      </c>
      <c r="B4607" t="str">
        <f>"002305"</f>
        <v>002305</v>
      </c>
      <c r="C4607" t="s">
        <v>9563</v>
      </c>
      <c r="D4607" t="s">
        <v>317</v>
      </c>
      <c r="E4607">
        <v>-1768406868</v>
      </c>
      <c r="F4607">
        <v>-895375294</v>
      </c>
      <c r="G4607">
        <v>-997807870</v>
      </c>
      <c r="H4607">
        <v>-293739683</v>
      </c>
      <c r="I4607">
        <v>-5256948</v>
      </c>
      <c r="J4607">
        <v>-1078008526</v>
      </c>
      <c r="K4607">
        <v>-51355040</v>
      </c>
      <c r="L4607">
        <v>-1526075130</v>
      </c>
      <c r="M4607">
        <v>-313094884</v>
      </c>
      <c r="N4607">
        <v>-476566785</v>
      </c>
      <c r="O4607">
        <v>-247105749</v>
      </c>
      <c r="P4607">
        <v>107</v>
      </c>
      <c r="Q4607" t="s">
        <v>9564</v>
      </c>
    </row>
    <row r="4608" spans="1:17" x14ac:dyDescent="0.3">
      <c r="A4608" t="s">
        <v>17</v>
      </c>
      <c r="B4608" t="str">
        <f>"600688"</f>
        <v>600688</v>
      </c>
      <c r="C4608" t="s">
        <v>9565</v>
      </c>
      <c r="D4608" t="s">
        <v>46</v>
      </c>
      <c r="E4608">
        <v>-1785568000</v>
      </c>
      <c r="F4608">
        <v>-322532000</v>
      </c>
      <c r="G4608">
        <v>-3880619000</v>
      </c>
      <c r="H4608">
        <v>-1089708000</v>
      </c>
      <c r="I4608">
        <v>1635267000</v>
      </c>
      <c r="J4608">
        <v>2854156000</v>
      </c>
      <c r="K4608">
        <v>1947815000</v>
      </c>
      <c r="L4608">
        <v>-1045568000</v>
      </c>
      <c r="M4608">
        <v>353348000</v>
      </c>
      <c r="N4608">
        <v>3226319000</v>
      </c>
      <c r="O4608">
        <v>-2767881000</v>
      </c>
      <c r="P4608">
        <v>585</v>
      </c>
      <c r="Q4608" t="s">
        <v>9566</v>
      </c>
    </row>
    <row r="4609" spans="1:17" x14ac:dyDescent="0.3">
      <c r="A4609" t="s">
        <v>33</v>
      </c>
      <c r="B4609" t="str">
        <f>"000553"</f>
        <v>000553</v>
      </c>
      <c r="C4609" t="s">
        <v>9567</v>
      </c>
      <c r="D4609" t="s">
        <v>636</v>
      </c>
      <c r="E4609">
        <v>-1813846000</v>
      </c>
      <c r="F4609">
        <v>-837773000</v>
      </c>
      <c r="G4609">
        <v>-384708000</v>
      </c>
      <c r="H4609">
        <v>-1289484000</v>
      </c>
      <c r="I4609">
        <v>-215819000</v>
      </c>
      <c r="J4609">
        <v>7108591</v>
      </c>
      <c r="K4609">
        <v>-14737785</v>
      </c>
      <c r="L4609">
        <v>-23477753</v>
      </c>
      <c r="M4609">
        <v>146981734</v>
      </c>
      <c r="N4609">
        <v>65245968</v>
      </c>
      <c r="O4609">
        <v>-11945308</v>
      </c>
      <c r="P4609">
        <v>227</v>
      </c>
      <c r="Q4609" t="s">
        <v>9568</v>
      </c>
    </row>
    <row r="4610" spans="1:17" x14ac:dyDescent="0.3">
      <c r="A4610" t="s">
        <v>17</v>
      </c>
      <c r="B4610" t="str">
        <f>"600536"</f>
        <v>600536</v>
      </c>
      <c r="C4610" t="s">
        <v>9569</v>
      </c>
      <c r="D4610" t="s">
        <v>508</v>
      </c>
      <c r="E4610">
        <v>-1846764474</v>
      </c>
      <c r="F4610">
        <v>-1345768255</v>
      </c>
      <c r="G4610">
        <v>-994650365</v>
      </c>
      <c r="H4610">
        <v>-455467105</v>
      </c>
      <c r="I4610">
        <v>-572918741</v>
      </c>
      <c r="J4610">
        <v>-899027837</v>
      </c>
      <c r="K4610">
        <v>-545204862</v>
      </c>
      <c r="L4610">
        <v>-232780077</v>
      </c>
      <c r="M4610">
        <v>-348603920</v>
      </c>
      <c r="N4610">
        <v>-318261614</v>
      </c>
      <c r="O4610">
        <v>-342467185</v>
      </c>
      <c r="P4610">
        <v>621</v>
      </c>
      <c r="Q4610" t="s">
        <v>9570</v>
      </c>
    </row>
    <row r="4611" spans="1:17" x14ac:dyDescent="0.3">
      <c r="A4611" t="s">
        <v>17</v>
      </c>
      <c r="B4611" t="str">
        <f>"600713"</f>
        <v>600713</v>
      </c>
      <c r="C4611" t="s">
        <v>9571</v>
      </c>
      <c r="D4611" t="s">
        <v>415</v>
      </c>
      <c r="E4611">
        <v>-1848390253</v>
      </c>
      <c r="F4611">
        <v>-1701754369</v>
      </c>
      <c r="G4611">
        <v>-2004714078</v>
      </c>
      <c r="H4611">
        <v>-1623048796</v>
      </c>
      <c r="I4611">
        <v>-1275969725</v>
      </c>
      <c r="J4611">
        <v>-998777430</v>
      </c>
      <c r="K4611">
        <v>-600559015</v>
      </c>
      <c r="L4611">
        <v>-291999997</v>
      </c>
      <c r="M4611">
        <v>-154093241</v>
      </c>
      <c r="N4611">
        <v>-193827680</v>
      </c>
      <c r="O4611">
        <v>341169572</v>
      </c>
      <c r="P4611">
        <v>188</v>
      </c>
      <c r="Q4611" t="s">
        <v>9572</v>
      </c>
    </row>
    <row r="4612" spans="1:17" x14ac:dyDescent="0.3">
      <c r="A4612" t="s">
        <v>33</v>
      </c>
      <c r="B4612" t="str">
        <f>"000066"</f>
        <v>000066</v>
      </c>
      <c r="C4612" t="s">
        <v>9573</v>
      </c>
      <c r="D4612" t="s">
        <v>1571</v>
      </c>
      <c r="E4612">
        <v>-1881934901</v>
      </c>
      <c r="F4612">
        <v>-1672988527</v>
      </c>
      <c r="G4612">
        <v>-457901142</v>
      </c>
      <c r="H4612">
        <v>-199496748</v>
      </c>
      <c r="I4612">
        <v>-110227104</v>
      </c>
      <c r="J4612">
        <v>-468319397</v>
      </c>
      <c r="K4612">
        <v>1491724979</v>
      </c>
      <c r="L4612">
        <v>-2215416279</v>
      </c>
      <c r="M4612">
        <v>511882670</v>
      </c>
      <c r="N4612">
        <v>-269659194</v>
      </c>
      <c r="O4612">
        <v>17087471</v>
      </c>
      <c r="P4612">
        <v>712</v>
      </c>
      <c r="Q4612" t="s">
        <v>9574</v>
      </c>
    </row>
    <row r="4613" spans="1:17" x14ac:dyDescent="0.3">
      <c r="A4613" t="s">
        <v>33</v>
      </c>
      <c r="B4613" t="str">
        <f>"000032"</f>
        <v>000032</v>
      </c>
      <c r="C4613" t="s">
        <v>9575</v>
      </c>
      <c r="D4613" t="s">
        <v>1347</v>
      </c>
      <c r="E4613">
        <v>-1903530749</v>
      </c>
      <c r="F4613">
        <v>-23981704</v>
      </c>
      <c r="G4613">
        <v>-55326208</v>
      </c>
      <c r="H4613">
        <v>17630257</v>
      </c>
      <c r="I4613">
        <v>-4338633</v>
      </c>
      <c r="J4613">
        <v>11072016</v>
      </c>
      <c r="K4613">
        <v>-49493901</v>
      </c>
      <c r="L4613">
        <v>24818576</v>
      </c>
      <c r="M4613">
        <v>884179</v>
      </c>
      <c r="N4613">
        <v>8742515</v>
      </c>
      <c r="O4613">
        <v>-27616250</v>
      </c>
      <c r="P4613">
        <v>121</v>
      </c>
      <c r="Q4613" t="s">
        <v>9576</v>
      </c>
    </row>
    <row r="4614" spans="1:17" x14ac:dyDescent="0.3">
      <c r="A4614" t="s">
        <v>17</v>
      </c>
      <c r="B4614" t="str">
        <f>"688599"</f>
        <v>688599</v>
      </c>
      <c r="C4614" t="s">
        <v>9577</v>
      </c>
      <c r="D4614" t="s">
        <v>690</v>
      </c>
      <c r="E4614">
        <v>-1907875285</v>
      </c>
      <c r="F4614">
        <v>-1474007463</v>
      </c>
      <c r="G4614">
        <v>460330897</v>
      </c>
      <c r="P4614">
        <v>371</v>
      </c>
      <c r="Q4614" t="s">
        <v>9578</v>
      </c>
    </row>
    <row r="4615" spans="1:17" x14ac:dyDescent="0.3">
      <c r="A4615" t="s">
        <v>33</v>
      </c>
      <c r="B4615" t="str">
        <f>"002459"</f>
        <v>002459</v>
      </c>
      <c r="C4615" t="s">
        <v>9579</v>
      </c>
      <c r="D4615" t="s">
        <v>690</v>
      </c>
      <c r="E4615">
        <v>-1908139189</v>
      </c>
      <c r="F4615">
        <v>-1067780500</v>
      </c>
      <c r="G4615">
        <v>-365208626</v>
      </c>
      <c r="H4615">
        <v>-29599118</v>
      </c>
      <c r="I4615">
        <v>-28080393</v>
      </c>
      <c r="J4615">
        <v>-27524947</v>
      </c>
      <c r="K4615">
        <v>13330066</v>
      </c>
      <c r="L4615">
        <v>-43520774</v>
      </c>
      <c r="M4615">
        <v>62094124</v>
      </c>
      <c r="N4615">
        <v>57999926</v>
      </c>
      <c r="O4615">
        <v>-55172290</v>
      </c>
      <c r="P4615">
        <v>1227</v>
      </c>
      <c r="Q4615" t="s">
        <v>9580</v>
      </c>
    </row>
    <row r="4616" spans="1:17" x14ac:dyDescent="0.3">
      <c r="A4616" t="s">
        <v>17</v>
      </c>
      <c r="B4616" t="str">
        <f>"601886"</f>
        <v>601886</v>
      </c>
      <c r="C4616" t="s">
        <v>9581</v>
      </c>
      <c r="D4616" t="s">
        <v>1779</v>
      </c>
      <c r="E4616">
        <v>-1913845338</v>
      </c>
      <c r="F4616">
        <v>-1503282514</v>
      </c>
      <c r="G4616">
        <v>-1507910392</v>
      </c>
      <c r="H4616">
        <v>-992638430</v>
      </c>
      <c r="I4616">
        <v>-804435417</v>
      </c>
      <c r="J4616">
        <v>-376928756</v>
      </c>
      <c r="K4616">
        <v>-868821794</v>
      </c>
      <c r="L4616">
        <v>-826192153</v>
      </c>
      <c r="M4616">
        <v>-202251896</v>
      </c>
      <c r="N4616">
        <v>-891727380</v>
      </c>
      <c r="O4616">
        <v>-720465253</v>
      </c>
      <c r="P4616">
        <v>177</v>
      </c>
      <c r="Q4616" t="s">
        <v>9582</v>
      </c>
    </row>
    <row r="4617" spans="1:17" x14ac:dyDescent="0.3">
      <c r="A4617" t="s">
        <v>17</v>
      </c>
      <c r="B4617" t="str">
        <f>"600362"</f>
        <v>600362</v>
      </c>
      <c r="C4617" t="s">
        <v>9583</v>
      </c>
      <c r="D4617" t="s">
        <v>153</v>
      </c>
      <c r="E4617">
        <v>-1942800280</v>
      </c>
      <c r="F4617">
        <v>-1786713597</v>
      </c>
      <c r="G4617">
        <v>457966532</v>
      </c>
      <c r="H4617">
        <v>743933356</v>
      </c>
      <c r="I4617">
        <v>797210336</v>
      </c>
      <c r="J4617">
        <v>982124500</v>
      </c>
      <c r="K4617">
        <v>743869596</v>
      </c>
      <c r="L4617">
        <v>123906503</v>
      </c>
      <c r="M4617">
        <v>311840133</v>
      </c>
      <c r="N4617">
        <v>911805749</v>
      </c>
      <c r="O4617">
        <v>1075520386</v>
      </c>
      <c r="P4617">
        <v>911</v>
      </c>
      <c r="Q4617" t="s">
        <v>9584</v>
      </c>
    </row>
    <row r="4618" spans="1:17" x14ac:dyDescent="0.3">
      <c r="A4618" t="s">
        <v>17</v>
      </c>
      <c r="B4618" t="str">
        <f>"603071"</f>
        <v>603071</v>
      </c>
      <c r="C4618" t="s">
        <v>9585</v>
      </c>
      <c r="D4618" t="s">
        <v>1094</v>
      </c>
      <c r="E4618">
        <v>-1958186548</v>
      </c>
      <c r="P4618">
        <v>19</v>
      </c>
      <c r="Q4618" t="s">
        <v>9586</v>
      </c>
    </row>
    <row r="4619" spans="1:17" x14ac:dyDescent="0.3">
      <c r="A4619" t="s">
        <v>17</v>
      </c>
      <c r="B4619" t="str">
        <f>"600100"</f>
        <v>600100</v>
      </c>
      <c r="C4619" t="s">
        <v>9587</v>
      </c>
      <c r="D4619" t="s">
        <v>1571</v>
      </c>
      <c r="E4619">
        <v>-1981421222</v>
      </c>
      <c r="F4619">
        <v>-1687144442</v>
      </c>
      <c r="G4619">
        <v>-2377569995</v>
      </c>
      <c r="H4619">
        <v>-1876019673</v>
      </c>
      <c r="I4619">
        <v>-2244609468</v>
      </c>
      <c r="J4619">
        <v>-2622744645</v>
      </c>
      <c r="K4619">
        <v>-2522360144</v>
      </c>
      <c r="L4619">
        <v>-2023504244</v>
      </c>
      <c r="M4619">
        <v>-1009803257</v>
      </c>
      <c r="N4619">
        <v>-917711498</v>
      </c>
      <c r="O4619">
        <v>-576692409</v>
      </c>
      <c r="P4619">
        <v>321</v>
      </c>
      <c r="Q4619" t="s">
        <v>9588</v>
      </c>
    </row>
    <row r="4620" spans="1:17" x14ac:dyDescent="0.3">
      <c r="A4620" t="s">
        <v>33</v>
      </c>
      <c r="B4620" t="str">
        <f>"000701"</f>
        <v>000701</v>
      </c>
      <c r="C4620" t="s">
        <v>9589</v>
      </c>
      <c r="D4620" t="s">
        <v>499</v>
      </c>
      <c r="E4620">
        <v>-1997058114</v>
      </c>
      <c r="F4620">
        <v>-4704824293</v>
      </c>
      <c r="G4620">
        <v>-2958292765</v>
      </c>
      <c r="H4620">
        <v>-6077416684</v>
      </c>
      <c r="I4620">
        <v>-5765408608</v>
      </c>
      <c r="J4620">
        <v>-5913743031</v>
      </c>
      <c r="K4620">
        <v>-3966631313</v>
      </c>
      <c r="L4620">
        <v>-3269652557</v>
      </c>
      <c r="M4620">
        <v>-1958834770</v>
      </c>
      <c r="N4620">
        <v>-732329783</v>
      </c>
      <c r="O4620">
        <v>-485694026</v>
      </c>
      <c r="P4620">
        <v>120</v>
      </c>
      <c r="Q4620" t="s">
        <v>9590</v>
      </c>
    </row>
    <row r="4621" spans="1:17" x14ac:dyDescent="0.3">
      <c r="A4621" t="s">
        <v>17</v>
      </c>
      <c r="B4621" t="str">
        <f>"603225"</f>
        <v>603225</v>
      </c>
      <c r="C4621" t="s">
        <v>9591</v>
      </c>
      <c r="D4621" t="s">
        <v>2145</v>
      </c>
      <c r="E4621">
        <v>-2008394763</v>
      </c>
      <c r="F4621">
        <v>-585414902</v>
      </c>
      <c r="G4621">
        <v>-1648758674</v>
      </c>
      <c r="H4621">
        <v>-592340593</v>
      </c>
      <c r="I4621">
        <v>-50021248</v>
      </c>
      <c r="J4621">
        <v>-541458022</v>
      </c>
      <c r="K4621">
        <v>-29609942</v>
      </c>
      <c r="P4621">
        <v>388</v>
      </c>
      <c r="Q4621" t="s">
        <v>9592</v>
      </c>
    </row>
    <row r="4622" spans="1:17" x14ac:dyDescent="0.3">
      <c r="A4622" t="s">
        <v>33</v>
      </c>
      <c r="B4622" t="str">
        <f>"002670"</f>
        <v>002670</v>
      </c>
      <c r="C4622" t="s">
        <v>9593</v>
      </c>
      <c r="D4622" t="s">
        <v>52</v>
      </c>
      <c r="E4622">
        <v>-2012774964</v>
      </c>
      <c r="F4622">
        <v>1629580121</v>
      </c>
      <c r="G4622">
        <v>2734919422</v>
      </c>
      <c r="H4622">
        <v>1697495539</v>
      </c>
      <c r="I4622">
        <v>1360325646</v>
      </c>
      <c r="J4622">
        <v>722538836</v>
      </c>
      <c r="K4622">
        <v>15343555</v>
      </c>
      <c r="L4622">
        <v>22083776</v>
      </c>
      <c r="M4622">
        <v>-33411428</v>
      </c>
      <c r="N4622">
        <v>-14831310</v>
      </c>
      <c r="O4622">
        <v>-58908851</v>
      </c>
      <c r="P4622">
        <v>580</v>
      </c>
      <c r="Q4622" t="s">
        <v>9594</v>
      </c>
    </row>
    <row r="4623" spans="1:17" x14ac:dyDescent="0.3">
      <c r="A4623" t="s">
        <v>17</v>
      </c>
      <c r="B4623" t="str">
        <f>"600039"</f>
        <v>600039</v>
      </c>
      <c r="C4623" t="s">
        <v>9595</v>
      </c>
      <c r="D4623" t="s">
        <v>1527</v>
      </c>
      <c r="E4623">
        <v>-2013939455</v>
      </c>
      <c r="F4623">
        <v>-1865973822</v>
      </c>
      <c r="G4623">
        <v>-1177061759</v>
      </c>
      <c r="H4623">
        <v>-820935392</v>
      </c>
      <c r="I4623">
        <v>-543400569</v>
      </c>
      <c r="J4623">
        <v>124510616</v>
      </c>
      <c r="K4623">
        <v>392288018</v>
      </c>
      <c r="L4623">
        <v>446417368</v>
      </c>
      <c r="M4623">
        <v>-170739285</v>
      </c>
      <c r="N4623">
        <v>838104526</v>
      </c>
      <c r="O4623">
        <v>50344020</v>
      </c>
      <c r="P4623">
        <v>484</v>
      </c>
      <c r="Q4623" t="s">
        <v>9596</v>
      </c>
    </row>
    <row r="4624" spans="1:17" x14ac:dyDescent="0.3">
      <c r="A4624" t="s">
        <v>17</v>
      </c>
      <c r="B4624" t="str">
        <f>"600510"</f>
        <v>600510</v>
      </c>
      <c r="C4624" t="s">
        <v>9597</v>
      </c>
      <c r="D4624" t="s">
        <v>167</v>
      </c>
      <c r="E4624">
        <v>-2085752226</v>
      </c>
      <c r="F4624">
        <v>-1141764834</v>
      </c>
      <c r="G4624">
        <v>-221483093</v>
      </c>
      <c r="H4624">
        <v>-909010910</v>
      </c>
      <c r="I4624">
        <v>98902167</v>
      </c>
      <c r="J4624">
        <v>-267800744</v>
      </c>
      <c r="K4624">
        <v>-609347764</v>
      </c>
      <c r="L4624">
        <v>-930894079</v>
      </c>
      <c r="M4624">
        <v>-1223667666</v>
      </c>
      <c r="N4624">
        <v>-1201570485</v>
      </c>
      <c r="O4624">
        <v>-701997784</v>
      </c>
      <c r="P4624">
        <v>240</v>
      </c>
      <c r="Q4624" t="s">
        <v>9598</v>
      </c>
    </row>
    <row r="4625" spans="1:17" x14ac:dyDescent="0.3">
      <c r="A4625" t="s">
        <v>33</v>
      </c>
      <c r="B4625" t="str">
        <f>"002340"</f>
        <v>002340</v>
      </c>
      <c r="C4625" t="s">
        <v>9599</v>
      </c>
      <c r="D4625" t="s">
        <v>795</v>
      </c>
      <c r="E4625">
        <v>-2153581562</v>
      </c>
      <c r="F4625">
        <v>30248957</v>
      </c>
      <c r="G4625">
        <v>86865959</v>
      </c>
      <c r="H4625">
        <v>-285052512</v>
      </c>
      <c r="I4625">
        <v>105860851</v>
      </c>
      <c r="J4625">
        <v>82959884</v>
      </c>
      <c r="K4625">
        <v>-203912567</v>
      </c>
      <c r="L4625">
        <v>-384064740</v>
      </c>
      <c r="M4625">
        <v>-298367484</v>
      </c>
      <c r="N4625">
        <v>-170525477</v>
      </c>
      <c r="O4625">
        <v>-268554868</v>
      </c>
      <c r="P4625">
        <v>1302</v>
      </c>
      <c r="Q4625" t="s">
        <v>9600</v>
      </c>
    </row>
    <row r="4626" spans="1:17" x14ac:dyDescent="0.3">
      <c r="A4626" t="s">
        <v>17</v>
      </c>
      <c r="B4626" t="str">
        <f>"600970"</f>
        <v>600970</v>
      </c>
      <c r="C4626" t="s">
        <v>9601</v>
      </c>
      <c r="D4626" t="s">
        <v>8165</v>
      </c>
      <c r="E4626">
        <v>-2183980866</v>
      </c>
      <c r="F4626">
        <v>-1435676969</v>
      </c>
      <c r="G4626">
        <v>-1246519365</v>
      </c>
      <c r="H4626">
        <v>-1359867770</v>
      </c>
      <c r="I4626">
        <v>-1026584541</v>
      </c>
      <c r="J4626">
        <v>133322821</v>
      </c>
      <c r="K4626">
        <v>444598860</v>
      </c>
      <c r="L4626">
        <v>-766747337</v>
      </c>
      <c r="M4626">
        <v>-1331293213</v>
      </c>
      <c r="N4626">
        <v>-623693873</v>
      </c>
      <c r="O4626">
        <v>630727885</v>
      </c>
      <c r="P4626">
        <v>853</v>
      </c>
      <c r="Q4626" t="s">
        <v>9602</v>
      </c>
    </row>
    <row r="4627" spans="1:17" x14ac:dyDescent="0.3">
      <c r="A4627" t="s">
        <v>17</v>
      </c>
      <c r="B4627" t="str">
        <f>"601808"</f>
        <v>601808</v>
      </c>
      <c r="C4627" t="s">
        <v>9603</v>
      </c>
      <c r="D4627" t="s">
        <v>348</v>
      </c>
      <c r="E4627">
        <v>-2224160780</v>
      </c>
      <c r="F4627">
        <v>-1025091586</v>
      </c>
      <c r="G4627">
        <v>1180505136</v>
      </c>
      <c r="H4627">
        <v>-5304362</v>
      </c>
      <c r="I4627">
        <v>-847924632</v>
      </c>
      <c r="J4627">
        <v>196438802</v>
      </c>
      <c r="K4627">
        <v>905450707</v>
      </c>
      <c r="L4627">
        <v>956827126</v>
      </c>
      <c r="M4627">
        <v>1123716774</v>
      </c>
      <c r="N4627">
        <v>346619877</v>
      </c>
      <c r="O4627">
        <v>1947592063</v>
      </c>
      <c r="P4627">
        <v>411</v>
      </c>
      <c r="Q4627" t="s">
        <v>9604</v>
      </c>
    </row>
    <row r="4628" spans="1:17" x14ac:dyDescent="0.3">
      <c r="A4628" t="s">
        <v>33</v>
      </c>
      <c r="B4628" t="str">
        <f>"200553"</f>
        <v>200553</v>
      </c>
      <c r="C4628" t="s">
        <v>9605</v>
      </c>
      <c r="E4628">
        <v>-2238285964</v>
      </c>
      <c r="F4628">
        <v>-992342118.5</v>
      </c>
      <c r="G4628">
        <v>-420447373.19999999</v>
      </c>
      <c r="H4628">
        <v>-1507535744.4000001</v>
      </c>
      <c r="I4628">
        <v>-269881659.5</v>
      </c>
      <c r="J4628">
        <v>8019912.3662</v>
      </c>
      <c r="K4628">
        <v>-17704501.120499998</v>
      </c>
      <c r="L4628">
        <v>-29347191.25</v>
      </c>
      <c r="M4628">
        <v>183491996.7256</v>
      </c>
      <c r="N4628">
        <v>81544410.806400001</v>
      </c>
      <c r="O4628">
        <v>-14728564.764</v>
      </c>
      <c r="P4628">
        <v>58</v>
      </c>
      <c r="Q4628" t="s">
        <v>9606</v>
      </c>
    </row>
    <row r="4629" spans="1:17" x14ac:dyDescent="0.3">
      <c r="A4629" t="s">
        <v>17</v>
      </c>
      <c r="B4629" t="str">
        <f>"600150"</f>
        <v>600150</v>
      </c>
      <c r="C4629" t="s">
        <v>9607</v>
      </c>
      <c r="D4629" t="s">
        <v>248</v>
      </c>
      <c r="E4629">
        <v>-2245713511</v>
      </c>
      <c r="F4629">
        <v>736306837</v>
      </c>
      <c r="G4629">
        <v>-4499019189</v>
      </c>
      <c r="H4629">
        <v>200914025</v>
      </c>
      <c r="I4629">
        <v>100033426</v>
      </c>
      <c r="J4629">
        <v>-386242917</v>
      </c>
      <c r="K4629">
        <v>-1892580544</v>
      </c>
      <c r="L4629">
        <v>-912271813</v>
      </c>
      <c r="M4629">
        <v>437900507</v>
      </c>
      <c r="N4629">
        <v>-745080356</v>
      </c>
      <c r="O4629">
        <v>-1325623104</v>
      </c>
      <c r="P4629">
        <v>469</v>
      </c>
      <c r="Q4629" t="s">
        <v>9608</v>
      </c>
    </row>
    <row r="4630" spans="1:17" x14ac:dyDescent="0.3">
      <c r="A4630" t="s">
        <v>17</v>
      </c>
      <c r="B4630" t="str">
        <f>"600522"</f>
        <v>600522</v>
      </c>
      <c r="C4630" t="s">
        <v>9609</v>
      </c>
      <c r="D4630" t="s">
        <v>1302</v>
      </c>
      <c r="E4630">
        <v>-2259399152</v>
      </c>
      <c r="F4630">
        <v>-1592736707</v>
      </c>
      <c r="G4630">
        <v>-2340022314</v>
      </c>
      <c r="H4630">
        <v>-1298954258</v>
      </c>
      <c r="I4630">
        <v>-537025782</v>
      </c>
      <c r="J4630">
        <v>-1349323381</v>
      </c>
      <c r="K4630">
        <v>-538290376</v>
      </c>
      <c r="L4630">
        <v>188826682</v>
      </c>
      <c r="M4630">
        <v>172288200</v>
      </c>
      <c r="N4630">
        <v>-101199642</v>
      </c>
      <c r="O4630">
        <v>-89041408</v>
      </c>
      <c r="P4630">
        <v>1218</v>
      </c>
      <c r="Q4630" t="s">
        <v>9610</v>
      </c>
    </row>
    <row r="4631" spans="1:17" x14ac:dyDescent="0.3">
      <c r="A4631" t="s">
        <v>17</v>
      </c>
      <c r="B4631" t="str">
        <f>"605222"</f>
        <v>605222</v>
      </c>
      <c r="C4631" t="s">
        <v>9611</v>
      </c>
      <c r="D4631" t="s">
        <v>1282</v>
      </c>
      <c r="E4631">
        <v>-2272436632</v>
      </c>
      <c r="F4631">
        <v>-746501187</v>
      </c>
      <c r="G4631">
        <v>-664887159</v>
      </c>
      <c r="H4631">
        <v>-342855172</v>
      </c>
      <c r="P4631">
        <v>110</v>
      </c>
      <c r="Q4631" t="s">
        <v>9612</v>
      </c>
    </row>
    <row r="4632" spans="1:17" x14ac:dyDescent="0.3">
      <c r="A4632" t="s">
        <v>17</v>
      </c>
      <c r="B4632" t="str">
        <f>"600939"</f>
        <v>600939</v>
      </c>
      <c r="C4632" t="s">
        <v>9613</v>
      </c>
      <c r="D4632" t="s">
        <v>827</v>
      </c>
      <c r="E4632">
        <v>-2282036878</v>
      </c>
      <c r="F4632">
        <v>-3274355173</v>
      </c>
      <c r="G4632">
        <v>-711789853</v>
      </c>
      <c r="H4632">
        <v>-1060032795</v>
      </c>
      <c r="I4632">
        <v>-973930885</v>
      </c>
      <c r="J4632">
        <v>-313495351</v>
      </c>
      <c r="K4632">
        <v>-780642126</v>
      </c>
      <c r="P4632">
        <v>125</v>
      </c>
      <c r="Q4632" t="s">
        <v>9614</v>
      </c>
    </row>
    <row r="4633" spans="1:17" x14ac:dyDescent="0.3">
      <c r="A4633" t="s">
        <v>33</v>
      </c>
      <c r="B4633" t="str">
        <f>"000938"</f>
        <v>000938</v>
      </c>
      <c r="C4633" t="s">
        <v>9615</v>
      </c>
      <c r="D4633" t="s">
        <v>508</v>
      </c>
      <c r="E4633">
        <v>-2326986483</v>
      </c>
      <c r="F4633">
        <v>-857311797</v>
      </c>
      <c r="G4633">
        <v>-2158004358</v>
      </c>
      <c r="H4633">
        <v>-3115206790</v>
      </c>
      <c r="I4633">
        <v>868919177</v>
      </c>
      <c r="J4633">
        <v>-715197770</v>
      </c>
      <c r="K4633">
        <v>-390501954</v>
      </c>
      <c r="L4633">
        <v>-533388067</v>
      </c>
      <c r="M4633">
        <v>-507109112</v>
      </c>
      <c r="N4633">
        <v>-427069791</v>
      </c>
      <c r="O4633">
        <v>-360975493</v>
      </c>
      <c r="P4633">
        <v>3894</v>
      </c>
      <c r="Q4633" t="s">
        <v>9616</v>
      </c>
    </row>
    <row r="4634" spans="1:17" x14ac:dyDescent="0.3">
      <c r="A4634" t="s">
        <v>33</v>
      </c>
      <c r="B4634" t="str">
        <f>"000987"</f>
        <v>000987</v>
      </c>
      <c r="C4634" t="s">
        <v>9617</v>
      </c>
      <c r="D4634" t="s">
        <v>114</v>
      </c>
      <c r="E4634">
        <v>-2346856589</v>
      </c>
      <c r="F4634">
        <v>-378363685</v>
      </c>
      <c r="G4634">
        <v>-1426509034</v>
      </c>
      <c r="H4634">
        <v>2867526168</v>
      </c>
      <c r="I4634">
        <v>-1283969335</v>
      </c>
      <c r="J4634">
        <v>-1196576521</v>
      </c>
      <c r="K4634">
        <v>-74795200</v>
      </c>
      <c r="L4634">
        <v>-82227780</v>
      </c>
      <c r="M4634">
        <v>-174122605</v>
      </c>
      <c r="N4634">
        <v>-46931154</v>
      </c>
      <c r="O4634">
        <v>-126444037</v>
      </c>
      <c r="P4634">
        <v>520</v>
      </c>
      <c r="Q4634" t="s">
        <v>9618</v>
      </c>
    </row>
    <row r="4635" spans="1:17" x14ac:dyDescent="0.3">
      <c r="A4635" t="s">
        <v>33</v>
      </c>
      <c r="B4635" t="str">
        <f>"000800"</f>
        <v>000800</v>
      </c>
      <c r="C4635" t="s">
        <v>9619</v>
      </c>
      <c r="D4635" t="s">
        <v>330</v>
      </c>
      <c r="E4635">
        <v>-2359016036</v>
      </c>
      <c r="F4635">
        <v>4038764488</v>
      </c>
      <c r="G4635">
        <v>-2024154380</v>
      </c>
      <c r="H4635">
        <v>89122376</v>
      </c>
      <c r="I4635">
        <v>652942136</v>
      </c>
      <c r="J4635">
        <v>538868890</v>
      </c>
      <c r="K4635">
        <v>-336412892</v>
      </c>
      <c r="L4635">
        <v>234087827</v>
      </c>
      <c r="M4635">
        <v>195110939</v>
      </c>
      <c r="N4635">
        <v>-99043360</v>
      </c>
      <c r="O4635">
        <v>609315335</v>
      </c>
      <c r="P4635">
        <v>446</v>
      </c>
      <c r="Q4635" t="s">
        <v>9620</v>
      </c>
    </row>
    <row r="4636" spans="1:17" x14ac:dyDescent="0.3">
      <c r="A4636" t="s">
        <v>17</v>
      </c>
      <c r="B4636" t="str">
        <f>"600853"</f>
        <v>600853</v>
      </c>
      <c r="C4636" t="s">
        <v>9621</v>
      </c>
      <c r="D4636" t="s">
        <v>1527</v>
      </c>
      <c r="E4636">
        <v>-2390123468</v>
      </c>
      <c r="F4636">
        <v>-1651146023</v>
      </c>
      <c r="G4636">
        <v>-260989632</v>
      </c>
      <c r="H4636">
        <v>-627148545</v>
      </c>
      <c r="I4636">
        <v>-177502680</v>
      </c>
      <c r="J4636">
        <v>-573448723</v>
      </c>
      <c r="K4636">
        <v>-545901539</v>
      </c>
      <c r="L4636">
        <v>-128816376</v>
      </c>
      <c r="M4636">
        <v>-333691570</v>
      </c>
      <c r="N4636">
        <v>78540064</v>
      </c>
      <c r="O4636">
        <v>3506621</v>
      </c>
      <c r="P4636">
        <v>94</v>
      </c>
      <c r="Q4636" t="s">
        <v>9622</v>
      </c>
    </row>
    <row r="4637" spans="1:17" x14ac:dyDescent="0.3">
      <c r="A4637" t="s">
        <v>33</v>
      </c>
      <c r="B4637" t="str">
        <f>"000402"</f>
        <v>000402</v>
      </c>
      <c r="C4637" t="s">
        <v>9623</v>
      </c>
      <c r="D4637" t="s">
        <v>317</v>
      </c>
      <c r="E4637">
        <v>-2391584618</v>
      </c>
      <c r="F4637">
        <v>4610608870</v>
      </c>
      <c r="G4637">
        <v>-4592840369</v>
      </c>
      <c r="H4637">
        <v>2116795856</v>
      </c>
      <c r="I4637">
        <v>-7619204290</v>
      </c>
      <c r="J4637">
        <v>923283892</v>
      </c>
      <c r="K4637">
        <v>-890390537</v>
      </c>
      <c r="L4637">
        <v>-4247892353</v>
      </c>
      <c r="M4637">
        <v>-1981805738</v>
      </c>
      <c r="N4637">
        <v>-116865557</v>
      </c>
      <c r="O4637">
        <v>-381725093</v>
      </c>
      <c r="P4637">
        <v>974</v>
      </c>
      <c r="Q4637" t="s">
        <v>9624</v>
      </c>
    </row>
    <row r="4638" spans="1:17" x14ac:dyDescent="0.3">
      <c r="A4638" t="s">
        <v>17</v>
      </c>
      <c r="B4638" t="str">
        <f>"600967"</f>
        <v>600967</v>
      </c>
      <c r="C4638" t="s">
        <v>9625</v>
      </c>
      <c r="D4638" t="s">
        <v>967</v>
      </c>
      <c r="E4638">
        <v>-2398811784</v>
      </c>
      <c r="F4638">
        <v>302290540</v>
      </c>
      <c r="G4638">
        <v>-284749906</v>
      </c>
      <c r="H4638">
        <v>832836370</v>
      </c>
      <c r="I4638">
        <v>1211173520</v>
      </c>
      <c r="J4638">
        <v>655848711</v>
      </c>
      <c r="K4638">
        <v>-21952423</v>
      </c>
      <c r="L4638">
        <v>-227179629</v>
      </c>
      <c r="M4638">
        <v>-365499062</v>
      </c>
      <c r="N4638">
        <v>136325686</v>
      </c>
      <c r="O4638">
        <v>-193595128</v>
      </c>
      <c r="P4638">
        <v>286</v>
      </c>
      <c r="Q4638" t="s">
        <v>9626</v>
      </c>
    </row>
    <row r="4639" spans="1:17" x14ac:dyDescent="0.3">
      <c r="A4639" t="s">
        <v>17</v>
      </c>
      <c r="B4639" t="str">
        <f>"600760"</f>
        <v>600760</v>
      </c>
      <c r="C4639" t="s">
        <v>9627</v>
      </c>
      <c r="D4639" t="s">
        <v>2262</v>
      </c>
      <c r="E4639">
        <v>-2461076238</v>
      </c>
      <c r="F4639">
        <v>-1785039478</v>
      </c>
      <c r="G4639">
        <v>-481108458</v>
      </c>
      <c r="H4639">
        <v>181471538</v>
      </c>
      <c r="I4639">
        <v>-187837315</v>
      </c>
      <c r="J4639">
        <v>19386351</v>
      </c>
      <c r="K4639">
        <v>5575880</v>
      </c>
      <c r="L4639">
        <v>17367181</v>
      </c>
      <c r="M4639">
        <v>-40298675</v>
      </c>
      <c r="N4639">
        <v>-43105034</v>
      </c>
      <c r="O4639">
        <v>-45894137</v>
      </c>
      <c r="P4639">
        <v>827</v>
      </c>
      <c r="Q4639" t="s">
        <v>9628</v>
      </c>
    </row>
    <row r="4640" spans="1:17" x14ac:dyDescent="0.3">
      <c r="A4640" t="s">
        <v>33</v>
      </c>
      <c r="B4640" t="str">
        <f>"000090"</f>
        <v>000090</v>
      </c>
      <c r="C4640" t="s">
        <v>9629</v>
      </c>
      <c r="D4640" t="s">
        <v>167</v>
      </c>
      <c r="E4640">
        <v>-2466986644</v>
      </c>
      <c r="F4640">
        <v>1761055042</v>
      </c>
      <c r="G4640">
        <v>-1317778192</v>
      </c>
      <c r="H4640">
        <v>-10446305</v>
      </c>
      <c r="I4640">
        <v>-39181936</v>
      </c>
      <c r="J4640">
        <v>-278172740</v>
      </c>
      <c r="K4640">
        <v>-194326686</v>
      </c>
      <c r="L4640">
        <v>-219753047</v>
      </c>
      <c r="M4640">
        <v>-471269909</v>
      </c>
      <c r="N4640">
        <v>-186944284</v>
      </c>
      <c r="O4640">
        <v>-75125412</v>
      </c>
      <c r="P4640">
        <v>424</v>
      </c>
      <c r="Q4640" t="s">
        <v>9630</v>
      </c>
    </row>
    <row r="4641" spans="1:17" x14ac:dyDescent="0.3">
      <c r="A4641" t="s">
        <v>33</v>
      </c>
      <c r="B4641" t="str">
        <f>"002236"</f>
        <v>002236</v>
      </c>
      <c r="C4641" t="s">
        <v>9631</v>
      </c>
      <c r="D4641" t="s">
        <v>2597</v>
      </c>
      <c r="E4641">
        <v>-2473101851</v>
      </c>
      <c r="F4641">
        <v>-1327570256</v>
      </c>
      <c r="G4641">
        <v>-1190517599</v>
      </c>
      <c r="H4641">
        <v>-1728487213</v>
      </c>
      <c r="I4641">
        <v>-1286295160</v>
      </c>
      <c r="J4641">
        <v>-1384225716</v>
      </c>
      <c r="K4641">
        <v>-718084576</v>
      </c>
      <c r="L4641">
        <v>-523948826</v>
      </c>
      <c r="M4641">
        <v>-678592076</v>
      </c>
      <c r="N4641">
        <v>-215180759</v>
      </c>
      <c r="O4641">
        <v>-229913056</v>
      </c>
      <c r="P4641">
        <v>32899</v>
      </c>
      <c r="Q4641" t="s">
        <v>9632</v>
      </c>
    </row>
    <row r="4642" spans="1:17" x14ac:dyDescent="0.3">
      <c r="A4642" t="s">
        <v>17</v>
      </c>
      <c r="B4642" t="str">
        <f>"601607"</f>
        <v>601607</v>
      </c>
      <c r="C4642" t="s">
        <v>9633</v>
      </c>
      <c r="D4642" t="s">
        <v>415</v>
      </c>
      <c r="E4642">
        <v>-2490127524</v>
      </c>
      <c r="F4642">
        <v>-1100044685</v>
      </c>
      <c r="G4642">
        <v>-592090020</v>
      </c>
      <c r="H4642">
        <v>153660971</v>
      </c>
      <c r="I4642">
        <v>95684859</v>
      </c>
      <c r="J4642">
        <v>376240281</v>
      </c>
      <c r="K4642">
        <v>327698478</v>
      </c>
      <c r="L4642">
        <v>-142084298</v>
      </c>
      <c r="M4642">
        <v>-564590747</v>
      </c>
      <c r="N4642">
        <v>-257826246</v>
      </c>
      <c r="O4642">
        <v>-24476407</v>
      </c>
      <c r="P4642">
        <v>1369</v>
      </c>
      <c r="Q4642" t="s">
        <v>9634</v>
      </c>
    </row>
    <row r="4643" spans="1:17" x14ac:dyDescent="0.3">
      <c r="A4643" t="s">
        <v>17</v>
      </c>
      <c r="B4643" t="str">
        <f>"600498"</f>
        <v>600498</v>
      </c>
      <c r="C4643" t="s">
        <v>9635</v>
      </c>
      <c r="D4643" t="s">
        <v>461</v>
      </c>
      <c r="E4643">
        <v>-2506922054</v>
      </c>
      <c r="F4643">
        <v>-2158258058</v>
      </c>
      <c r="G4643">
        <v>-3523890618</v>
      </c>
      <c r="H4643">
        <v>-1702921943</v>
      </c>
      <c r="I4643">
        <v>-2905084485</v>
      </c>
      <c r="J4643">
        <v>-2151551952</v>
      </c>
      <c r="K4643">
        <v>-1959817674</v>
      </c>
      <c r="L4643">
        <v>-851267205</v>
      </c>
      <c r="M4643">
        <v>-699472955</v>
      </c>
      <c r="N4643">
        <v>-1165921538</v>
      </c>
      <c r="O4643">
        <v>-999982616</v>
      </c>
      <c r="P4643">
        <v>853</v>
      </c>
      <c r="Q4643" t="s">
        <v>9636</v>
      </c>
    </row>
    <row r="4644" spans="1:17" x14ac:dyDescent="0.3">
      <c r="A4644" t="s">
        <v>17</v>
      </c>
      <c r="B4644" t="str">
        <f>"600710"</f>
        <v>600710</v>
      </c>
      <c r="C4644" t="s">
        <v>9637</v>
      </c>
      <c r="D4644" t="s">
        <v>1592</v>
      </c>
      <c r="E4644">
        <v>-2563834884</v>
      </c>
      <c r="F4644">
        <v>-5046617957</v>
      </c>
      <c r="G4644">
        <v>-3671985705</v>
      </c>
      <c r="H4644">
        <v>1460219794</v>
      </c>
      <c r="I4644">
        <v>-364505020</v>
      </c>
      <c r="J4644">
        <v>-1984150758</v>
      </c>
      <c r="K4644">
        <v>-37226095</v>
      </c>
      <c r="L4644">
        <v>-62249721</v>
      </c>
      <c r="M4644">
        <v>-94620078</v>
      </c>
      <c r="N4644">
        <v>-17396053</v>
      </c>
      <c r="O4644">
        <v>-9550047</v>
      </c>
      <c r="P4644">
        <v>166</v>
      </c>
      <c r="Q4644" t="s">
        <v>9638</v>
      </c>
    </row>
    <row r="4645" spans="1:17" x14ac:dyDescent="0.3">
      <c r="A4645" t="s">
        <v>17</v>
      </c>
      <c r="B4645" t="str">
        <f>"600841"</f>
        <v>600841</v>
      </c>
      <c r="C4645" t="s">
        <v>9639</v>
      </c>
      <c r="D4645" t="s">
        <v>858</v>
      </c>
      <c r="E4645">
        <v>-2584689696</v>
      </c>
      <c r="F4645">
        <v>-247456439</v>
      </c>
      <c r="G4645">
        <v>-168220994</v>
      </c>
      <c r="H4645">
        <v>-125049860</v>
      </c>
      <c r="I4645">
        <v>9069597</v>
      </c>
      <c r="J4645">
        <v>-89448082</v>
      </c>
      <c r="K4645">
        <v>-140381648</v>
      </c>
      <c r="L4645">
        <v>39397596</v>
      </c>
      <c r="M4645">
        <v>-166799598</v>
      </c>
      <c r="N4645">
        <v>-80983268</v>
      </c>
      <c r="O4645">
        <v>-100985423</v>
      </c>
      <c r="P4645">
        <v>88</v>
      </c>
      <c r="Q4645" t="s">
        <v>9640</v>
      </c>
    </row>
    <row r="4646" spans="1:17" x14ac:dyDescent="0.3">
      <c r="A4646" t="s">
        <v>17</v>
      </c>
      <c r="B4646" t="str">
        <f>"688660"</f>
        <v>688660</v>
      </c>
      <c r="C4646" t="s">
        <v>9641</v>
      </c>
      <c r="D4646" t="s">
        <v>8494</v>
      </c>
      <c r="E4646">
        <v>-2589283747</v>
      </c>
      <c r="F4646">
        <v>-1900974020</v>
      </c>
      <c r="G4646">
        <v>689479863</v>
      </c>
      <c r="P4646">
        <v>54</v>
      </c>
      <c r="Q4646" t="s">
        <v>9642</v>
      </c>
    </row>
    <row r="4647" spans="1:17" x14ac:dyDescent="0.3">
      <c r="A4647" t="s">
        <v>17</v>
      </c>
      <c r="B4647" t="str">
        <f>"600820"</f>
        <v>600820</v>
      </c>
      <c r="C4647" t="s">
        <v>9643</v>
      </c>
      <c r="D4647" t="s">
        <v>1527</v>
      </c>
      <c r="E4647">
        <v>-2616654122</v>
      </c>
      <c r="F4647">
        <v>-6824471429</v>
      </c>
      <c r="G4647">
        <v>-5220479136</v>
      </c>
      <c r="H4647">
        <v>-2388504755</v>
      </c>
      <c r="I4647">
        <v>-2478005283</v>
      </c>
      <c r="J4647">
        <v>-878893922</v>
      </c>
      <c r="K4647">
        <v>-757716068</v>
      </c>
      <c r="L4647">
        <v>-902539145</v>
      </c>
      <c r="M4647">
        <v>604979704</v>
      </c>
      <c r="N4647">
        <v>-767105170</v>
      </c>
      <c r="O4647">
        <v>-605609408</v>
      </c>
      <c r="P4647">
        <v>685</v>
      </c>
      <c r="Q4647" t="s">
        <v>9644</v>
      </c>
    </row>
    <row r="4648" spans="1:17" x14ac:dyDescent="0.3">
      <c r="A4648" t="s">
        <v>17</v>
      </c>
      <c r="B4648" t="str">
        <f>"600998"</f>
        <v>600998</v>
      </c>
      <c r="C4648" t="s">
        <v>9645</v>
      </c>
      <c r="D4648" t="s">
        <v>415</v>
      </c>
      <c r="E4648">
        <v>-2646124040</v>
      </c>
      <c r="F4648">
        <v>-2421505006</v>
      </c>
      <c r="G4648">
        <v>-2551594689</v>
      </c>
      <c r="H4648">
        <v>-3263512151</v>
      </c>
      <c r="I4648">
        <v>-3874592071</v>
      </c>
      <c r="J4648">
        <v>-2665167132</v>
      </c>
      <c r="K4648">
        <v>-3615997917</v>
      </c>
      <c r="L4648">
        <v>-2397495076</v>
      </c>
      <c r="M4648">
        <v>-2256722465</v>
      </c>
      <c r="N4648">
        <v>-888466114</v>
      </c>
      <c r="O4648">
        <v>-977183476</v>
      </c>
      <c r="P4648">
        <v>612</v>
      </c>
      <c r="Q4648" t="s">
        <v>9646</v>
      </c>
    </row>
    <row r="4649" spans="1:17" x14ac:dyDescent="0.3">
      <c r="A4649" t="s">
        <v>33</v>
      </c>
      <c r="B4649" t="str">
        <f>"002302"</f>
        <v>002302</v>
      </c>
      <c r="C4649" t="s">
        <v>9647</v>
      </c>
      <c r="D4649" t="s">
        <v>3447</v>
      </c>
      <c r="E4649">
        <v>-2656845943</v>
      </c>
      <c r="F4649">
        <v>-2068679964</v>
      </c>
      <c r="G4649">
        <v>-1819663141</v>
      </c>
      <c r="H4649">
        <v>-1050383101</v>
      </c>
      <c r="I4649">
        <v>-1922906575</v>
      </c>
      <c r="J4649">
        <v>-1458364364</v>
      </c>
      <c r="K4649">
        <v>-972663078</v>
      </c>
      <c r="L4649">
        <v>-581426545</v>
      </c>
      <c r="M4649">
        <v>-410058904</v>
      </c>
      <c r="N4649">
        <v>-481537222</v>
      </c>
      <c r="O4649">
        <v>-38701629</v>
      </c>
      <c r="P4649">
        <v>201</v>
      </c>
      <c r="Q4649" t="s">
        <v>9648</v>
      </c>
    </row>
    <row r="4650" spans="1:17" x14ac:dyDescent="0.3">
      <c r="A4650" t="s">
        <v>33</v>
      </c>
      <c r="B4650" t="str">
        <f>"000059"</f>
        <v>000059</v>
      </c>
      <c r="C4650" t="s">
        <v>9649</v>
      </c>
      <c r="D4650" t="s">
        <v>46</v>
      </c>
      <c r="E4650">
        <v>-2660299247</v>
      </c>
      <c r="F4650">
        <v>-1066463731</v>
      </c>
      <c r="G4650">
        <v>-3357669080</v>
      </c>
      <c r="H4650">
        <v>-840828139</v>
      </c>
      <c r="I4650">
        <v>-1642577715</v>
      </c>
      <c r="J4650">
        <v>-642709149</v>
      </c>
      <c r="K4650">
        <v>1124919035</v>
      </c>
      <c r="L4650">
        <v>2657816107</v>
      </c>
      <c r="M4650">
        <v>-1985703456</v>
      </c>
      <c r="N4650">
        <v>-542381600</v>
      </c>
      <c r="O4650">
        <v>1809657254</v>
      </c>
      <c r="P4650">
        <v>387</v>
      </c>
      <c r="Q4650" t="s">
        <v>9650</v>
      </c>
    </row>
    <row r="4651" spans="1:17" x14ac:dyDescent="0.3">
      <c r="A4651" t="s">
        <v>33</v>
      </c>
      <c r="B4651" t="str">
        <f>"000550"</f>
        <v>000550</v>
      </c>
      <c r="C4651" t="s">
        <v>9651</v>
      </c>
      <c r="D4651" t="s">
        <v>330</v>
      </c>
      <c r="E4651">
        <v>-2691345433</v>
      </c>
      <c r="F4651">
        <v>-2012581942</v>
      </c>
      <c r="G4651">
        <v>-3209160716</v>
      </c>
      <c r="H4651">
        <v>-191280537</v>
      </c>
      <c r="I4651">
        <v>-1397216801</v>
      </c>
      <c r="J4651">
        <v>-879366426</v>
      </c>
      <c r="K4651">
        <v>-142473687</v>
      </c>
      <c r="L4651">
        <v>-84185091</v>
      </c>
      <c r="M4651">
        <v>617630161</v>
      </c>
      <c r="N4651">
        <v>891538312</v>
      </c>
      <c r="O4651">
        <v>746836478</v>
      </c>
      <c r="P4651">
        <v>595</v>
      </c>
      <c r="Q4651" t="s">
        <v>9652</v>
      </c>
    </row>
    <row r="4652" spans="1:17" x14ac:dyDescent="0.3">
      <c r="A4652" t="s">
        <v>17</v>
      </c>
      <c r="B4652" t="str">
        <f>"601989"</f>
        <v>601989</v>
      </c>
      <c r="C4652" t="s">
        <v>9653</v>
      </c>
      <c r="D4652" t="s">
        <v>248</v>
      </c>
      <c r="E4652">
        <v>-2751956946</v>
      </c>
      <c r="F4652">
        <v>-313597501</v>
      </c>
      <c r="G4652">
        <v>215375503</v>
      </c>
      <c r="H4652">
        <v>-3207798160</v>
      </c>
      <c r="I4652">
        <v>-196727895</v>
      </c>
      <c r="J4652">
        <v>-1324947622</v>
      </c>
      <c r="K4652">
        <v>-3398673846</v>
      </c>
      <c r="L4652">
        <v>1745573346</v>
      </c>
      <c r="M4652">
        <v>-2666740232</v>
      </c>
      <c r="N4652">
        <v>-2580537622</v>
      </c>
      <c r="O4652">
        <v>-4325443028</v>
      </c>
      <c r="P4652">
        <v>669</v>
      </c>
      <c r="Q4652" t="s">
        <v>9654</v>
      </c>
    </row>
    <row r="4653" spans="1:17" x14ac:dyDescent="0.3">
      <c r="A4653" t="s">
        <v>33</v>
      </c>
      <c r="B4653" t="str">
        <f>"000666"</f>
        <v>000666</v>
      </c>
      <c r="C4653" t="s">
        <v>9655</v>
      </c>
      <c r="D4653" t="s">
        <v>5769</v>
      </c>
      <c r="E4653">
        <v>-2781637893</v>
      </c>
      <c r="F4653">
        <v>-7355341387</v>
      </c>
      <c r="G4653">
        <v>-4151796192</v>
      </c>
      <c r="H4653">
        <v>-3082229580</v>
      </c>
      <c r="I4653">
        <v>-1164843726</v>
      </c>
      <c r="J4653">
        <v>-2132345609</v>
      </c>
      <c r="K4653">
        <v>-1662075001</v>
      </c>
      <c r="L4653">
        <v>145717055</v>
      </c>
      <c r="M4653">
        <v>473578160</v>
      </c>
      <c r="N4653">
        <v>511634985</v>
      </c>
      <c r="O4653">
        <v>414022893</v>
      </c>
      <c r="P4653">
        <v>186</v>
      </c>
      <c r="Q4653" t="s">
        <v>9656</v>
      </c>
    </row>
    <row r="4654" spans="1:17" x14ac:dyDescent="0.3">
      <c r="A4654" t="s">
        <v>17</v>
      </c>
      <c r="B4654" t="str">
        <f>"688819"</f>
        <v>688819</v>
      </c>
      <c r="C4654" t="s">
        <v>9657</v>
      </c>
      <c r="D4654" t="s">
        <v>1536</v>
      </c>
      <c r="E4654">
        <v>-2785055047</v>
      </c>
      <c r="F4654">
        <v>-2589423443</v>
      </c>
      <c r="P4654">
        <v>159</v>
      </c>
      <c r="Q4654" t="s">
        <v>9658</v>
      </c>
    </row>
    <row r="4655" spans="1:17" x14ac:dyDescent="0.3">
      <c r="A4655" t="s">
        <v>33</v>
      </c>
      <c r="B4655" t="str">
        <f>"300919"</f>
        <v>300919</v>
      </c>
      <c r="C4655" t="s">
        <v>9659</v>
      </c>
      <c r="D4655" t="s">
        <v>795</v>
      </c>
      <c r="E4655">
        <v>-2811284198</v>
      </c>
      <c r="F4655">
        <v>-488328761</v>
      </c>
      <c r="G4655">
        <v>-163701270</v>
      </c>
      <c r="P4655">
        <v>175</v>
      </c>
      <c r="Q4655" t="s">
        <v>9660</v>
      </c>
    </row>
    <row r="4656" spans="1:17" x14ac:dyDescent="0.3">
      <c r="A4656" t="s">
        <v>17</v>
      </c>
      <c r="B4656" t="str">
        <f>"601236"</f>
        <v>601236</v>
      </c>
      <c r="C4656" t="s">
        <v>9661</v>
      </c>
      <c r="D4656" t="s">
        <v>52</v>
      </c>
      <c r="E4656">
        <v>-2902099229</v>
      </c>
      <c r="F4656">
        <v>1929841398</v>
      </c>
      <c r="G4656">
        <v>-227717734</v>
      </c>
      <c r="H4656">
        <v>-1988416000</v>
      </c>
      <c r="I4656">
        <v>-1532524100</v>
      </c>
      <c r="P4656">
        <v>879</v>
      </c>
      <c r="Q4656" t="s">
        <v>9662</v>
      </c>
    </row>
    <row r="4657" spans="1:17" x14ac:dyDescent="0.3">
      <c r="A4657" t="s">
        <v>33</v>
      </c>
      <c r="B4657" t="str">
        <f>"000927"</f>
        <v>000927</v>
      </c>
      <c r="C4657" t="s">
        <v>9663</v>
      </c>
      <c r="D4657" t="s">
        <v>641</v>
      </c>
      <c r="E4657">
        <v>-2988508130</v>
      </c>
      <c r="F4657">
        <v>-1387327911</v>
      </c>
      <c r="G4657">
        <v>-74589063</v>
      </c>
      <c r="H4657">
        <v>-249033534</v>
      </c>
      <c r="I4657">
        <v>-241253630</v>
      </c>
      <c r="J4657">
        <v>-488565497</v>
      </c>
      <c r="K4657">
        <v>-541873604</v>
      </c>
      <c r="L4657">
        <v>-128842019</v>
      </c>
      <c r="M4657">
        <v>-290515188</v>
      </c>
      <c r="N4657">
        <v>-94439240</v>
      </c>
      <c r="O4657">
        <v>-194203124</v>
      </c>
      <c r="P4657">
        <v>131</v>
      </c>
      <c r="Q4657" t="s">
        <v>9664</v>
      </c>
    </row>
    <row r="4658" spans="1:17" x14ac:dyDescent="0.3">
      <c r="A4658" t="s">
        <v>33</v>
      </c>
      <c r="B4658" t="str">
        <f>"002304"</f>
        <v>002304</v>
      </c>
      <c r="C4658" t="s">
        <v>9665</v>
      </c>
      <c r="D4658" t="s">
        <v>229</v>
      </c>
      <c r="E4658">
        <v>-3061792274</v>
      </c>
      <c r="F4658">
        <v>2919559011</v>
      </c>
      <c r="G4658">
        <v>-328870648</v>
      </c>
      <c r="H4658">
        <v>122965637</v>
      </c>
      <c r="I4658">
        <v>1891759703</v>
      </c>
      <c r="J4658">
        <v>1170374437</v>
      </c>
      <c r="K4658">
        <v>2516108669</v>
      </c>
      <c r="L4658">
        <v>2597805567</v>
      </c>
      <c r="M4658">
        <v>1563058019</v>
      </c>
      <c r="N4658">
        <v>2015391124</v>
      </c>
      <c r="O4658">
        <v>2940194253</v>
      </c>
      <c r="P4658">
        <v>52722</v>
      </c>
      <c r="Q4658" t="s">
        <v>9666</v>
      </c>
    </row>
    <row r="4659" spans="1:17" x14ac:dyDescent="0.3">
      <c r="A4659" t="s">
        <v>33</v>
      </c>
      <c r="B4659" t="str">
        <f>"000950"</f>
        <v>000950</v>
      </c>
      <c r="C4659" t="s">
        <v>9667</v>
      </c>
      <c r="D4659" t="s">
        <v>415</v>
      </c>
      <c r="E4659">
        <v>-3159107305</v>
      </c>
      <c r="F4659">
        <v>-2547529457</v>
      </c>
      <c r="G4659">
        <v>-2027461419</v>
      </c>
      <c r="H4659">
        <v>-1572802104</v>
      </c>
      <c r="I4659">
        <v>-1492533105</v>
      </c>
      <c r="J4659">
        <v>26503332</v>
      </c>
      <c r="K4659">
        <v>-4325705</v>
      </c>
      <c r="L4659">
        <v>-50385134</v>
      </c>
      <c r="M4659">
        <v>-99242373</v>
      </c>
      <c r="N4659">
        <v>9937367</v>
      </c>
      <c r="O4659">
        <v>54832236</v>
      </c>
      <c r="P4659">
        <v>145</v>
      </c>
      <c r="Q4659" t="s">
        <v>9668</v>
      </c>
    </row>
    <row r="4660" spans="1:17" x14ac:dyDescent="0.3">
      <c r="A4660" t="s">
        <v>33</v>
      </c>
      <c r="B4660" t="str">
        <f>"002061"</f>
        <v>002061</v>
      </c>
      <c r="C4660" t="s">
        <v>9669</v>
      </c>
      <c r="D4660" t="s">
        <v>1527</v>
      </c>
      <c r="E4660">
        <v>-3168687801</v>
      </c>
      <c r="F4660">
        <v>-2269649533</v>
      </c>
      <c r="G4660">
        <v>-216244248</v>
      </c>
      <c r="H4660">
        <v>-558068458</v>
      </c>
      <c r="I4660">
        <v>349212051</v>
      </c>
      <c r="J4660">
        <v>114277286</v>
      </c>
      <c r="K4660">
        <v>22414250</v>
      </c>
      <c r="L4660">
        <v>-14885396</v>
      </c>
      <c r="M4660">
        <v>62780555</v>
      </c>
      <c r="N4660">
        <v>52454566</v>
      </c>
      <c r="O4660">
        <v>-18948117</v>
      </c>
      <c r="P4660">
        <v>215</v>
      </c>
      <c r="Q4660" t="s">
        <v>9670</v>
      </c>
    </row>
    <row r="4661" spans="1:17" x14ac:dyDescent="0.3">
      <c r="A4661" t="s">
        <v>17</v>
      </c>
      <c r="B4661" t="str">
        <f>"601238"</f>
        <v>601238</v>
      </c>
      <c r="C4661" t="s">
        <v>9671</v>
      </c>
      <c r="D4661" t="s">
        <v>641</v>
      </c>
      <c r="E4661">
        <v>-3202935526</v>
      </c>
      <c r="F4661">
        <v>-5251059359</v>
      </c>
      <c r="G4661">
        <v>-6473241577</v>
      </c>
      <c r="H4661">
        <v>-6031010077</v>
      </c>
      <c r="I4661">
        <v>-1240059467</v>
      </c>
      <c r="J4661">
        <v>3486390182</v>
      </c>
      <c r="K4661">
        <v>1372179760</v>
      </c>
      <c r="L4661">
        <v>-367957914</v>
      </c>
      <c r="M4661">
        <v>53174508</v>
      </c>
      <c r="N4661">
        <v>-56824628</v>
      </c>
      <c r="O4661">
        <v>-327174614</v>
      </c>
      <c r="P4661">
        <v>1300</v>
      </c>
      <c r="Q4661" t="s">
        <v>9672</v>
      </c>
    </row>
    <row r="4662" spans="1:17" x14ac:dyDescent="0.3">
      <c r="A4662" t="s">
        <v>17</v>
      </c>
      <c r="B4662" t="str">
        <f>"600058"</f>
        <v>600058</v>
      </c>
      <c r="C4662" t="s">
        <v>9673</v>
      </c>
      <c r="D4662" t="s">
        <v>1592</v>
      </c>
      <c r="E4662">
        <v>-3245808210</v>
      </c>
      <c r="F4662">
        <v>-1508346602</v>
      </c>
      <c r="G4662">
        <v>-598964543</v>
      </c>
      <c r="H4662">
        <v>87568823</v>
      </c>
      <c r="I4662">
        <v>-2208047983</v>
      </c>
      <c r="J4662">
        <v>-1161571818</v>
      </c>
      <c r="K4662">
        <v>-800598404</v>
      </c>
      <c r="L4662">
        <v>-443891556</v>
      </c>
      <c r="M4662">
        <v>-3378620025</v>
      </c>
      <c r="N4662">
        <v>-999989712</v>
      </c>
      <c r="O4662">
        <v>1461449888</v>
      </c>
      <c r="P4662">
        <v>139</v>
      </c>
      <c r="Q4662" t="s">
        <v>9674</v>
      </c>
    </row>
    <row r="4663" spans="1:17" x14ac:dyDescent="0.3">
      <c r="A4663" t="s">
        <v>17</v>
      </c>
      <c r="B4663" t="str">
        <f>"600803"</f>
        <v>600803</v>
      </c>
      <c r="C4663" t="s">
        <v>9675</v>
      </c>
      <c r="D4663" t="s">
        <v>649</v>
      </c>
      <c r="E4663">
        <v>-3261250000</v>
      </c>
      <c r="F4663">
        <v>485330000</v>
      </c>
      <c r="G4663">
        <v>330163888</v>
      </c>
      <c r="H4663">
        <v>568626443</v>
      </c>
      <c r="I4663">
        <v>-171103831</v>
      </c>
      <c r="J4663">
        <v>188676287</v>
      </c>
      <c r="K4663">
        <v>-95322655</v>
      </c>
      <c r="L4663">
        <v>209490717</v>
      </c>
      <c r="M4663">
        <v>167752651</v>
      </c>
      <c r="N4663">
        <v>-516179</v>
      </c>
      <c r="O4663">
        <v>-94430007</v>
      </c>
      <c r="P4663">
        <v>577</v>
      </c>
      <c r="Q4663" t="s">
        <v>9676</v>
      </c>
    </row>
    <row r="4664" spans="1:17" x14ac:dyDescent="0.3">
      <c r="A4664" t="s">
        <v>33</v>
      </c>
      <c r="B4664" t="str">
        <f>"300122"</f>
        <v>300122</v>
      </c>
      <c r="C4664" t="s">
        <v>9677</v>
      </c>
      <c r="D4664" t="s">
        <v>1321</v>
      </c>
      <c r="E4664">
        <v>-3316743954</v>
      </c>
      <c r="F4664">
        <v>-113803718</v>
      </c>
      <c r="G4664">
        <v>-485313051</v>
      </c>
      <c r="H4664">
        <v>-436021973</v>
      </c>
      <c r="I4664">
        <v>67396622</v>
      </c>
      <c r="J4664">
        <v>-27181548</v>
      </c>
      <c r="K4664">
        <v>-24345258</v>
      </c>
      <c r="L4664">
        <v>-65419055</v>
      </c>
      <c r="M4664">
        <v>-70675004</v>
      </c>
      <c r="N4664">
        <v>-6327545</v>
      </c>
      <c r="O4664">
        <v>-12976679</v>
      </c>
      <c r="P4664">
        <v>3426</v>
      </c>
      <c r="Q4664" t="s">
        <v>9678</v>
      </c>
    </row>
    <row r="4665" spans="1:17" x14ac:dyDescent="0.3">
      <c r="A4665" t="s">
        <v>33</v>
      </c>
      <c r="B4665" t="str">
        <f>"001979"</f>
        <v>001979</v>
      </c>
      <c r="C4665" t="s">
        <v>9679</v>
      </c>
      <c r="D4665" t="s">
        <v>317</v>
      </c>
      <c r="E4665">
        <v>-3319756593</v>
      </c>
      <c r="F4665">
        <v>-13304998037</v>
      </c>
      <c r="G4665">
        <v>-16396899027</v>
      </c>
      <c r="H4665">
        <v>-8965364780</v>
      </c>
      <c r="I4665">
        <v>-9151688319</v>
      </c>
      <c r="J4665">
        <v>-11115167171</v>
      </c>
      <c r="K4665">
        <v>-1573401678</v>
      </c>
      <c r="L4665">
        <v>-7020454405</v>
      </c>
      <c r="P4665">
        <v>1456</v>
      </c>
      <c r="Q4665" t="s">
        <v>9680</v>
      </c>
    </row>
    <row r="4666" spans="1:17" x14ac:dyDescent="0.3">
      <c r="A4666" t="s">
        <v>17</v>
      </c>
      <c r="B4666" t="str">
        <f>"600376"</f>
        <v>600376</v>
      </c>
      <c r="C4666" t="s">
        <v>9681</v>
      </c>
      <c r="D4666" t="s">
        <v>167</v>
      </c>
      <c r="E4666">
        <v>-3356598465</v>
      </c>
      <c r="F4666">
        <v>2046841431</v>
      </c>
      <c r="G4666">
        <v>-4709804867</v>
      </c>
      <c r="H4666">
        <v>-10578347880</v>
      </c>
      <c r="I4666">
        <v>-871191024</v>
      </c>
      <c r="J4666">
        <v>-3927695462</v>
      </c>
      <c r="K4666">
        <v>-1325837499</v>
      </c>
      <c r="L4666">
        <v>-2285143284</v>
      </c>
      <c r="M4666">
        <v>-543717582</v>
      </c>
      <c r="N4666">
        <v>818387828</v>
      </c>
      <c r="O4666">
        <v>-119981584</v>
      </c>
      <c r="P4666">
        <v>1101</v>
      </c>
      <c r="Q4666" t="s">
        <v>9682</v>
      </c>
    </row>
    <row r="4667" spans="1:17" x14ac:dyDescent="0.3">
      <c r="A4667" t="s">
        <v>33</v>
      </c>
      <c r="B4667" t="str">
        <f>"000858"</f>
        <v>000858</v>
      </c>
      <c r="C4667" t="s">
        <v>9683</v>
      </c>
      <c r="D4667" t="s">
        <v>229</v>
      </c>
      <c r="E4667">
        <v>-3401025899</v>
      </c>
      <c r="F4667">
        <v>5505475102</v>
      </c>
      <c r="G4667">
        <v>-1201790977</v>
      </c>
      <c r="H4667">
        <v>7926569919</v>
      </c>
      <c r="I4667">
        <v>2398028544</v>
      </c>
      <c r="J4667">
        <v>1843612667</v>
      </c>
      <c r="K4667">
        <v>759516944</v>
      </c>
      <c r="L4667">
        <v>1932422885</v>
      </c>
      <c r="M4667">
        <v>-2201725479</v>
      </c>
      <c r="N4667">
        <v>1136711876</v>
      </c>
      <c r="O4667">
        <v>1681643782</v>
      </c>
      <c r="P4667">
        <v>11635</v>
      </c>
      <c r="Q4667" t="s">
        <v>9684</v>
      </c>
    </row>
    <row r="4668" spans="1:17" x14ac:dyDescent="0.3">
      <c r="A4668" t="s">
        <v>17</v>
      </c>
      <c r="B4668" t="str">
        <f>"600663"</f>
        <v>600663</v>
      </c>
      <c r="C4668" t="s">
        <v>9685</v>
      </c>
      <c r="D4668" t="s">
        <v>317</v>
      </c>
      <c r="E4668">
        <v>-3481030286</v>
      </c>
      <c r="F4668">
        <v>1384909324</v>
      </c>
      <c r="G4668">
        <v>-2232032623</v>
      </c>
      <c r="H4668">
        <v>-561625074</v>
      </c>
      <c r="I4668">
        <v>-1998249595</v>
      </c>
      <c r="J4668">
        <v>695495181</v>
      </c>
      <c r="K4668">
        <v>176360615</v>
      </c>
      <c r="L4668">
        <v>-561603192</v>
      </c>
      <c r="M4668">
        <v>-1462830536</v>
      </c>
      <c r="N4668">
        <v>187057006</v>
      </c>
      <c r="O4668">
        <v>780998643</v>
      </c>
      <c r="P4668">
        <v>700</v>
      </c>
      <c r="Q4668" t="s">
        <v>9686</v>
      </c>
    </row>
    <row r="4669" spans="1:17" x14ac:dyDescent="0.3">
      <c r="A4669" t="s">
        <v>33</v>
      </c>
      <c r="B4669" t="str">
        <f>"002673"</f>
        <v>002673</v>
      </c>
      <c r="C4669" t="s">
        <v>9687</v>
      </c>
      <c r="D4669" t="s">
        <v>52</v>
      </c>
      <c r="E4669">
        <v>-3587482614</v>
      </c>
      <c r="F4669">
        <v>-5716863224</v>
      </c>
      <c r="G4669">
        <v>1617651695</v>
      </c>
      <c r="H4669">
        <v>4625931968</v>
      </c>
      <c r="I4669">
        <v>876363892</v>
      </c>
      <c r="J4669">
        <v>48928971</v>
      </c>
      <c r="K4669">
        <v>-2395331351</v>
      </c>
      <c r="L4669">
        <v>878766797</v>
      </c>
      <c r="M4669">
        <v>316113533</v>
      </c>
      <c r="N4669">
        <v>-387073120</v>
      </c>
      <c r="O4669">
        <v>21988704</v>
      </c>
      <c r="P4669">
        <v>1135</v>
      </c>
      <c r="Q4669" t="s">
        <v>9688</v>
      </c>
    </row>
    <row r="4670" spans="1:17" x14ac:dyDescent="0.3">
      <c r="A4670" t="s">
        <v>17</v>
      </c>
      <c r="B4670" t="str">
        <f>"600875"</f>
        <v>600875</v>
      </c>
      <c r="C4670" t="s">
        <v>9689</v>
      </c>
      <c r="D4670" t="s">
        <v>3044</v>
      </c>
      <c r="E4670">
        <v>-3596336428</v>
      </c>
      <c r="F4670">
        <v>-3714939510</v>
      </c>
      <c r="G4670">
        <v>-739297921</v>
      </c>
      <c r="H4670">
        <v>-4150389877</v>
      </c>
      <c r="I4670">
        <v>-1575801478</v>
      </c>
      <c r="J4670">
        <v>-862910408</v>
      </c>
      <c r="K4670">
        <v>55426300</v>
      </c>
      <c r="L4670">
        <v>-2372494825</v>
      </c>
      <c r="M4670">
        <v>-786116393</v>
      </c>
      <c r="N4670">
        <v>134477893</v>
      </c>
      <c r="O4670">
        <v>-2297038708</v>
      </c>
      <c r="P4670">
        <v>482</v>
      </c>
      <c r="Q4670" t="s">
        <v>9690</v>
      </c>
    </row>
    <row r="4671" spans="1:17" x14ac:dyDescent="0.3">
      <c r="A4671" t="s">
        <v>17</v>
      </c>
      <c r="B4671" t="str">
        <f>"600221"</f>
        <v>600221</v>
      </c>
      <c r="C4671" t="s">
        <v>9691</v>
      </c>
      <c r="D4671" t="s">
        <v>1166</v>
      </c>
      <c r="E4671">
        <v>-3633234000</v>
      </c>
      <c r="F4671">
        <v>647983000</v>
      </c>
      <c r="G4671">
        <v>-2032281000</v>
      </c>
      <c r="H4671">
        <v>972783000</v>
      </c>
      <c r="I4671">
        <v>-1534228000</v>
      </c>
      <c r="J4671">
        <v>4877093000</v>
      </c>
      <c r="K4671">
        <v>5807156000</v>
      </c>
      <c r="L4671">
        <v>3540475000</v>
      </c>
      <c r="M4671">
        <v>2124099000</v>
      </c>
      <c r="N4671">
        <v>975316000</v>
      </c>
      <c r="O4671">
        <v>816788000</v>
      </c>
      <c r="P4671">
        <v>427</v>
      </c>
      <c r="Q4671" t="s">
        <v>9692</v>
      </c>
    </row>
    <row r="4672" spans="1:17" x14ac:dyDescent="0.3">
      <c r="A4672" t="s">
        <v>17</v>
      </c>
      <c r="B4672" t="str">
        <f>"600893"</f>
        <v>600893</v>
      </c>
      <c r="C4672" t="s">
        <v>9693</v>
      </c>
      <c r="D4672" t="s">
        <v>2262</v>
      </c>
      <c r="E4672">
        <v>-3643271712</v>
      </c>
      <c r="F4672">
        <v>-2765238227</v>
      </c>
      <c r="G4672">
        <v>-1546050658</v>
      </c>
      <c r="H4672">
        <v>-785565428</v>
      </c>
      <c r="I4672">
        <v>-1662371183</v>
      </c>
      <c r="J4672">
        <v>-462794015</v>
      </c>
      <c r="K4672">
        <v>-2878158523</v>
      </c>
      <c r="L4672">
        <v>-2810435914</v>
      </c>
      <c r="M4672">
        <v>-680441277</v>
      </c>
      <c r="N4672">
        <v>-388841836</v>
      </c>
      <c r="O4672">
        <v>-485250431</v>
      </c>
      <c r="P4672">
        <v>1086</v>
      </c>
      <c r="Q4672" t="s">
        <v>9694</v>
      </c>
    </row>
    <row r="4673" spans="1:17" x14ac:dyDescent="0.3">
      <c r="A4673" t="s">
        <v>17</v>
      </c>
      <c r="B4673" t="str">
        <f>"601609"</f>
        <v>601609</v>
      </c>
      <c r="C4673" t="s">
        <v>9695</v>
      </c>
      <c r="D4673" t="s">
        <v>153</v>
      </c>
      <c r="E4673">
        <v>-3657842043</v>
      </c>
      <c r="F4673">
        <v>-3727104442</v>
      </c>
      <c r="G4673">
        <v>-1783563627</v>
      </c>
      <c r="P4673">
        <v>106</v>
      </c>
      <c r="Q4673" t="s">
        <v>9696</v>
      </c>
    </row>
    <row r="4674" spans="1:17" x14ac:dyDescent="0.3">
      <c r="A4674" t="s">
        <v>17</v>
      </c>
      <c r="B4674" t="str">
        <f>"601233"</f>
        <v>601233</v>
      </c>
      <c r="C4674" t="s">
        <v>9697</v>
      </c>
      <c r="D4674" t="s">
        <v>732</v>
      </c>
      <c r="E4674">
        <v>-3733478502</v>
      </c>
      <c r="F4674">
        <v>-3724228023</v>
      </c>
      <c r="G4674">
        <v>-4164196114</v>
      </c>
      <c r="H4674">
        <v>1922724770</v>
      </c>
      <c r="I4674">
        <v>-1398373425</v>
      </c>
      <c r="J4674">
        <v>-1062245586</v>
      </c>
      <c r="K4674">
        <v>-696705691</v>
      </c>
      <c r="L4674">
        <v>-1226110011</v>
      </c>
      <c r="M4674">
        <v>333486667</v>
      </c>
      <c r="N4674">
        <v>-613400682</v>
      </c>
      <c r="O4674">
        <v>-313703863</v>
      </c>
      <c r="P4674">
        <v>807</v>
      </c>
      <c r="Q4674" t="s">
        <v>9698</v>
      </c>
    </row>
    <row r="4675" spans="1:17" x14ac:dyDescent="0.3">
      <c r="A4675" t="s">
        <v>33</v>
      </c>
      <c r="B4675" t="str">
        <f>"002202"</f>
        <v>002202</v>
      </c>
      <c r="C4675" t="s">
        <v>9699</v>
      </c>
      <c r="D4675" t="s">
        <v>8494</v>
      </c>
      <c r="E4675">
        <v>-3747357326</v>
      </c>
      <c r="F4675">
        <v>-3682091790</v>
      </c>
      <c r="G4675">
        <v>227333316</v>
      </c>
      <c r="H4675">
        <v>-2103853635</v>
      </c>
      <c r="I4675">
        <v>-1578867468</v>
      </c>
      <c r="J4675">
        <v>-2243250010</v>
      </c>
      <c r="K4675">
        <v>-2788979785</v>
      </c>
      <c r="L4675">
        <v>-1435585808</v>
      </c>
      <c r="M4675">
        <v>-1908931704</v>
      </c>
      <c r="N4675">
        <v>-731643491</v>
      </c>
      <c r="O4675">
        <v>-1587116400</v>
      </c>
      <c r="P4675">
        <v>1283</v>
      </c>
      <c r="Q4675" t="s">
        <v>9700</v>
      </c>
    </row>
    <row r="4676" spans="1:17" x14ac:dyDescent="0.3">
      <c r="A4676" t="s">
        <v>33</v>
      </c>
      <c r="B4676" t="str">
        <f>"000703"</f>
        <v>000703</v>
      </c>
      <c r="C4676" t="s">
        <v>9701</v>
      </c>
      <c r="D4676" t="s">
        <v>46</v>
      </c>
      <c r="E4676">
        <v>-3801157549</v>
      </c>
      <c r="F4676">
        <v>-471195960</v>
      </c>
      <c r="G4676">
        <v>543694409</v>
      </c>
      <c r="H4676">
        <v>-391422387</v>
      </c>
      <c r="I4676">
        <v>174275948</v>
      </c>
      <c r="J4676">
        <v>75038903</v>
      </c>
      <c r="K4676">
        <v>1593889192</v>
      </c>
      <c r="L4676">
        <v>116473647</v>
      </c>
      <c r="M4676">
        <v>163045118</v>
      </c>
      <c r="N4676">
        <v>825802988</v>
      </c>
      <c r="O4676">
        <v>341747956</v>
      </c>
      <c r="P4676">
        <v>581</v>
      </c>
      <c r="Q4676" t="s">
        <v>9702</v>
      </c>
    </row>
    <row r="4677" spans="1:17" x14ac:dyDescent="0.3">
      <c r="A4677" t="s">
        <v>17</v>
      </c>
      <c r="B4677" t="str">
        <f>"600683"</f>
        <v>600683</v>
      </c>
      <c r="C4677" t="s">
        <v>9703</v>
      </c>
      <c r="D4677" t="s">
        <v>167</v>
      </c>
      <c r="E4677">
        <v>-3868190536</v>
      </c>
      <c r="F4677">
        <v>1031335731</v>
      </c>
      <c r="G4677">
        <v>409386529</v>
      </c>
      <c r="H4677">
        <v>-472819561</v>
      </c>
      <c r="I4677">
        <v>-1421653273</v>
      </c>
      <c r="J4677">
        <v>409188021</v>
      </c>
      <c r="K4677">
        <v>434172045</v>
      </c>
      <c r="L4677">
        <v>602620474</v>
      </c>
      <c r="M4677">
        <v>-344230784</v>
      </c>
      <c r="N4677">
        <v>-9645599066</v>
      </c>
      <c r="O4677">
        <v>62414938</v>
      </c>
      <c r="P4677">
        <v>224</v>
      </c>
      <c r="Q4677" t="s">
        <v>9704</v>
      </c>
    </row>
    <row r="4678" spans="1:17" x14ac:dyDescent="0.3">
      <c r="A4678" t="s">
        <v>33</v>
      </c>
      <c r="B4678" t="str">
        <f>"002415"</f>
        <v>002415</v>
      </c>
      <c r="C4678" t="s">
        <v>9705</v>
      </c>
      <c r="D4678" t="s">
        <v>2597</v>
      </c>
      <c r="E4678">
        <v>-3904933408</v>
      </c>
      <c r="F4678">
        <v>-2018107114</v>
      </c>
      <c r="G4678">
        <v>-3982048165</v>
      </c>
      <c r="H4678">
        <v>-3038198690</v>
      </c>
      <c r="I4678">
        <v>-3856064681</v>
      </c>
      <c r="J4678">
        <v>-3034652490</v>
      </c>
      <c r="K4678">
        <v>-1432111769</v>
      </c>
      <c r="L4678">
        <v>-2610480168</v>
      </c>
      <c r="M4678">
        <v>-971831568</v>
      </c>
      <c r="N4678">
        <v>-668663665</v>
      </c>
      <c r="O4678">
        <v>-520821438</v>
      </c>
      <c r="P4678">
        <v>63223</v>
      </c>
      <c r="Q4678" t="s">
        <v>9706</v>
      </c>
    </row>
    <row r="4679" spans="1:17" x14ac:dyDescent="0.3">
      <c r="A4679" t="s">
        <v>17</v>
      </c>
      <c r="B4679" t="str">
        <f>"601615"</f>
        <v>601615</v>
      </c>
      <c r="C4679" t="s">
        <v>9707</v>
      </c>
      <c r="D4679" t="s">
        <v>8494</v>
      </c>
      <c r="E4679">
        <v>-4060663295</v>
      </c>
      <c r="F4679">
        <v>-1544641321</v>
      </c>
      <c r="G4679">
        <v>1246037454</v>
      </c>
      <c r="H4679">
        <v>-681759783</v>
      </c>
      <c r="I4679">
        <v>-744895454</v>
      </c>
      <c r="P4679">
        <v>1068</v>
      </c>
      <c r="Q4679" t="s">
        <v>9708</v>
      </c>
    </row>
    <row r="4680" spans="1:17" x14ac:dyDescent="0.3">
      <c r="A4680" t="s">
        <v>17</v>
      </c>
      <c r="B4680" t="str">
        <f>"600115"</f>
        <v>600115</v>
      </c>
      <c r="C4680" t="s">
        <v>9709</v>
      </c>
      <c r="D4680" t="s">
        <v>1166</v>
      </c>
      <c r="E4680">
        <v>-4067000000</v>
      </c>
      <c r="F4680">
        <v>313000000</v>
      </c>
      <c r="G4680">
        <v>-6126000000</v>
      </c>
      <c r="H4680">
        <v>5335000000</v>
      </c>
      <c r="I4680">
        <v>6376000000</v>
      </c>
      <c r="J4680">
        <v>2580000000</v>
      </c>
      <c r="K4680">
        <v>5832000000</v>
      </c>
      <c r="L4680">
        <v>2556000000</v>
      </c>
      <c r="M4680">
        <v>1535000000</v>
      </c>
      <c r="N4680">
        <v>1797174000</v>
      </c>
      <c r="O4680">
        <v>3484573000</v>
      </c>
      <c r="P4680">
        <v>690</v>
      </c>
      <c r="Q4680" t="s">
        <v>9710</v>
      </c>
    </row>
    <row r="4681" spans="1:17" x14ac:dyDescent="0.3">
      <c r="A4681" t="s">
        <v>17</v>
      </c>
      <c r="B4681" t="str">
        <f>"600502"</f>
        <v>600502</v>
      </c>
      <c r="C4681" t="s">
        <v>9711</v>
      </c>
      <c r="D4681" t="s">
        <v>827</v>
      </c>
      <c r="E4681">
        <v>-4078055336</v>
      </c>
      <c r="F4681">
        <v>-2932037514</v>
      </c>
      <c r="G4681">
        <v>-3223848439</v>
      </c>
      <c r="H4681">
        <v>-2279317878</v>
      </c>
      <c r="I4681">
        <v>-161682681</v>
      </c>
      <c r="J4681">
        <v>-300898801</v>
      </c>
      <c r="K4681">
        <v>-460956039</v>
      </c>
      <c r="L4681">
        <v>-355266905</v>
      </c>
      <c r="M4681">
        <v>-123915543</v>
      </c>
      <c r="N4681">
        <v>-229298322</v>
      </c>
      <c r="O4681">
        <v>-327971377</v>
      </c>
      <c r="P4681">
        <v>410</v>
      </c>
      <c r="Q4681" t="s">
        <v>9712</v>
      </c>
    </row>
    <row r="4682" spans="1:17" x14ac:dyDescent="0.3">
      <c r="A4682" t="s">
        <v>33</v>
      </c>
      <c r="B4682" t="str">
        <f>"000768"</f>
        <v>000768</v>
      </c>
      <c r="C4682" t="s">
        <v>9713</v>
      </c>
      <c r="D4682" t="s">
        <v>2262</v>
      </c>
      <c r="E4682">
        <v>-4083546746</v>
      </c>
      <c r="F4682">
        <v>-5783463163</v>
      </c>
      <c r="G4682">
        <v>-2775621152</v>
      </c>
      <c r="H4682">
        <v>-3081941822</v>
      </c>
      <c r="I4682">
        <v>-547084456</v>
      </c>
      <c r="J4682">
        <v>635769632</v>
      </c>
      <c r="K4682">
        <v>84849552</v>
      </c>
      <c r="L4682">
        <v>-1375512694</v>
      </c>
      <c r="M4682">
        <v>-1182051835</v>
      </c>
      <c r="N4682">
        <v>-2065282587</v>
      </c>
      <c r="O4682">
        <v>-1395978629</v>
      </c>
      <c r="P4682">
        <v>662</v>
      </c>
      <c r="Q4682" t="s">
        <v>9714</v>
      </c>
    </row>
    <row r="4683" spans="1:17" x14ac:dyDescent="0.3">
      <c r="A4683" t="s">
        <v>33</v>
      </c>
      <c r="B4683" t="str">
        <f>"000627"</f>
        <v>000627</v>
      </c>
      <c r="C4683" t="s">
        <v>9715</v>
      </c>
      <c r="D4683" t="s">
        <v>26</v>
      </c>
      <c r="E4683">
        <v>-4177736564</v>
      </c>
      <c r="F4683">
        <v>1684990699</v>
      </c>
      <c r="G4683">
        <v>5102605102</v>
      </c>
      <c r="H4683">
        <v>16420190141</v>
      </c>
      <c r="I4683">
        <v>15032532498</v>
      </c>
      <c r="J4683">
        <v>8996064215</v>
      </c>
      <c r="K4683">
        <v>-539189120</v>
      </c>
      <c r="L4683">
        <v>2830414</v>
      </c>
      <c r="M4683">
        <v>-87614523</v>
      </c>
      <c r="N4683">
        <v>-11952398</v>
      </c>
      <c r="O4683">
        <v>23222920</v>
      </c>
      <c r="P4683">
        <v>288</v>
      </c>
      <c r="Q4683" t="s">
        <v>9716</v>
      </c>
    </row>
    <row r="4684" spans="1:17" x14ac:dyDescent="0.3">
      <c r="A4684" t="s">
        <v>17</v>
      </c>
      <c r="B4684" t="str">
        <f>"600839"</f>
        <v>600839</v>
      </c>
      <c r="C4684" t="s">
        <v>9717</v>
      </c>
      <c r="D4684" t="s">
        <v>451</v>
      </c>
      <c r="E4684">
        <v>-4334483186</v>
      </c>
      <c r="F4684">
        <v>-2647483981</v>
      </c>
      <c r="G4684">
        <v>-2040684755</v>
      </c>
      <c r="H4684">
        <v>-2422075813</v>
      </c>
      <c r="I4684">
        <v>-1577280441</v>
      </c>
      <c r="J4684">
        <v>-1770935873</v>
      </c>
      <c r="K4684">
        <v>389641384</v>
      </c>
      <c r="L4684">
        <v>137369082</v>
      </c>
      <c r="M4684">
        <v>169716847</v>
      </c>
      <c r="N4684">
        <v>-562723696</v>
      </c>
      <c r="O4684">
        <v>-859151807</v>
      </c>
      <c r="P4684">
        <v>272</v>
      </c>
      <c r="Q4684" t="s">
        <v>9718</v>
      </c>
    </row>
    <row r="4685" spans="1:17" x14ac:dyDescent="0.3">
      <c r="A4685" t="s">
        <v>17</v>
      </c>
      <c r="B4685" t="str">
        <f>"600736"</f>
        <v>600736</v>
      </c>
      <c r="C4685" t="s">
        <v>9719</v>
      </c>
      <c r="D4685" t="s">
        <v>167</v>
      </c>
      <c r="E4685">
        <v>-4572712685</v>
      </c>
      <c r="F4685">
        <v>-375284985</v>
      </c>
      <c r="G4685">
        <v>-3201455176</v>
      </c>
      <c r="H4685">
        <v>-1725657892</v>
      </c>
      <c r="I4685">
        <v>-2324504113</v>
      </c>
      <c r="J4685">
        <v>110699490</v>
      </c>
      <c r="K4685">
        <v>147944095</v>
      </c>
      <c r="L4685">
        <v>-741207874</v>
      </c>
      <c r="M4685">
        <v>-516933361</v>
      </c>
      <c r="N4685">
        <v>-107878411</v>
      </c>
      <c r="O4685">
        <v>-126759655</v>
      </c>
      <c r="P4685">
        <v>142</v>
      </c>
      <c r="Q4685" t="s">
        <v>9720</v>
      </c>
    </row>
    <row r="4686" spans="1:17" x14ac:dyDescent="0.3">
      <c r="A4686" t="s">
        <v>33</v>
      </c>
      <c r="B4686" t="str">
        <f>"000338"</f>
        <v>000338</v>
      </c>
      <c r="C4686" t="s">
        <v>9721</v>
      </c>
      <c r="D4686" t="s">
        <v>858</v>
      </c>
      <c r="E4686">
        <v>-4604465270</v>
      </c>
      <c r="F4686">
        <v>-2394948012</v>
      </c>
      <c r="G4686">
        <v>-9495115901</v>
      </c>
      <c r="H4686">
        <v>-1274747500</v>
      </c>
      <c r="I4686">
        <v>-829206435</v>
      </c>
      <c r="J4686">
        <v>-577284077</v>
      </c>
      <c r="K4686">
        <v>179179477</v>
      </c>
      <c r="L4686">
        <v>-2327664429</v>
      </c>
      <c r="M4686">
        <v>-1415840994</v>
      </c>
      <c r="N4686">
        <v>-1266158955</v>
      </c>
      <c r="O4686">
        <v>-2851778201</v>
      </c>
      <c r="P4686">
        <v>3423</v>
      </c>
      <c r="Q4686" t="s">
        <v>9722</v>
      </c>
    </row>
    <row r="4687" spans="1:17" x14ac:dyDescent="0.3">
      <c r="A4687" t="s">
        <v>33</v>
      </c>
      <c r="B4687" t="str">
        <f>"002761"</f>
        <v>002761</v>
      </c>
      <c r="C4687" t="s">
        <v>9723</v>
      </c>
      <c r="D4687" t="s">
        <v>827</v>
      </c>
      <c r="E4687">
        <v>-4612681997</v>
      </c>
      <c r="F4687">
        <v>-4401571007</v>
      </c>
      <c r="G4687">
        <v>-3255626896</v>
      </c>
      <c r="H4687">
        <v>-55407897</v>
      </c>
      <c r="I4687">
        <v>-39209302</v>
      </c>
      <c r="J4687">
        <v>-40714562</v>
      </c>
      <c r="K4687">
        <v>-31062202</v>
      </c>
      <c r="L4687">
        <v>-22319500</v>
      </c>
      <c r="M4687">
        <v>9365100</v>
      </c>
      <c r="P4687">
        <v>195</v>
      </c>
      <c r="Q4687" t="s">
        <v>9724</v>
      </c>
    </row>
    <row r="4688" spans="1:17" x14ac:dyDescent="0.3">
      <c r="A4688" t="s">
        <v>33</v>
      </c>
      <c r="B4688" t="str">
        <f>"002271"</f>
        <v>002271</v>
      </c>
      <c r="C4688" t="s">
        <v>9725</v>
      </c>
      <c r="D4688" t="s">
        <v>8537</v>
      </c>
      <c r="E4688">
        <v>-4784387562</v>
      </c>
      <c r="F4688">
        <v>-2372493680</v>
      </c>
      <c r="G4688">
        <v>-2092541321</v>
      </c>
      <c r="H4688">
        <v>-2925957611</v>
      </c>
      <c r="I4688">
        <v>-870849123</v>
      </c>
      <c r="J4688">
        <v>-158523770</v>
      </c>
      <c r="K4688">
        <v>180015472</v>
      </c>
      <c r="L4688">
        <v>-80268929</v>
      </c>
      <c r="M4688">
        <v>-142926350</v>
      </c>
      <c r="N4688">
        <v>-158933993</v>
      </c>
      <c r="O4688">
        <v>-215850770</v>
      </c>
      <c r="P4688">
        <v>22866</v>
      </c>
      <c r="Q4688" t="s">
        <v>9726</v>
      </c>
    </row>
    <row r="4689" spans="1:17" x14ac:dyDescent="0.3">
      <c r="A4689" t="s">
        <v>17</v>
      </c>
      <c r="B4689" t="str">
        <f>"601456"</f>
        <v>601456</v>
      </c>
      <c r="C4689" t="s">
        <v>9727</v>
      </c>
      <c r="D4689" t="s">
        <v>52</v>
      </c>
      <c r="E4689">
        <v>-5058411561</v>
      </c>
      <c r="F4689">
        <v>-204320127</v>
      </c>
      <c r="G4689">
        <v>-1122662000</v>
      </c>
      <c r="P4689">
        <v>310</v>
      </c>
      <c r="Q4689" t="s">
        <v>9728</v>
      </c>
    </row>
    <row r="4690" spans="1:17" x14ac:dyDescent="0.3">
      <c r="A4690" t="s">
        <v>33</v>
      </c>
      <c r="B4690" t="str">
        <f>"002958"</f>
        <v>002958</v>
      </c>
      <c r="C4690" t="s">
        <v>9729</v>
      </c>
      <c r="D4690" t="s">
        <v>58</v>
      </c>
      <c r="E4690">
        <v>-5218849000</v>
      </c>
      <c r="F4690">
        <v>-11493271000</v>
      </c>
      <c r="G4690">
        <v>-6186441000</v>
      </c>
      <c r="H4690">
        <v>-1529573000</v>
      </c>
      <c r="I4690">
        <v>-1540235000</v>
      </c>
      <c r="P4690">
        <v>416</v>
      </c>
      <c r="Q4690" t="s">
        <v>9730</v>
      </c>
    </row>
    <row r="4691" spans="1:17" x14ac:dyDescent="0.3">
      <c r="A4691" t="s">
        <v>17</v>
      </c>
      <c r="B4691" t="str">
        <f>"601577"</f>
        <v>601577</v>
      </c>
      <c r="C4691" t="s">
        <v>9731</v>
      </c>
      <c r="D4691" t="s">
        <v>31</v>
      </c>
      <c r="E4691">
        <v>-5276123000</v>
      </c>
      <c r="F4691">
        <v>-11404323000</v>
      </c>
      <c r="G4691">
        <v>-12117124000</v>
      </c>
      <c r="H4691">
        <v>12248295000</v>
      </c>
      <c r="I4691">
        <v>-24835756000</v>
      </c>
      <c r="J4691">
        <v>1767437000</v>
      </c>
      <c r="P4691">
        <v>927</v>
      </c>
      <c r="Q4691" t="s">
        <v>9732</v>
      </c>
    </row>
    <row r="4692" spans="1:17" x14ac:dyDescent="0.3">
      <c r="A4692" t="s">
        <v>17</v>
      </c>
      <c r="B4692" t="str">
        <f>"600519"</f>
        <v>600519</v>
      </c>
      <c r="C4692" t="s">
        <v>9733</v>
      </c>
      <c r="D4692" t="s">
        <v>229</v>
      </c>
      <c r="E4692">
        <v>-6876059094</v>
      </c>
      <c r="F4692">
        <v>-1484892859</v>
      </c>
      <c r="G4692">
        <v>2303109388</v>
      </c>
      <c r="H4692">
        <v>1189210085</v>
      </c>
      <c r="I4692">
        <v>4935500707</v>
      </c>
      <c r="J4692">
        <v>6108975097</v>
      </c>
      <c r="K4692">
        <v>7436044335</v>
      </c>
      <c r="L4692">
        <v>2111633649</v>
      </c>
      <c r="M4692">
        <v>173915706</v>
      </c>
      <c r="N4692">
        <v>790228914</v>
      </c>
      <c r="O4692">
        <v>1339501000</v>
      </c>
      <c r="P4692">
        <v>71978</v>
      </c>
      <c r="Q4692" t="s">
        <v>9734</v>
      </c>
    </row>
    <row r="4693" spans="1:17" x14ac:dyDescent="0.3">
      <c r="A4693" t="s">
        <v>17</v>
      </c>
      <c r="B4693" t="str">
        <f>"601117"</f>
        <v>601117</v>
      </c>
      <c r="C4693" t="s">
        <v>9735</v>
      </c>
      <c r="D4693" t="s">
        <v>1461</v>
      </c>
      <c r="E4693">
        <v>-6881304294</v>
      </c>
      <c r="F4693">
        <v>-2153292142</v>
      </c>
      <c r="G4693">
        <v>-5936542707</v>
      </c>
      <c r="H4693">
        <v>-3046283843</v>
      </c>
      <c r="I4693">
        <v>-471782398</v>
      </c>
      <c r="J4693">
        <v>-1826480107</v>
      </c>
      <c r="K4693">
        <v>-986038174</v>
      </c>
      <c r="L4693">
        <v>-1764526613</v>
      </c>
      <c r="M4693">
        <v>-2345914058</v>
      </c>
      <c r="N4693">
        <v>-829824479</v>
      </c>
      <c r="O4693">
        <v>86435933</v>
      </c>
      <c r="P4693">
        <v>717</v>
      </c>
      <c r="Q4693" t="s">
        <v>9736</v>
      </c>
    </row>
    <row r="4694" spans="1:17" x14ac:dyDescent="0.3">
      <c r="A4694" t="s">
        <v>17</v>
      </c>
      <c r="B4694" t="str">
        <f>"601111"</f>
        <v>601111</v>
      </c>
      <c r="C4694" t="s">
        <v>9737</v>
      </c>
      <c r="D4694" t="s">
        <v>1166</v>
      </c>
      <c r="E4694">
        <v>-7658829000</v>
      </c>
      <c r="F4694">
        <v>-1254296000</v>
      </c>
      <c r="G4694">
        <v>-8716790000</v>
      </c>
      <c r="H4694">
        <v>5935389000</v>
      </c>
      <c r="I4694">
        <v>7237628000</v>
      </c>
      <c r="J4694">
        <v>2472549000</v>
      </c>
      <c r="K4694">
        <v>6819194000</v>
      </c>
      <c r="L4694">
        <v>5902751000</v>
      </c>
      <c r="M4694">
        <v>3730780000</v>
      </c>
      <c r="N4694">
        <v>3449671000</v>
      </c>
      <c r="O4694">
        <v>1615623000</v>
      </c>
      <c r="P4694">
        <v>1106</v>
      </c>
      <c r="Q4694" t="s">
        <v>9738</v>
      </c>
    </row>
    <row r="4695" spans="1:17" x14ac:dyDescent="0.3">
      <c r="A4695" t="s">
        <v>17</v>
      </c>
      <c r="B4695" t="str">
        <f>"601997"</f>
        <v>601997</v>
      </c>
      <c r="C4695" t="s">
        <v>9739</v>
      </c>
      <c r="D4695" t="s">
        <v>31</v>
      </c>
      <c r="E4695">
        <v>-7709952000</v>
      </c>
      <c r="F4695">
        <v>-1298084000</v>
      </c>
      <c r="G4695">
        <v>-5319932000</v>
      </c>
      <c r="H4695">
        <v>1126231000</v>
      </c>
      <c r="I4695">
        <v>-22783602000</v>
      </c>
      <c r="J4695">
        <v>7955818000</v>
      </c>
      <c r="K4695">
        <v>11383738000</v>
      </c>
      <c r="L4695">
        <v>8125802000</v>
      </c>
      <c r="P4695">
        <v>2050</v>
      </c>
      <c r="Q4695" t="s">
        <v>9740</v>
      </c>
    </row>
    <row r="4696" spans="1:17" x14ac:dyDescent="0.3">
      <c r="A4696" t="s">
        <v>17</v>
      </c>
      <c r="B4696" t="str">
        <f>"600297"</f>
        <v>600297</v>
      </c>
      <c r="C4696" t="s">
        <v>9741</v>
      </c>
      <c r="D4696" t="s">
        <v>2643</v>
      </c>
      <c r="E4696">
        <v>-8750222915</v>
      </c>
      <c r="F4696">
        <v>-9154886567</v>
      </c>
      <c r="G4696">
        <v>-11876048210</v>
      </c>
      <c r="H4696">
        <v>-11025563484</v>
      </c>
      <c r="I4696">
        <v>-11075924601</v>
      </c>
      <c r="J4696">
        <v>-7357377334</v>
      </c>
      <c r="K4696">
        <v>-4259400371</v>
      </c>
      <c r="L4696">
        <v>35081166</v>
      </c>
      <c r="M4696">
        <v>-5697153</v>
      </c>
      <c r="N4696">
        <v>18538738</v>
      </c>
      <c r="O4696">
        <v>9741561</v>
      </c>
      <c r="P4696">
        <v>469</v>
      </c>
      <c r="Q4696" t="s">
        <v>9742</v>
      </c>
    </row>
    <row r="4697" spans="1:17" x14ac:dyDescent="0.3">
      <c r="A4697" t="s">
        <v>33</v>
      </c>
      <c r="B4697" t="str">
        <f>"000906"</f>
        <v>000906</v>
      </c>
      <c r="C4697" t="s">
        <v>9743</v>
      </c>
      <c r="D4697" t="s">
        <v>5270</v>
      </c>
      <c r="E4697">
        <v>-8904778942</v>
      </c>
      <c r="F4697">
        <v>-5365942855</v>
      </c>
      <c r="G4697">
        <v>-6844265087</v>
      </c>
      <c r="H4697">
        <v>-1434989877</v>
      </c>
      <c r="I4697">
        <v>-1005195844</v>
      </c>
      <c r="J4697">
        <v>-737401561</v>
      </c>
      <c r="K4697">
        <v>-642529467</v>
      </c>
      <c r="L4697">
        <v>-95598970</v>
      </c>
      <c r="M4697">
        <v>31084262</v>
      </c>
      <c r="N4697">
        <v>-272104258</v>
      </c>
      <c r="O4697">
        <v>-152734125</v>
      </c>
      <c r="P4697">
        <v>238</v>
      </c>
      <c r="Q4697" t="s">
        <v>9744</v>
      </c>
    </row>
    <row r="4698" spans="1:17" x14ac:dyDescent="0.3">
      <c r="A4698" t="s">
        <v>17</v>
      </c>
      <c r="B4698" t="str">
        <f>"601766"</f>
        <v>601766</v>
      </c>
      <c r="C4698" t="s">
        <v>9745</v>
      </c>
      <c r="D4698" t="s">
        <v>1703</v>
      </c>
      <c r="E4698">
        <v>-9017614000</v>
      </c>
      <c r="F4698">
        <v>-12927072000</v>
      </c>
      <c r="G4698">
        <v>-9040061000</v>
      </c>
      <c r="H4698">
        <v>-4455488000</v>
      </c>
      <c r="I4698">
        <v>-9389000000</v>
      </c>
      <c r="J4698">
        <v>-15528557000</v>
      </c>
      <c r="K4698">
        <v>-4630285000</v>
      </c>
      <c r="L4698">
        <v>-3426006696</v>
      </c>
      <c r="M4698">
        <v>2271830000</v>
      </c>
      <c r="N4698">
        <v>-2024229000</v>
      </c>
      <c r="O4698">
        <v>-5766110000</v>
      </c>
      <c r="P4698">
        <v>1205</v>
      </c>
      <c r="Q4698" t="s">
        <v>9746</v>
      </c>
    </row>
    <row r="4699" spans="1:17" x14ac:dyDescent="0.3">
      <c r="A4699" t="s">
        <v>17</v>
      </c>
      <c r="B4699" t="str">
        <f>"600104"</f>
        <v>600104</v>
      </c>
      <c r="C4699" t="s">
        <v>9747</v>
      </c>
      <c r="D4699" t="s">
        <v>641</v>
      </c>
      <c r="E4699">
        <v>-9143042342</v>
      </c>
      <c r="F4699">
        <v>2008140216</v>
      </c>
      <c r="G4699">
        <v>-1646125707</v>
      </c>
      <c r="H4699">
        <v>-17932522069</v>
      </c>
      <c r="I4699">
        <v>-15568321166</v>
      </c>
      <c r="J4699">
        <v>-5074527531</v>
      </c>
      <c r="K4699">
        <v>-4053936121</v>
      </c>
      <c r="L4699">
        <v>1161398843</v>
      </c>
      <c r="M4699">
        <v>9611157692</v>
      </c>
      <c r="N4699">
        <v>18126787064</v>
      </c>
      <c r="O4699">
        <v>6052546260</v>
      </c>
      <c r="P4699">
        <v>11366</v>
      </c>
      <c r="Q4699" t="s">
        <v>9748</v>
      </c>
    </row>
    <row r="4700" spans="1:17" x14ac:dyDescent="0.3">
      <c r="A4700" t="s">
        <v>17</v>
      </c>
      <c r="B4700" t="str">
        <f>"601727"</f>
        <v>601727</v>
      </c>
      <c r="C4700" t="s">
        <v>9749</v>
      </c>
      <c r="D4700" t="s">
        <v>3044</v>
      </c>
      <c r="E4700">
        <v>-9204691000</v>
      </c>
      <c r="F4700">
        <v>-13436344000</v>
      </c>
      <c r="G4700">
        <v>-11882812000</v>
      </c>
      <c r="H4700">
        <v>-11077303000</v>
      </c>
      <c r="I4700">
        <v>-8722106000</v>
      </c>
      <c r="J4700">
        <v>-7299603000</v>
      </c>
      <c r="K4700">
        <v>-3833503000</v>
      </c>
      <c r="L4700">
        <v>-3702345000</v>
      </c>
      <c r="M4700">
        <v>-2704367000</v>
      </c>
      <c r="N4700">
        <v>-3789226000</v>
      </c>
      <c r="O4700">
        <v>-4334674000</v>
      </c>
      <c r="P4700">
        <v>551</v>
      </c>
      <c r="Q4700" t="s">
        <v>9750</v>
      </c>
    </row>
    <row r="4701" spans="1:17" x14ac:dyDescent="0.3">
      <c r="A4701" t="s">
        <v>33</v>
      </c>
      <c r="B4701" t="str">
        <f>"002736"</f>
        <v>002736</v>
      </c>
      <c r="C4701" t="s">
        <v>9751</v>
      </c>
      <c r="D4701" t="s">
        <v>52</v>
      </c>
      <c r="E4701">
        <v>-10132866079</v>
      </c>
      <c r="F4701">
        <v>-94488835</v>
      </c>
      <c r="G4701">
        <v>11178955192</v>
      </c>
      <c r="H4701">
        <v>20311377111</v>
      </c>
      <c r="I4701">
        <v>2941883338</v>
      </c>
      <c r="J4701">
        <v>-2398762077</v>
      </c>
      <c r="K4701">
        <v>-4896609565</v>
      </c>
      <c r="L4701">
        <v>4054050577</v>
      </c>
      <c r="M4701">
        <v>671914520.33000004</v>
      </c>
      <c r="P4701">
        <v>2389</v>
      </c>
      <c r="Q4701" t="s">
        <v>9752</v>
      </c>
    </row>
    <row r="4702" spans="1:17" x14ac:dyDescent="0.3">
      <c r="A4702" t="s">
        <v>17</v>
      </c>
      <c r="B4702" t="str">
        <f>"600339"</f>
        <v>600339</v>
      </c>
      <c r="C4702" t="s">
        <v>9753</v>
      </c>
      <c r="D4702" t="s">
        <v>1311</v>
      </c>
      <c r="E4702">
        <v>-10365027033</v>
      </c>
      <c r="F4702">
        <v>-5405989834</v>
      </c>
      <c r="G4702">
        <v>-7409297869</v>
      </c>
      <c r="H4702">
        <v>-4561755193</v>
      </c>
      <c r="I4702">
        <v>1319427933</v>
      </c>
      <c r="J4702">
        <v>-5612200688</v>
      </c>
      <c r="K4702">
        <v>147231429</v>
      </c>
      <c r="L4702">
        <v>101318929</v>
      </c>
      <c r="M4702">
        <v>230058</v>
      </c>
      <c r="N4702">
        <v>80105272</v>
      </c>
      <c r="O4702">
        <v>162900101</v>
      </c>
      <c r="P4702">
        <v>232</v>
      </c>
      <c r="Q4702" t="s">
        <v>9754</v>
      </c>
    </row>
    <row r="4703" spans="1:17" x14ac:dyDescent="0.3">
      <c r="A4703" t="s">
        <v>33</v>
      </c>
      <c r="B4703" t="str">
        <f>"000537"</f>
        <v>000537</v>
      </c>
      <c r="C4703" t="s">
        <v>9755</v>
      </c>
      <c r="D4703" t="s">
        <v>167</v>
      </c>
      <c r="E4703">
        <v>-11142486900</v>
      </c>
      <c r="F4703">
        <v>-164254691</v>
      </c>
      <c r="G4703">
        <v>-2630356851</v>
      </c>
      <c r="H4703">
        <v>-1543810112</v>
      </c>
      <c r="I4703">
        <v>-403111494</v>
      </c>
      <c r="J4703">
        <v>910219685</v>
      </c>
      <c r="K4703">
        <v>-1224895245</v>
      </c>
      <c r="L4703">
        <v>-178583205</v>
      </c>
      <c r="M4703">
        <v>35794316</v>
      </c>
      <c r="N4703">
        <v>122870350</v>
      </c>
      <c r="O4703">
        <v>193007742</v>
      </c>
      <c r="P4703">
        <v>604</v>
      </c>
      <c r="Q4703" t="s">
        <v>9756</v>
      </c>
    </row>
    <row r="4704" spans="1:17" x14ac:dyDescent="0.3">
      <c r="A4704" t="s">
        <v>17</v>
      </c>
      <c r="B4704" t="str">
        <f>"601611"</f>
        <v>601611</v>
      </c>
      <c r="C4704" t="s">
        <v>9757</v>
      </c>
      <c r="D4704" t="s">
        <v>1527</v>
      </c>
      <c r="E4704">
        <v>-11306457058</v>
      </c>
      <c r="F4704">
        <v>-4103882777</v>
      </c>
      <c r="G4704">
        <v>-4572103693</v>
      </c>
      <c r="H4704">
        <v>-4498922105</v>
      </c>
      <c r="I4704">
        <v>-3738050714</v>
      </c>
      <c r="J4704">
        <v>-3324220501</v>
      </c>
      <c r="K4704">
        <v>-4428881000</v>
      </c>
      <c r="L4704">
        <v>-2248265500</v>
      </c>
      <c r="P4704">
        <v>345</v>
      </c>
      <c r="Q4704" t="s">
        <v>9758</v>
      </c>
    </row>
    <row r="4705" spans="1:17" x14ac:dyDescent="0.3">
      <c r="A4705" t="s">
        <v>33</v>
      </c>
      <c r="B4705" t="str">
        <f>"000069"</f>
        <v>000069</v>
      </c>
      <c r="C4705" t="s">
        <v>9759</v>
      </c>
      <c r="D4705" t="s">
        <v>317</v>
      </c>
      <c r="E4705">
        <v>-11382637460</v>
      </c>
      <c r="F4705">
        <v>-3144657158</v>
      </c>
      <c r="G4705">
        <v>-12787082688</v>
      </c>
      <c r="H4705">
        <v>-637461474</v>
      </c>
      <c r="I4705">
        <v>-6589622156</v>
      </c>
      <c r="J4705">
        <v>-7510819002</v>
      </c>
      <c r="K4705">
        <v>-1397724289</v>
      </c>
      <c r="L4705">
        <v>-1537289080</v>
      </c>
      <c r="M4705">
        <v>-108686793</v>
      </c>
      <c r="N4705">
        <v>1155674871</v>
      </c>
      <c r="O4705">
        <v>-864463190</v>
      </c>
      <c r="P4705">
        <v>3953</v>
      </c>
      <c r="Q4705" t="s">
        <v>9760</v>
      </c>
    </row>
    <row r="4706" spans="1:17" x14ac:dyDescent="0.3">
      <c r="A4706" t="s">
        <v>17</v>
      </c>
      <c r="B4706" t="str">
        <f>"601633"</f>
        <v>601633</v>
      </c>
      <c r="C4706" t="s">
        <v>9761</v>
      </c>
      <c r="D4706" t="s">
        <v>641</v>
      </c>
      <c r="E4706">
        <v>-11472383039</v>
      </c>
      <c r="F4706">
        <v>213153762</v>
      </c>
      <c r="G4706">
        <v>524578239</v>
      </c>
      <c r="H4706">
        <v>-1735743531</v>
      </c>
      <c r="I4706">
        <v>-1578132976</v>
      </c>
      <c r="J4706">
        <v>-5372436536</v>
      </c>
      <c r="K4706">
        <v>-165686386</v>
      </c>
      <c r="L4706">
        <v>1611167129</v>
      </c>
      <c r="M4706">
        <v>1578438193</v>
      </c>
      <c r="N4706">
        <v>1525546820</v>
      </c>
      <c r="O4706">
        <v>503132022</v>
      </c>
      <c r="P4706">
        <v>2066</v>
      </c>
      <c r="Q4706" t="s">
        <v>9762</v>
      </c>
    </row>
    <row r="4707" spans="1:17" x14ac:dyDescent="0.3">
      <c r="A4707" t="s">
        <v>33</v>
      </c>
      <c r="B4707" t="str">
        <f>"002244"</f>
        <v>002244</v>
      </c>
      <c r="C4707" t="s">
        <v>9763</v>
      </c>
      <c r="D4707" t="s">
        <v>167</v>
      </c>
      <c r="E4707">
        <v>-11498633843</v>
      </c>
      <c r="F4707">
        <v>-637196768</v>
      </c>
      <c r="G4707">
        <v>-2546048030</v>
      </c>
      <c r="H4707">
        <v>241984787</v>
      </c>
      <c r="I4707">
        <v>-10320821451</v>
      </c>
      <c r="J4707">
        <v>2460312907</v>
      </c>
      <c r="K4707">
        <v>3724687106</v>
      </c>
      <c r="L4707">
        <v>-446050184</v>
      </c>
      <c r="M4707">
        <v>-1492282683</v>
      </c>
      <c r="N4707">
        <v>1545113740</v>
      </c>
      <c r="O4707">
        <v>127322442</v>
      </c>
      <c r="P4707">
        <v>403</v>
      </c>
      <c r="Q4707" t="s">
        <v>9764</v>
      </c>
    </row>
    <row r="4708" spans="1:17" x14ac:dyDescent="0.3">
      <c r="A4708" t="s">
        <v>33</v>
      </c>
      <c r="B4708" t="str">
        <f>"000617"</f>
        <v>000617</v>
      </c>
      <c r="C4708" t="s">
        <v>9765</v>
      </c>
      <c r="D4708" t="s">
        <v>114</v>
      </c>
      <c r="E4708">
        <v>-12515182309</v>
      </c>
      <c r="F4708">
        <v>-31763776036</v>
      </c>
      <c r="G4708">
        <v>-54075893068</v>
      </c>
      <c r="H4708">
        <v>-4216595030</v>
      </c>
      <c r="I4708">
        <v>-61811645323</v>
      </c>
      <c r="J4708">
        <v>-22949648008</v>
      </c>
      <c r="K4708">
        <v>-62840493</v>
      </c>
      <c r="L4708">
        <v>-69289380</v>
      </c>
      <c r="M4708">
        <v>-108655622</v>
      </c>
      <c r="N4708">
        <v>4628165</v>
      </c>
      <c r="O4708">
        <v>-67995619</v>
      </c>
      <c r="P4708">
        <v>234</v>
      </c>
      <c r="Q4708" t="s">
        <v>9766</v>
      </c>
    </row>
    <row r="4709" spans="1:17" x14ac:dyDescent="0.3">
      <c r="A4709" t="s">
        <v>17</v>
      </c>
      <c r="B4709" t="str">
        <f>"601009"</f>
        <v>601009</v>
      </c>
      <c r="C4709" t="s">
        <v>9767</v>
      </c>
      <c r="D4709" t="s">
        <v>31</v>
      </c>
      <c r="E4709">
        <v>-12930476000</v>
      </c>
      <c r="F4709">
        <v>46512565000</v>
      </c>
      <c r="G4709">
        <v>40690080000</v>
      </c>
      <c r="H4709">
        <v>8804226000</v>
      </c>
      <c r="I4709">
        <v>-12489541000</v>
      </c>
      <c r="J4709">
        <v>-18695118000</v>
      </c>
      <c r="K4709">
        <v>44900523000</v>
      </c>
      <c r="L4709">
        <v>36136658000</v>
      </c>
      <c r="M4709">
        <v>37333290315</v>
      </c>
      <c r="N4709">
        <v>31147299006</v>
      </c>
      <c r="O4709">
        <v>737955170</v>
      </c>
      <c r="P4709">
        <v>44247</v>
      </c>
      <c r="Q4709" t="s">
        <v>9768</v>
      </c>
    </row>
    <row r="4710" spans="1:17" x14ac:dyDescent="0.3">
      <c r="A4710" t="s">
        <v>33</v>
      </c>
      <c r="B4710" t="str">
        <f>"000002"</f>
        <v>000002</v>
      </c>
      <c r="C4710" t="s">
        <v>9769</v>
      </c>
      <c r="D4710" t="s">
        <v>167</v>
      </c>
      <c r="E4710">
        <v>-13259189892</v>
      </c>
      <c r="F4710">
        <v>16879434478</v>
      </c>
      <c r="G4710">
        <v>-2953862230</v>
      </c>
      <c r="H4710">
        <v>-26712603541</v>
      </c>
      <c r="I4710">
        <v>-27753653226</v>
      </c>
      <c r="J4710">
        <v>-9523936366</v>
      </c>
      <c r="K4710">
        <v>-10726129133</v>
      </c>
      <c r="L4710">
        <v>-15344421452</v>
      </c>
      <c r="M4710">
        <v>-5579130508</v>
      </c>
      <c r="N4710">
        <v>-2383260770</v>
      </c>
      <c r="O4710">
        <v>1280120651</v>
      </c>
      <c r="P4710">
        <v>12436</v>
      </c>
      <c r="Q4710" t="s">
        <v>9770</v>
      </c>
    </row>
    <row r="4711" spans="1:17" x14ac:dyDescent="0.3">
      <c r="A4711" t="s">
        <v>17</v>
      </c>
      <c r="B4711" t="str">
        <f>"601868"</f>
        <v>601868</v>
      </c>
      <c r="C4711" t="s">
        <v>9771</v>
      </c>
      <c r="D4711" t="s">
        <v>1527</v>
      </c>
      <c r="E4711">
        <v>-14301677000</v>
      </c>
      <c r="P4711">
        <v>152</v>
      </c>
      <c r="Q4711" t="s">
        <v>9772</v>
      </c>
    </row>
    <row r="4712" spans="1:17" x14ac:dyDescent="0.3">
      <c r="A4712" t="s">
        <v>17</v>
      </c>
      <c r="B4712" t="str">
        <f>"601618"</f>
        <v>601618</v>
      </c>
      <c r="C4712" t="s">
        <v>9773</v>
      </c>
      <c r="D4712" t="s">
        <v>1454</v>
      </c>
      <c r="E4712">
        <v>-14542276000</v>
      </c>
      <c r="F4712">
        <v>-12987113000</v>
      </c>
      <c r="G4712">
        <v>-8893561000</v>
      </c>
      <c r="H4712">
        <v>-13935490000</v>
      </c>
      <c r="I4712">
        <v>-12871484000</v>
      </c>
      <c r="J4712">
        <v>-16853505000</v>
      </c>
      <c r="K4712">
        <v>-7611531000</v>
      </c>
      <c r="L4712">
        <v>-5278064000</v>
      </c>
      <c r="M4712">
        <v>-8632561000</v>
      </c>
      <c r="N4712">
        <v>-6560368000</v>
      </c>
      <c r="O4712">
        <v>-9244178000</v>
      </c>
      <c r="P4712">
        <v>584</v>
      </c>
      <c r="Q4712" t="s">
        <v>9774</v>
      </c>
    </row>
    <row r="4713" spans="1:17" x14ac:dyDescent="0.3">
      <c r="A4713" t="s">
        <v>33</v>
      </c>
      <c r="B4713" t="str">
        <f>"000977"</f>
        <v>000977</v>
      </c>
      <c r="C4713" t="s">
        <v>9775</v>
      </c>
      <c r="D4713" t="s">
        <v>1571</v>
      </c>
      <c r="E4713">
        <v>-15281941410</v>
      </c>
      <c r="F4713">
        <v>-942902672</v>
      </c>
      <c r="G4713">
        <v>-5763018002</v>
      </c>
      <c r="H4713">
        <v>-1057171220</v>
      </c>
      <c r="I4713">
        <v>-5439155242</v>
      </c>
      <c r="J4713">
        <v>-216869403</v>
      </c>
      <c r="K4713">
        <v>-263137372</v>
      </c>
      <c r="L4713">
        <v>-1008941090</v>
      </c>
      <c r="M4713">
        <v>-270060643</v>
      </c>
      <c r="N4713">
        <v>-362553713</v>
      </c>
      <c r="O4713">
        <v>-81938442</v>
      </c>
      <c r="P4713">
        <v>4425</v>
      </c>
      <c r="Q4713" t="s">
        <v>9776</v>
      </c>
    </row>
    <row r="4714" spans="1:17" x14ac:dyDescent="0.3">
      <c r="A4714" t="s">
        <v>33</v>
      </c>
      <c r="B4714" t="str">
        <f>"002948"</f>
        <v>002948</v>
      </c>
      <c r="C4714" t="s">
        <v>9777</v>
      </c>
      <c r="D4714" t="s">
        <v>31</v>
      </c>
      <c r="E4714">
        <v>-15750164000</v>
      </c>
      <c r="F4714">
        <v>-27309810000</v>
      </c>
      <c r="G4714">
        <v>-7379383000</v>
      </c>
      <c r="H4714">
        <v>-8683473000</v>
      </c>
      <c r="I4714">
        <v>-11132258000</v>
      </c>
      <c r="P4714">
        <v>458</v>
      </c>
      <c r="Q4714" t="s">
        <v>9778</v>
      </c>
    </row>
    <row r="4715" spans="1:17" x14ac:dyDescent="0.3">
      <c r="A4715" t="s">
        <v>17</v>
      </c>
      <c r="B4715" t="str">
        <f>"600926"</f>
        <v>600926</v>
      </c>
      <c r="C4715" t="s">
        <v>9779</v>
      </c>
      <c r="D4715" t="s">
        <v>31</v>
      </c>
      <c r="E4715">
        <v>-16891267000</v>
      </c>
      <c r="F4715">
        <v>1919315000</v>
      </c>
      <c r="G4715">
        <v>-30625745000</v>
      </c>
      <c r="H4715">
        <v>-24579602000</v>
      </c>
      <c r="I4715">
        <v>12412542000</v>
      </c>
      <c r="J4715">
        <v>-15180235000</v>
      </c>
      <c r="K4715">
        <v>7732328000</v>
      </c>
      <c r="P4715">
        <v>1141</v>
      </c>
      <c r="Q4715" t="s">
        <v>9780</v>
      </c>
    </row>
    <row r="4716" spans="1:17" x14ac:dyDescent="0.3">
      <c r="A4716" t="s">
        <v>17</v>
      </c>
      <c r="B4716" t="str">
        <f>"601669"</f>
        <v>601669</v>
      </c>
      <c r="C4716" t="s">
        <v>9781</v>
      </c>
      <c r="D4716" t="s">
        <v>1527</v>
      </c>
      <c r="E4716">
        <v>-18580997042</v>
      </c>
      <c r="F4716">
        <v>-17336493792</v>
      </c>
      <c r="G4716">
        <v>-9085849207</v>
      </c>
      <c r="H4716">
        <v>-7978168263</v>
      </c>
      <c r="I4716">
        <v>-14288141598</v>
      </c>
      <c r="J4716">
        <v>-10022719963</v>
      </c>
      <c r="K4716">
        <v>-1535341125</v>
      </c>
      <c r="L4716">
        <v>-546752404</v>
      </c>
      <c r="M4716">
        <v>1114889654</v>
      </c>
      <c r="N4716">
        <v>-2221246721</v>
      </c>
      <c r="O4716">
        <v>-1034744020</v>
      </c>
      <c r="P4716">
        <v>752</v>
      </c>
      <c r="Q4716" t="s">
        <v>9782</v>
      </c>
    </row>
    <row r="4717" spans="1:17" x14ac:dyDescent="0.3">
      <c r="A4717" t="s">
        <v>33</v>
      </c>
      <c r="B4717" t="str">
        <f>"002936"</f>
        <v>002936</v>
      </c>
      <c r="C4717" t="s">
        <v>9783</v>
      </c>
      <c r="D4717" t="s">
        <v>31</v>
      </c>
      <c r="E4717">
        <v>-19460535000</v>
      </c>
      <c r="F4717">
        <v>-2687681000</v>
      </c>
      <c r="G4717">
        <v>14694164000</v>
      </c>
      <c r="H4717">
        <v>5981824000</v>
      </c>
      <c r="I4717">
        <v>-5079971000</v>
      </c>
      <c r="J4717">
        <v>-24640696000</v>
      </c>
      <c r="P4717">
        <v>469</v>
      </c>
      <c r="Q4717" t="s">
        <v>9784</v>
      </c>
    </row>
    <row r="4718" spans="1:17" x14ac:dyDescent="0.3">
      <c r="A4718" t="s">
        <v>17</v>
      </c>
      <c r="B4718" t="str">
        <f>"600704"</f>
        <v>600704</v>
      </c>
      <c r="C4718" t="s">
        <v>9785</v>
      </c>
      <c r="D4718" t="s">
        <v>5270</v>
      </c>
      <c r="E4718">
        <v>-20574582807</v>
      </c>
      <c r="F4718">
        <v>-14009453621</v>
      </c>
      <c r="G4718">
        <v>-8894234091</v>
      </c>
      <c r="H4718">
        <v>-4340679489</v>
      </c>
      <c r="I4718">
        <v>-4873543515</v>
      </c>
      <c r="J4718">
        <v>-9597042315</v>
      </c>
      <c r="K4718">
        <v>-1340727450</v>
      </c>
      <c r="L4718">
        <v>-1165323769</v>
      </c>
      <c r="M4718">
        <v>-59341495</v>
      </c>
      <c r="N4718">
        <v>-690320920</v>
      </c>
      <c r="O4718">
        <v>-1120853808</v>
      </c>
      <c r="P4718">
        <v>749</v>
      </c>
      <c r="Q4718" t="s">
        <v>9786</v>
      </c>
    </row>
    <row r="4719" spans="1:17" x14ac:dyDescent="0.3">
      <c r="A4719" t="s">
        <v>17</v>
      </c>
      <c r="B4719" t="str">
        <f>"600057"</f>
        <v>600057</v>
      </c>
      <c r="C4719" t="s">
        <v>9787</v>
      </c>
      <c r="D4719" t="s">
        <v>5270</v>
      </c>
      <c r="E4719">
        <v>-23499563783</v>
      </c>
      <c r="F4719">
        <v>-18773218849</v>
      </c>
      <c r="G4719">
        <v>-20784738795</v>
      </c>
      <c r="H4719">
        <v>-11442977364</v>
      </c>
      <c r="I4719">
        <v>-4846697484</v>
      </c>
      <c r="J4719">
        <v>-8279893777</v>
      </c>
      <c r="K4719">
        <v>-1411634169</v>
      </c>
      <c r="L4719">
        <v>766279929</v>
      </c>
      <c r="M4719">
        <v>-2113443498</v>
      </c>
      <c r="N4719">
        <v>-1749190803</v>
      </c>
      <c r="O4719">
        <v>-1556930888</v>
      </c>
      <c r="P4719">
        <v>411</v>
      </c>
      <c r="Q4719" t="s">
        <v>9788</v>
      </c>
    </row>
    <row r="4720" spans="1:17" x14ac:dyDescent="0.3">
      <c r="A4720" t="s">
        <v>17</v>
      </c>
      <c r="B4720" t="str">
        <f>"600170"</f>
        <v>600170</v>
      </c>
      <c r="C4720" t="s">
        <v>9789</v>
      </c>
      <c r="D4720" t="s">
        <v>827</v>
      </c>
      <c r="E4720">
        <v>-23924186149</v>
      </c>
      <c r="F4720">
        <v>-19558399922</v>
      </c>
      <c r="G4720">
        <v>-16003916585</v>
      </c>
      <c r="H4720">
        <v>-13663232236</v>
      </c>
      <c r="I4720">
        <v>-13789633038</v>
      </c>
      <c r="J4720">
        <v>-11409896474</v>
      </c>
      <c r="K4720">
        <v>-9354958118</v>
      </c>
      <c r="L4720">
        <v>-7600366945</v>
      </c>
      <c r="M4720">
        <v>-7911769890</v>
      </c>
      <c r="N4720">
        <v>-4151437199</v>
      </c>
      <c r="O4720">
        <v>-3878710335</v>
      </c>
      <c r="P4720">
        <v>698</v>
      </c>
      <c r="Q4720" t="s">
        <v>9790</v>
      </c>
    </row>
    <row r="4721" spans="1:17" x14ac:dyDescent="0.3">
      <c r="A4721" t="s">
        <v>17</v>
      </c>
      <c r="B4721" t="str">
        <f>"601963"</f>
        <v>601963</v>
      </c>
      <c r="C4721" t="s">
        <v>9791</v>
      </c>
      <c r="D4721" t="s">
        <v>31</v>
      </c>
      <c r="E4721">
        <v>-25339566000</v>
      </c>
      <c r="F4721">
        <v>-7860809000</v>
      </c>
      <c r="G4721">
        <v>8266958000</v>
      </c>
      <c r="H4721">
        <v>2369127000</v>
      </c>
      <c r="I4721">
        <v>-13714737000</v>
      </c>
      <c r="J4721">
        <v>-12078658000</v>
      </c>
      <c r="K4721">
        <v>-157405000</v>
      </c>
      <c r="L4721">
        <v>16754513000</v>
      </c>
      <c r="P4721">
        <v>149</v>
      </c>
      <c r="Q4721" t="s">
        <v>9792</v>
      </c>
    </row>
    <row r="4722" spans="1:17" x14ac:dyDescent="0.3">
      <c r="A4722" t="s">
        <v>17</v>
      </c>
      <c r="B4722" t="str">
        <f>"600755"</f>
        <v>600755</v>
      </c>
      <c r="C4722" t="s">
        <v>9793</v>
      </c>
      <c r="D4722" t="s">
        <v>5270</v>
      </c>
      <c r="E4722">
        <v>-26126874308</v>
      </c>
      <c r="F4722">
        <v>-15016891959</v>
      </c>
      <c r="G4722">
        <v>-4065930647</v>
      </c>
      <c r="H4722">
        <v>-4579989660</v>
      </c>
      <c r="I4722">
        <v>-5741584649</v>
      </c>
      <c r="J4722">
        <v>-7046163881</v>
      </c>
      <c r="K4722">
        <v>-3857665522</v>
      </c>
      <c r="L4722">
        <v>-2351403026</v>
      </c>
      <c r="M4722">
        <v>-942021161</v>
      </c>
      <c r="N4722">
        <v>1887905847</v>
      </c>
      <c r="O4722">
        <v>-652998012</v>
      </c>
      <c r="P4722">
        <v>742</v>
      </c>
      <c r="Q4722" t="s">
        <v>9794</v>
      </c>
    </row>
    <row r="4723" spans="1:17" x14ac:dyDescent="0.3">
      <c r="A4723" t="s">
        <v>17</v>
      </c>
      <c r="B4723" t="str">
        <f>"600153"</f>
        <v>600153</v>
      </c>
      <c r="C4723" t="s">
        <v>9795</v>
      </c>
      <c r="D4723" t="s">
        <v>5270</v>
      </c>
      <c r="E4723">
        <v>-33285157323</v>
      </c>
      <c r="F4723">
        <v>-40750482159</v>
      </c>
      <c r="G4723">
        <v>-15535998775</v>
      </c>
      <c r="H4723">
        <v>-5092037365</v>
      </c>
      <c r="I4723">
        <v>-16625974515</v>
      </c>
      <c r="J4723">
        <v>-15102576557</v>
      </c>
      <c r="K4723">
        <v>-632488279</v>
      </c>
      <c r="L4723">
        <v>-2617030422</v>
      </c>
      <c r="M4723">
        <v>-9202301974</v>
      </c>
      <c r="N4723">
        <v>-2751887453</v>
      </c>
      <c r="O4723">
        <v>1020662844</v>
      </c>
      <c r="P4723">
        <v>2153</v>
      </c>
      <c r="Q4723" t="s">
        <v>9796</v>
      </c>
    </row>
    <row r="4724" spans="1:17" x14ac:dyDescent="0.3">
      <c r="A4724" t="s">
        <v>17</v>
      </c>
      <c r="B4724" t="str">
        <f>"601800"</f>
        <v>601800</v>
      </c>
      <c r="C4724" t="s">
        <v>9797</v>
      </c>
      <c r="D4724" t="s">
        <v>1527</v>
      </c>
      <c r="E4724">
        <v>-33363409598</v>
      </c>
      <c r="F4724">
        <v>-33908744094</v>
      </c>
      <c r="G4724">
        <v>-42733628450</v>
      </c>
      <c r="H4724">
        <v>-38284999481</v>
      </c>
      <c r="I4724">
        <v>-15882472516</v>
      </c>
      <c r="J4724">
        <v>-13704098333</v>
      </c>
      <c r="K4724">
        <v>-14030044574</v>
      </c>
      <c r="L4724">
        <v>-16723970066</v>
      </c>
      <c r="M4724">
        <v>-3985633737</v>
      </c>
      <c r="N4724">
        <v>-2611570757</v>
      </c>
      <c r="O4724">
        <v>-2841566565</v>
      </c>
      <c r="P4724">
        <v>899</v>
      </c>
      <c r="Q4724" t="s">
        <v>9798</v>
      </c>
    </row>
    <row r="4725" spans="1:17" x14ac:dyDescent="0.3">
      <c r="A4725" t="s">
        <v>17</v>
      </c>
      <c r="B4725" t="str">
        <f>"600048"</f>
        <v>600048</v>
      </c>
      <c r="C4725" t="s">
        <v>9799</v>
      </c>
      <c r="D4725" t="s">
        <v>167</v>
      </c>
      <c r="E4725">
        <v>-39886876415</v>
      </c>
      <c r="F4725">
        <v>-30049616181</v>
      </c>
      <c r="G4725">
        <v>-30100935409</v>
      </c>
      <c r="H4725">
        <v>796454220</v>
      </c>
      <c r="I4725">
        <v>-26272151381</v>
      </c>
      <c r="J4725">
        <v>-13751172082</v>
      </c>
      <c r="K4725">
        <v>2482774480</v>
      </c>
      <c r="L4725">
        <v>-6385030296</v>
      </c>
      <c r="M4725">
        <v>-13460789460</v>
      </c>
      <c r="N4725">
        <v>-4192814142</v>
      </c>
      <c r="O4725">
        <v>-3299276540</v>
      </c>
      <c r="P4725">
        <v>8844</v>
      </c>
      <c r="Q4725" t="s">
        <v>9800</v>
      </c>
    </row>
    <row r="4726" spans="1:17" x14ac:dyDescent="0.3">
      <c r="A4726" t="s">
        <v>17</v>
      </c>
      <c r="B4726" t="str">
        <f>"601186"</f>
        <v>601186</v>
      </c>
      <c r="C4726" t="s">
        <v>9801</v>
      </c>
      <c r="D4726" t="s">
        <v>1527</v>
      </c>
      <c r="E4726">
        <v>-41097977000</v>
      </c>
      <c r="F4726">
        <v>-50135350000</v>
      </c>
      <c r="G4726">
        <v>-42398833000</v>
      </c>
      <c r="H4726">
        <v>-39630503000</v>
      </c>
      <c r="I4726">
        <v>-40663574000</v>
      </c>
      <c r="J4726">
        <v>-19572435000</v>
      </c>
      <c r="K4726">
        <v>-10860188000</v>
      </c>
      <c r="L4726">
        <v>-1855375000</v>
      </c>
      <c r="M4726">
        <v>-1162043000</v>
      </c>
      <c r="N4726">
        <v>1355145000</v>
      </c>
      <c r="O4726">
        <v>-2457834000</v>
      </c>
      <c r="P4726">
        <v>1361</v>
      </c>
      <c r="Q4726" t="s">
        <v>9802</v>
      </c>
    </row>
    <row r="4727" spans="1:17" x14ac:dyDescent="0.3">
      <c r="A4727" t="s">
        <v>17</v>
      </c>
      <c r="B4727" t="str">
        <f>"600028"</f>
        <v>600028</v>
      </c>
      <c r="C4727" t="s">
        <v>9803</v>
      </c>
      <c r="D4727" t="s">
        <v>46</v>
      </c>
      <c r="E4727">
        <v>-46781000000</v>
      </c>
      <c r="F4727">
        <v>-15578000000</v>
      </c>
      <c r="G4727">
        <v>-68125000000</v>
      </c>
      <c r="H4727">
        <v>-14609000000</v>
      </c>
      <c r="I4727">
        <v>12052000000</v>
      </c>
      <c r="J4727">
        <v>13276000000</v>
      </c>
      <c r="K4727">
        <v>34348000000</v>
      </c>
      <c r="L4727">
        <v>6682000000</v>
      </c>
      <c r="M4727">
        <v>12621000000</v>
      </c>
      <c r="N4727">
        <v>8220000000</v>
      </c>
      <c r="O4727">
        <v>-30916000000</v>
      </c>
      <c r="P4727">
        <v>2315</v>
      </c>
      <c r="Q4727" t="s">
        <v>9804</v>
      </c>
    </row>
    <row r="4728" spans="1:17" x14ac:dyDescent="0.3">
      <c r="A4728" t="s">
        <v>17</v>
      </c>
      <c r="B4728" t="str">
        <f>"601390"</f>
        <v>601390</v>
      </c>
      <c r="C4728" t="s">
        <v>9805</v>
      </c>
      <c r="D4728" t="s">
        <v>1527</v>
      </c>
      <c r="E4728">
        <v>-49399086000</v>
      </c>
      <c r="F4728">
        <v>-29835219000</v>
      </c>
      <c r="G4728">
        <v>-38846596000</v>
      </c>
      <c r="H4728">
        <v>-37473958000</v>
      </c>
      <c r="I4728">
        <v>-26773372000</v>
      </c>
      <c r="J4728">
        <v>-19240496000</v>
      </c>
      <c r="K4728">
        <v>-2433898000</v>
      </c>
      <c r="L4728">
        <v>-4603658000</v>
      </c>
      <c r="M4728">
        <v>-7615040000</v>
      </c>
      <c r="N4728">
        <v>-4990872000</v>
      </c>
      <c r="O4728">
        <v>-8873249000</v>
      </c>
      <c r="P4728">
        <v>1323</v>
      </c>
      <c r="Q4728" t="s">
        <v>9806</v>
      </c>
    </row>
    <row r="4729" spans="1:17" x14ac:dyDescent="0.3">
      <c r="A4729" t="s">
        <v>17</v>
      </c>
      <c r="B4729" t="str">
        <f>"600705"</f>
        <v>600705</v>
      </c>
      <c r="C4729" t="s">
        <v>9807</v>
      </c>
      <c r="D4729" t="s">
        <v>114</v>
      </c>
      <c r="E4729">
        <v>-74558974217</v>
      </c>
      <c r="F4729">
        <v>-28291493240</v>
      </c>
      <c r="G4729">
        <v>-12851298571</v>
      </c>
      <c r="H4729">
        <v>-11147987603</v>
      </c>
      <c r="I4729">
        <v>-22678526719</v>
      </c>
      <c r="J4729">
        <v>-24776245318</v>
      </c>
      <c r="K4729">
        <v>-22330524511</v>
      </c>
      <c r="L4729">
        <v>-15836228795</v>
      </c>
      <c r="M4729">
        <v>-14536372906</v>
      </c>
      <c r="N4729">
        <v>-10521023485</v>
      </c>
      <c r="O4729">
        <v>2214886</v>
      </c>
      <c r="P4729">
        <v>440</v>
      </c>
      <c r="Q4729" t="s">
        <v>9808</v>
      </c>
    </row>
    <row r="4730" spans="1:17" x14ac:dyDescent="0.3">
      <c r="A4730" t="s">
        <v>17</v>
      </c>
      <c r="B4730" t="str">
        <f>"601668"</f>
        <v>601668</v>
      </c>
      <c r="C4730" t="s">
        <v>9809</v>
      </c>
      <c r="D4730" t="s">
        <v>827</v>
      </c>
      <c r="E4730">
        <v>-122480702000</v>
      </c>
      <c r="F4730">
        <v>-45781170000</v>
      </c>
      <c r="G4730">
        <v>-90976368000</v>
      </c>
      <c r="H4730">
        <v>-98116699000</v>
      </c>
      <c r="I4730">
        <v>-89250881000</v>
      </c>
      <c r="J4730">
        <v>-66792361000</v>
      </c>
      <c r="K4730">
        <v>-37664153000</v>
      </c>
      <c r="L4730">
        <v>-49557997000</v>
      </c>
      <c r="M4730">
        <v>-37738414000</v>
      </c>
      <c r="N4730">
        <v>-16042520000</v>
      </c>
      <c r="O4730">
        <v>-12557785000</v>
      </c>
      <c r="P4730">
        <v>10290</v>
      </c>
      <c r="Q4730" t="s">
        <v>9810</v>
      </c>
    </row>
    <row r="4731" spans="1:17" x14ac:dyDescent="0.3">
      <c r="A4731" t="s">
        <v>17</v>
      </c>
      <c r="B4731" t="str">
        <f>"601818"</f>
        <v>601818</v>
      </c>
      <c r="C4731" t="s">
        <v>9811</v>
      </c>
      <c r="D4731" t="s">
        <v>37</v>
      </c>
      <c r="E4731">
        <v>-217555000000</v>
      </c>
      <c r="F4731">
        <v>-72209000000</v>
      </c>
      <c r="G4731">
        <v>226462000000</v>
      </c>
      <c r="H4731">
        <v>-32197000000</v>
      </c>
      <c r="I4731">
        <v>-54605000000</v>
      </c>
      <c r="J4731">
        <v>-163506000000</v>
      </c>
      <c r="K4731">
        <v>81096000000</v>
      </c>
      <c r="L4731">
        <v>88932000000</v>
      </c>
      <c r="M4731">
        <v>60526000000</v>
      </c>
      <c r="N4731">
        <v>71781000000</v>
      </c>
      <c r="O4731">
        <v>-7402647000</v>
      </c>
      <c r="P4731">
        <v>15856</v>
      </c>
      <c r="Q4731" t="s">
        <v>9812</v>
      </c>
    </row>
    <row r="4732" spans="1:17" x14ac:dyDescent="0.3">
      <c r="A4732" t="s">
        <v>17</v>
      </c>
      <c r="B4732" t="str">
        <f>"601166"</f>
        <v>601166</v>
      </c>
      <c r="C4732" t="s">
        <v>9813</v>
      </c>
      <c r="D4732" t="s">
        <v>37</v>
      </c>
      <c r="E4732">
        <v>-249754000000</v>
      </c>
      <c r="F4732">
        <v>-297317000000</v>
      </c>
      <c r="G4732">
        <v>74801000000</v>
      </c>
      <c r="H4732">
        <v>-348059000000</v>
      </c>
      <c r="I4732">
        <v>-209943000000</v>
      </c>
      <c r="J4732">
        <v>-46749000000</v>
      </c>
      <c r="K4732">
        <v>-79741000000</v>
      </c>
      <c r="L4732">
        <v>-53728000000</v>
      </c>
      <c r="M4732">
        <v>150768000000</v>
      </c>
      <c r="N4732">
        <v>123567000000</v>
      </c>
      <c r="O4732">
        <v>10909000000</v>
      </c>
      <c r="P4732">
        <v>24372</v>
      </c>
      <c r="Q4732" t="s">
        <v>9814</v>
      </c>
    </row>
    <row r="4733" spans="1:17" x14ac:dyDescent="0.3">
      <c r="A4733" t="s">
        <v>17</v>
      </c>
      <c r="B4733" t="str">
        <f>"600000"</f>
        <v>600000</v>
      </c>
      <c r="C4733" t="s">
        <v>9815</v>
      </c>
      <c r="D4733" t="s">
        <v>37</v>
      </c>
      <c r="E4733">
        <v>-274764000000</v>
      </c>
      <c r="F4733">
        <v>-129705000000</v>
      </c>
      <c r="G4733">
        <v>92378000000</v>
      </c>
      <c r="H4733">
        <v>185433000000</v>
      </c>
      <c r="I4733">
        <v>-48725000000</v>
      </c>
      <c r="J4733">
        <v>-200970000000</v>
      </c>
      <c r="K4733">
        <v>-101580000000</v>
      </c>
      <c r="L4733">
        <v>-81389000000</v>
      </c>
      <c r="M4733">
        <v>-79549000000</v>
      </c>
      <c r="N4733">
        <v>100422000000</v>
      </c>
      <c r="O4733">
        <v>76862694000</v>
      </c>
      <c r="P4733">
        <v>17547</v>
      </c>
      <c r="Q4733" t="s">
        <v>9816</v>
      </c>
    </row>
    <row r="4734" spans="1:17" x14ac:dyDescent="0.3">
      <c r="A4734" t="s">
        <v>17</v>
      </c>
      <c r="B4734" t="str">
        <f>"601988"</f>
        <v>601988</v>
      </c>
      <c r="C4734" t="s">
        <v>9817</v>
      </c>
      <c r="D4734" t="s">
        <v>19</v>
      </c>
      <c r="E4734">
        <v>-294137000000</v>
      </c>
      <c r="F4734">
        <v>580504000000</v>
      </c>
      <c r="G4734">
        <v>434346000000</v>
      </c>
      <c r="H4734">
        <v>-235156000000</v>
      </c>
      <c r="I4734">
        <v>382682000000</v>
      </c>
      <c r="J4734">
        <v>384691000000</v>
      </c>
      <c r="K4734">
        <v>-150663000000</v>
      </c>
      <c r="L4734">
        <v>400165000000</v>
      </c>
      <c r="M4734">
        <v>387052000000</v>
      </c>
      <c r="N4734">
        <v>-76205000000</v>
      </c>
      <c r="O4734">
        <v>566703000000</v>
      </c>
      <c r="P4734">
        <v>4259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551670575.32000005</v>
      </c>
      <c r="L4735">
        <v>638512688.74000001</v>
      </c>
      <c r="M4735">
        <v>380536461.12</v>
      </c>
      <c r="N4735">
        <v>778503844.44000006</v>
      </c>
      <c r="O4735">
        <v>865702606.24000001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-386494101.27999997</v>
      </c>
      <c r="K4736">
        <v>-40290950.939999998</v>
      </c>
      <c r="L4736">
        <v>32714781.120000001</v>
      </c>
      <c r="M4736">
        <v>17149004.210000001</v>
      </c>
      <c r="N4736">
        <v>-88020913.400000006</v>
      </c>
      <c r="O4736">
        <v>-159808619.63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-3739907479</v>
      </c>
      <c r="G4737">
        <v>-3377542186</v>
      </c>
      <c r="H4737">
        <v>-1099908946</v>
      </c>
      <c r="I4737">
        <v>-9822672276</v>
      </c>
      <c r="J4737">
        <v>-5937936278</v>
      </c>
      <c r="K4737">
        <v>-3340660305</v>
      </c>
      <c r="L4737">
        <v>-1513437382</v>
      </c>
      <c r="M4737">
        <v>-4701203664</v>
      </c>
      <c r="N4737">
        <v>258459744</v>
      </c>
      <c r="O4737">
        <v>-1252145545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-1801164</v>
      </c>
      <c r="H4738">
        <v>155073242</v>
      </c>
      <c r="I4738">
        <v>-401113385</v>
      </c>
      <c r="J4738">
        <v>8500520</v>
      </c>
      <c r="K4738">
        <v>25022775</v>
      </c>
      <c r="L4738">
        <v>-34004772</v>
      </c>
      <c r="M4738">
        <v>-76421375</v>
      </c>
      <c r="N4738">
        <v>-42557983</v>
      </c>
      <c r="O4738">
        <v>-18969965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4791529</v>
      </c>
      <c r="H4739">
        <v>-9196678</v>
      </c>
      <c r="I4739">
        <v>-41183575</v>
      </c>
      <c r="J4739">
        <v>-770106922</v>
      </c>
      <c r="K4739">
        <v>111406907</v>
      </c>
      <c r="L4739">
        <v>-32144980</v>
      </c>
      <c r="M4739">
        <v>37923985</v>
      </c>
      <c r="N4739">
        <v>8303864</v>
      </c>
      <c r="O4739">
        <v>-26891637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-424413</v>
      </c>
      <c r="H4740">
        <v>187607</v>
      </c>
      <c r="I4740">
        <v>-102475788</v>
      </c>
      <c r="J4740">
        <v>-963453418</v>
      </c>
      <c r="K4740">
        <v>-99043743</v>
      </c>
      <c r="L4740">
        <v>-480525282</v>
      </c>
      <c r="M4740">
        <v>340569082</v>
      </c>
      <c r="N4740">
        <v>-190057732</v>
      </c>
      <c r="O4740">
        <v>202748139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127626176.23999999</v>
      </c>
      <c r="K4741">
        <v>212953479.03</v>
      </c>
      <c r="L4741">
        <v>87289965.260000005</v>
      </c>
      <c r="M4741">
        <v>181988662.36000001</v>
      </c>
      <c r="N4741">
        <v>315000578.56</v>
      </c>
      <c r="O4741">
        <v>-40170924.630000003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415</v>
      </c>
      <c r="F4742">
        <v>-52489083</v>
      </c>
      <c r="G4742">
        <v>-269480402</v>
      </c>
      <c r="H4742">
        <v>765111597</v>
      </c>
      <c r="I4742">
        <v>-74704482</v>
      </c>
      <c r="J4742">
        <v>848512719</v>
      </c>
      <c r="K4742">
        <v>75492877</v>
      </c>
      <c r="L4742">
        <v>74471208</v>
      </c>
      <c r="M4742">
        <v>42066839</v>
      </c>
      <c r="N4742">
        <v>146078424</v>
      </c>
      <c r="O4742">
        <v>27736597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8517.19</v>
      </c>
      <c r="K4743">
        <v>-139541.98000000001</v>
      </c>
      <c r="L4743">
        <v>14454.18</v>
      </c>
      <c r="M4743">
        <v>-11006</v>
      </c>
      <c r="N4743">
        <v>-9951.91</v>
      </c>
      <c r="O4743">
        <v>35923.03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839520213.90999997</v>
      </c>
      <c r="N4744">
        <v>-1159537760.5</v>
      </c>
      <c r="O4744">
        <v>449706590.89999998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1592</v>
      </c>
      <c r="F4745">
        <v>84688</v>
      </c>
      <c r="G4745">
        <v>18076</v>
      </c>
      <c r="H4745">
        <v>1305901</v>
      </c>
      <c r="I4745">
        <v>-685034</v>
      </c>
      <c r="J4745">
        <v>-20233376</v>
      </c>
      <c r="K4745">
        <v>-65061355</v>
      </c>
      <c r="L4745">
        <v>-4868728</v>
      </c>
      <c r="M4745">
        <v>45006</v>
      </c>
      <c r="N4745">
        <v>-852162</v>
      </c>
      <c r="O4745">
        <v>13042164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581</v>
      </c>
      <c r="F4746">
        <v>-2476960</v>
      </c>
      <c r="G4746">
        <v>-226944</v>
      </c>
      <c r="H4746">
        <v>-104900010</v>
      </c>
      <c r="I4746">
        <v>6926111</v>
      </c>
      <c r="J4746">
        <v>-129951381</v>
      </c>
      <c r="K4746">
        <v>-9129626</v>
      </c>
      <c r="L4746">
        <v>-7153211</v>
      </c>
      <c r="M4746">
        <v>-21541630</v>
      </c>
      <c r="N4746">
        <v>-27498184</v>
      </c>
      <c r="O4746">
        <v>-24020561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-8307395</v>
      </c>
      <c r="H4747">
        <v>58231503</v>
      </c>
      <c r="I4747">
        <v>-1121589026</v>
      </c>
      <c r="J4747">
        <v>-454794700</v>
      </c>
      <c r="K4747">
        <v>350136359</v>
      </c>
      <c r="L4747">
        <v>-364034358</v>
      </c>
      <c r="M4747">
        <v>-357719707</v>
      </c>
      <c r="N4747">
        <v>-159349189</v>
      </c>
      <c r="O4747">
        <v>49133681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21014352</v>
      </c>
      <c r="H4748">
        <v>5350231</v>
      </c>
      <c r="I4748">
        <v>-133410057</v>
      </c>
      <c r="J4748">
        <v>-359495578</v>
      </c>
      <c r="K4748">
        <v>-356444082</v>
      </c>
      <c r="L4748">
        <v>315867873</v>
      </c>
      <c r="M4748">
        <v>24773752</v>
      </c>
      <c r="N4748">
        <v>351014413</v>
      </c>
      <c r="O4748">
        <v>-59549020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-1289177</v>
      </c>
      <c r="H4749">
        <v>-429846</v>
      </c>
      <c r="I4749">
        <v>518138025</v>
      </c>
      <c r="J4749">
        <v>-1204361</v>
      </c>
      <c r="K4749">
        <v>-2373572</v>
      </c>
      <c r="L4749">
        <v>-2609657</v>
      </c>
      <c r="M4749">
        <v>823111</v>
      </c>
      <c r="N4749">
        <v>71857801</v>
      </c>
      <c r="O4749">
        <v>-3450656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-161094071.15000001</v>
      </c>
      <c r="O4750">
        <v>-82072257.049999997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-222749582</v>
      </c>
      <c r="J4751">
        <v>-11013361</v>
      </c>
      <c r="K4751">
        <v>-94064694.519999996</v>
      </c>
      <c r="L4751">
        <v>-114424641.34999999</v>
      </c>
      <c r="M4751">
        <v>8438654.0600000005</v>
      </c>
      <c r="N4751">
        <v>11892549.609999999</v>
      </c>
      <c r="O4751">
        <v>-8488088.1799999997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-11555353.08</v>
      </c>
      <c r="K4752">
        <v>605848.89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189547939</v>
      </c>
      <c r="H4753">
        <v>219704573</v>
      </c>
      <c r="I4753">
        <v>329257910</v>
      </c>
      <c r="J4753">
        <v>413222654</v>
      </c>
      <c r="K4753">
        <v>74155333.379999995</v>
      </c>
      <c r="L4753">
        <v>383941737.31999999</v>
      </c>
      <c r="M4753">
        <v>261107019.36000001</v>
      </c>
      <c r="N4753">
        <v>46754486.43</v>
      </c>
      <c r="O4753">
        <v>91688268.939999998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44046957</v>
      </c>
      <c r="I4754">
        <v>-69322942</v>
      </c>
      <c r="J4754">
        <v>-524128972</v>
      </c>
      <c r="K4754">
        <v>-25388432.210000001</v>
      </c>
      <c r="L4754">
        <v>-179646574.16</v>
      </c>
      <c r="M4754">
        <v>120530424.97</v>
      </c>
      <c r="N4754">
        <v>282763086.06</v>
      </c>
      <c r="O4754">
        <v>464486692.88999999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167185599</v>
      </c>
      <c r="J4755">
        <v>135996383</v>
      </c>
      <c r="K4755">
        <v>223452037.63999999</v>
      </c>
      <c r="L4755">
        <v>-3827756.72</v>
      </c>
      <c r="M4755">
        <v>134249914.78</v>
      </c>
      <c r="N4755">
        <v>-284733020.19999999</v>
      </c>
      <c r="O4755">
        <v>-105516038.97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-21833957</v>
      </c>
      <c r="G4756">
        <v>-36227868</v>
      </c>
      <c r="H4756">
        <v>54555046</v>
      </c>
      <c r="I4756">
        <v>-139678480</v>
      </c>
      <c r="J4756">
        <v>-232478806</v>
      </c>
      <c r="K4756">
        <v>-1135789726</v>
      </c>
      <c r="L4756">
        <v>-282033103</v>
      </c>
      <c r="M4756">
        <v>-14626102</v>
      </c>
      <c r="N4756">
        <v>-3244259</v>
      </c>
      <c r="O4756">
        <v>-31376060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77</v>
      </c>
      <c r="F4757">
        <v>514693803</v>
      </c>
      <c r="G4757">
        <v>45957657</v>
      </c>
      <c r="H4757">
        <v>37375978</v>
      </c>
      <c r="I4757">
        <v>-502151082</v>
      </c>
      <c r="J4757">
        <v>6175164</v>
      </c>
      <c r="K4757">
        <v>93655199</v>
      </c>
      <c r="L4757">
        <v>-2526541</v>
      </c>
      <c r="M4757">
        <v>10353467</v>
      </c>
      <c r="N4757">
        <v>-3426639</v>
      </c>
      <c r="O4757">
        <v>1852299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-416513</v>
      </c>
      <c r="G4758">
        <v>13842873</v>
      </c>
      <c r="H4758">
        <v>-108321970</v>
      </c>
      <c r="I4758">
        <v>-214166838</v>
      </c>
      <c r="J4758">
        <v>-79107251</v>
      </c>
      <c r="K4758">
        <v>-108827730</v>
      </c>
      <c r="L4758">
        <v>-151914026</v>
      </c>
      <c r="M4758">
        <v>7718029</v>
      </c>
      <c r="N4758">
        <v>6809314</v>
      </c>
      <c r="O4758">
        <v>-70852303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-12268570.529999999</v>
      </c>
      <c r="K4759">
        <v>-1295417.9099999999</v>
      </c>
      <c r="L4759">
        <v>1337317.45</v>
      </c>
      <c r="M4759">
        <v>-449179.56</v>
      </c>
      <c r="N4759">
        <v>-1051502.18</v>
      </c>
      <c r="O4759">
        <v>-1112021.97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600</v>
      </c>
      <c r="M4760">
        <v>991512722.32000005</v>
      </c>
      <c r="N4760">
        <v>-1224859266.96</v>
      </c>
      <c r="O4760">
        <v>843055399.27999997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-23541</v>
      </c>
      <c r="G4761">
        <v>-5425040</v>
      </c>
      <c r="H4761">
        <v>40089357</v>
      </c>
      <c r="I4761">
        <v>-636889555</v>
      </c>
      <c r="J4761">
        <v>186348552</v>
      </c>
      <c r="K4761">
        <v>-249422949</v>
      </c>
      <c r="L4761">
        <v>-56275466</v>
      </c>
      <c r="M4761">
        <v>-117646998</v>
      </c>
      <c r="N4761">
        <v>6923735</v>
      </c>
      <c r="O4761">
        <v>-22844164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-2076.35</v>
      </c>
      <c r="L4763">
        <v>-7285.48</v>
      </c>
      <c r="M4763">
        <v>-114266360.98</v>
      </c>
      <c r="N4763">
        <v>7702336.4100000001</v>
      </c>
      <c r="O4763">
        <v>-251895.02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K4764">
        <v>59860989.399999999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-24719098.300000001</v>
      </c>
      <c r="K4765">
        <v>-664117.9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-21032547.420000002</v>
      </c>
      <c r="K4766">
        <v>8580283.6899999995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-153530848</v>
      </c>
      <c r="H4767">
        <v>116690884</v>
      </c>
      <c r="I4767">
        <v>-156732620</v>
      </c>
      <c r="J4767">
        <v>-159544204</v>
      </c>
      <c r="K4767">
        <v>-984418022</v>
      </c>
      <c r="L4767">
        <v>-941524026</v>
      </c>
      <c r="M4767">
        <v>-892979445</v>
      </c>
      <c r="N4767">
        <v>-357298143</v>
      </c>
      <c r="O4767">
        <v>-47383048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545</v>
      </c>
      <c r="F4768">
        <v>-40141968</v>
      </c>
      <c r="G4768">
        <v>-31264997</v>
      </c>
      <c r="H4768">
        <v>6260503</v>
      </c>
      <c r="I4768">
        <v>-25181936</v>
      </c>
      <c r="J4768">
        <v>-23720884</v>
      </c>
      <c r="K4768">
        <v>30736721</v>
      </c>
      <c r="L4768">
        <v>-9828790</v>
      </c>
      <c r="M4768">
        <v>-23149763</v>
      </c>
      <c r="N4768">
        <v>-65537316</v>
      </c>
      <c r="O4768">
        <v>-37465435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8600706</v>
      </c>
      <c r="H4769">
        <v>11641821</v>
      </c>
      <c r="I4769">
        <v>-1985160</v>
      </c>
      <c r="J4769">
        <v>17416271</v>
      </c>
      <c r="K4769">
        <v>63463540.350000001</v>
      </c>
      <c r="L4769">
        <v>-5298206.33</v>
      </c>
      <c r="M4769">
        <v>-111391185.61</v>
      </c>
      <c r="N4769">
        <v>-117350198.41</v>
      </c>
      <c r="O4769">
        <v>-64152506.990000002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-16261368</v>
      </c>
      <c r="H4770">
        <v>41978843</v>
      </c>
      <c r="I4770">
        <v>-668809833</v>
      </c>
      <c r="J4770">
        <v>-1257165671</v>
      </c>
      <c r="K4770">
        <v>-1326435720</v>
      </c>
      <c r="L4770">
        <v>-221566968</v>
      </c>
      <c r="M4770">
        <v>-19084638</v>
      </c>
      <c r="N4770">
        <v>-336536107</v>
      </c>
      <c r="O4770">
        <v>-1509823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-301783.08</v>
      </c>
      <c r="K4771">
        <v>-336939.55</v>
      </c>
      <c r="L4771">
        <v>-15496.31</v>
      </c>
      <c r="M4771">
        <v>-223304.68</v>
      </c>
      <c r="N4771">
        <v>674949.5</v>
      </c>
      <c r="O4771">
        <v>201011.19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-30510109</v>
      </c>
      <c r="G4772">
        <v>-44695798</v>
      </c>
      <c r="H4772">
        <v>75747334</v>
      </c>
      <c r="I4772">
        <v>-7525964</v>
      </c>
      <c r="J4772">
        <v>-260632957</v>
      </c>
      <c r="K4772">
        <v>1463543</v>
      </c>
      <c r="L4772">
        <v>234926533</v>
      </c>
      <c r="M4772">
        <v>-75020522</v>
      </c>
      <c r="N4772">
        <v>25427919</v>
      </c>
      <c r="O4772">
        <v>12639363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-1915765.8</v>
      </c>
      <c r="K4773">
        <v>-8067231.5599999996</v>
      </c>
      <c r="L4773">
        <v>-5927435.71</v>
      </c>
      <c r="M4773">
        <v>-3674803.26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-3954365</v>
      </c>
      <c r="G4774">
        <v>-705361512</v>
      </c>
      <c r="H4774">
        <v>-145875941</v>
      </c>
      <c r="I4774">
        <v>-87583312</v>
      </c>
      <c r="J4774">
        <v>-57478328</v>
      </c>
      <c r="K4774">
        <v>-64402861</v>
      </c>
      <c r="L4774">
        <v>-100032482</v>
      </c>
      <c r="M4774">
        <v>-118729765</v>
      </c>
      <c r="N4774">
        <v>-3557667</v>
      </c>
      <c r="O4774">
        <v>-41193128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-379866</v>
      </c>
      <c r="H4775">
        <v>-1942988</v>
      </c>
      <c r="I4775">
        <v>-45338043</v>
      </c>
      <c r="J4775">
        <v>8043548</v>
      </c>
      <c r="K4775">
        <v>-346358854</v>
      </c>
      <c r="L4775">
        <v>7828958</v>
      </c>
      <c r="M4775">
        <v>-6488127</v>
      </c>
      <c r="N4775">
        <v>16190725</v>
      </c>
      <c r="O4775">
        <v>-56490663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167</v>
      </c>
      <c r="F4776">
        <v>-2964718250</v>
      </c>
      <c r="G4776">
        <v>-503152496</v>
      </c>
      <c r="H4776">
        <v>-975273880</v>
      </c>
      <c r="I4776">
        <v>-1156333195</v>
      </c>
      <c r="J4776">
        <v>-54906370</v>
      </c>
      <c r="K4776">
        <v>-457342127</v>
      </c>
      <c r="L4776">
        <v>-986782705</v>
      </c>
      <c r="M4776">
        <v>-970988720</v>
      </c>
      <c r="N4776">
        <v>308261865</v>
      </c>
      <c r="O4776">
        <v>-265383849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M4777">
        <v>888</v>
      </c>
      <c r="N4777">
        <v>-4082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590</v>
      </c>
      <c r="F4778">
        <v>10122434</v>
      </c>
      <c r="G4778">
        <v>2621986</v>
      </c>
      <c r="H4778">
        <v>225038952</v>
      </c>
      <c r="I4778">
        <v>96561570</v>
      </c>
      <c r="J4778">
        <v>51366191</v>
      </c>
      <c r="K4778">
        <v>-1805949</v>
      </c>
      <c r="L4778">
        <v>15892169</v>
      </c>
      <c r="M4778">
        <v>6871244</v>
      </c>
      <c r="N4778">
        <v>21231298</v>
      </c>
      <c r="O4778">
        <v>5163847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5617827</v>
      </c>
      <c r="J4779">
        <v>-97929355</v>
      </c>
      <c r="K4779">
        <v>3080590.6</v>
      </c>
      <c r="L4779">
        <v>-43794271.420000002</v>
      </c>
      <c r="M4779">
        <v>35746734.909999996</v>
      </c>
      <c r="N4779">
        <v>-23744714.960000001</v>
      </c>
      <c r="O4779">
        <v>-39667878.590000004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498469.26</v>
      </c>
      <c r="K4780">
        <v>-9782276.8699999992</v>
      </c>
      <c r="L4780">
        <v>-1972974</v>
      </c>
      <c r="M4780">
        <v>-2408253.9300000002</v>
      </c>
      <c r="N4780">
        <v>-1811014.71</v>
      </c>
      <c r="O4780">
        <v>-3619965.22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9094</v>
      </c>
      <c r="L4781">
        <v>-600758442.01999998</v>
      </c>
      <c r="M4781">
        <v>-164254497.71000001</v>
      </c>
      <c r="N4781">
        <v>-111635260.06999999</v>
      </c>
      <c r="O4781">
        <v>-123545563.02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9633</v>
      </c>
      <c r="J4782">
        <v>376240300</v>
      </c>
      <c r="K4782">
        <v>327698478.25</v>
      </c>
      <c r="L4782">
        <v>-142084298.03999999</v>
      </c>
      <c r="M4782">
        <v>-564590746.82000005</v>
      </c>
      <c r="N4782">
        <v>-257826245.93000001</v>
      </c>
      <c r="O4782">
        <v>-24476406.640000001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-2128555.46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-3346743</v>
      </c>
      <c r="G4784">
        <v>12104954</v>
      </c>
      <c r="H4784">
        <v>1486211</v>
      </c>
      <c r="I4784">
        <v>165411194</v>
      </c>
      <c r="J4784">
        <v>-422608161</v>
      </c>
      <c r="K4784">
        <v>-393425396</v>
      </c>
      <c r="L4784">
        <v>8047638</v>
      </c>
      <c r="M4784">
        <v>-15588235</v>
      </c>
      <c r="N4784">
        <v>26657792</v>
      </c>
      <c r="O4784">
        <v>40642762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313328874</v>
      </c>
      <c r="H4785">
        <v>351573617</v>
      </c>
      <c r="I4785">
        <v>276867474</v>
      </c>
      <c r="J4785">
        <v>-318318462</v>
      </c>
      <c r="K4785">
        <v>178477505</v>
      </c>
      <c r="L4785">
        <v>256447012</v>
      </c>
      <c r="M4785">
        <v>375092269</v>
      </c>
      <c r="N4785">
        <v>29637485</v>
      </c>
      <c r="O4785">
        <v>373010455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-308559712.75999999</v>
      </c>
      <c r="K4786">
        <v>-51314657.490000002</v>
      </c>
      <c r="L4786">
        <v>-713272560.52999997</v>
      </c>
      <c r="M4786">
        <v>-175935718.86000001</v>
      </c>
      <c r="N4786">
        <v>-477692765.01999998</v>
      </c>
      <c r="O4786">
        <v>-750483387.50999999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-2415238000</v>
      </c>
      <c r="M4787">
        <v>-7710617000</v>
      </c>
      <c r="N4787">
        <v>-4542093000</v>
      </c>
      <c r="O4787">
        <v>-1356264000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885618000</v>
      </c>
      <c r="J4788">
        <v>-76981817</v>
      </c>
      <c r="K4788">
        <v>-72582794.780000001</v>
      </c>
      <c r="L4788">
        <v>-48395185.649999999</v>
      </c>
      <c r="M4788">
        <v>99065531.950000003</v>
      </c>
      <c r="N4788">
        <v>-21342743.510000002</v>
      </c>
      <c r="O4788">
        <v>-53579091.770000003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-165267289</v>
      </c>
      <c r="H4789">
        <v>-102750646</v>
      </c>
      <c r="I4789">
        <v>-20836941</v>
      </c>
      <c r="J4789">
        <v>-119245023</v>
      </c>
      <c r="K4789">
        <v>-99827814</v>
      </c>
      <c r="L4789">
        <v>-201373558</v>
      </c>
      <c r="M4789">
        <v>-375100208</v>
      </c>
      <c r="N4789">
        <v>-560135313</v>
      </c>
      <c r="O4789">
        <v>-975608466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649</v>
      </c>
      <c r="F4790">
        <v>-236091258</v>
      </c>
      <c r="G4790">
        <v>-74683278</v>
      </c>
      <c r="H4790">
        <v>127231927</v>
      </c>
      <c r="I4790">
        <v>27036463</v>
      </c>
      <c r="J4790">
        <v>22898507</v>
      </c>
      <c r="K4790">
        <v>-5076411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-486685907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517</v>
      </c>
      <c r="F4792">
        <v>3381332000</v>
      </c>
      <c r="G4792">
        <v>1531895155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-59391882.028800003</v>
      </c>
      <c r="G4793">
        <v>-35305177.001500003</v>
      </c>
      <c r="H4793">
        <v>-34026264.756999999</v>
      </c>
      <c r="I4793">
        <v>-58979528.486599997</v>
      </c>
      <c r="J4793">
        <v>-39367951.127999999</v>
      </c>
      <c r="K4793">
        <v>-38563415.600299999</v>
      </c>
      <c r="L4793">
        <v>-23485746.640900001</v>
      </c>
      <c r="M4793">
        <v>-11326310.4432</v>
      </c>
      <c r="N4793">
        <v>-6552786.2960000001</v>
      </c>
      <c r="O4793">
        <v>-8383432.8024000004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-56011681.728</v>
      </c>
      <c r="G4794">
        <v>-24443221.7141</v>
      </c>
      <c r="H4794">
        <v>-85156172.165999994</v>
      </c>
      <c r="I4794">
        <v>-68128815.275000006</v>
      </c>
      <c r="J4794">
        <v>-79627410.363600001</v>
      </c>
      <c r="K4794">
        <v>-210312854.24689999</v>
      </c>
      <c r="L4794">
        <v>-85161152.427100003</v>
      </c>
      <c r="M4794">
        <v>-8533840.5984000005</v>
      </c>
      <c r="N4794">
        <v>-10757152.210000001</v>
      </c>
      <c r="O4794">
        <v>-5579386.8663999997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31606232.342399999</v>
      </c>
      <c r="G4795">
        <v>-68048634.266599998</v>
      </c>
      <c r="H4795">
        <v>-140496848.33199999</v>
      </c>
      <c r="I4795">
        <v>17612560.608800001</v>
      </c>
      <c r="J4795">
        <v>21439378.949999999</v>
      </c>
      <c r="K4795">
        <v>18687295.392099999</v>
      </c>
      <c r="L4795">
        <v>35301494.4142</v>
      </c>
      <c r="M4795">
        <v>-2215797.9504</v>
      </c>
      <c r="N4795">
        <v>7520605.7570000002</v>
      </c>
      <c r="O4795">
        <v>-53200832.515600003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8079896.5656000003</v>
      </c>
      <c r="G4796">
        <v>2100804.9205</v>
      </c>
      <c r="H4796">
        <v>7843798.8049999997</v>
      </c>
      <c r="I4796">
        <v>2777072.0602000002</v>
      </c>
      <c r="J4796">
        <v>-10453388.682</v>
      </c>
      <c r="K4796">
        <v>-423432.16159999999</v>
      </c>
      <c r="L4796">
        <v>-4508754.8639000002</v>
      </c>
      <c r="M4796">
        <v>-11633707.300799999</v>
      </c>
      <c r="N4796">
        <v>2527557.9980000001</v>
      </c>
      <c r="O4796">
        <v>4381043.6368000004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447120846.01560003</v>
      </c>
      <c r="G4797">
        <v>412594557.07300001</v>
      </c>
      <c r="H4797">
        <v>-187842179.43200001</v>
      </c>
      <c r="I4797">
        <v>-97701111.339000002</v>
      </c>
      <c r="J4797">
        <v>34060330.075199999</v>
      </c>
      <c r="K4797">
        <v>-347571540.4673</v>
      </c>
      <c r="L4797">
        <v>-53695677.515100002</v>
      </c>
      <c r="M4797">
        <v>31401008.241599999</v>
      </c>
      <c r="N4797">
        <v>-15885712.541999999</v>
      </c>
      <c r="O4797">
        <v>2024010.014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707657.05559999996</v>
      </c>
      <c r="G4798">
        <v>6666706.0971999997</v>
      </c>
      <c r="H4798">
        <v>147.51</v>
      </c>
      <c r="I4798">
        <v>-348095.80719999998</v>
      </c>
      <c r="J4798">
        <v>-12221304.9684</v>
      </c>
      <c r="K4798">
        <v>-777436.2844</v>
      </c>
      <c r="L4798">
        <v>-1979684.5804000001</v>
      </c>
      <c r="M4798">
        <v>-1838941.9247999999</v>
      </c>
      <c r="N4798">
        <v>-1983532.075</v>
      </c>
      <c r="O4798">
        <v>-1217229.1547999999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-63476.581200000001</v>
      </c>
      <c r="G4799">
        <v>1951152.9494</v>
      </c>
      <c r="H4799">
        <v>-16139973.529999999</v>
      </c>
      <c r="I4799">
        <v>-34138193.977200001</v>
      </c>
      <c r="J4799">
        <v>-11486372.8452</v>
      </c>
      <c r="K4799">
        <v>-16857415.377</v>
      </c>
      <c r="L4799">
        <v>-24503732.393800002</v>
      </c>
      <c r="M4799">
        <v>1241059.0632</v>
      </c>
      <c r="N4799">
        <v>1096299.554</v>
      </c>
      <c r="O4799">
        <v>-11251345.716399999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21654461.288400002</v>
      </c>
      <c r="G4800">
        <v>-11448986.9483</v>
      </c>
      <c r="H4800">
        <v>-12991638.843</v>
      </c>
      <c r="I4800">
        <v>-1714800.9712</v>
      </c>
      <c r="J4800">
        <v>14475822.6096</v>
      </c>
      <c r="K4800">
        <v>16841799.908</v>
      </c>
      <c r="L4800">
        <v>-8486086.5539999995</v>
      </c>
      <c r="M4800">
        <v>-3231493.2407999998</v>
      </c>
      <c r="N4800">
        <v>19468737.756999999</v>
      </c>
      <c r="O4800">
        <v>34939926.329999998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19224438.259199999</v>
      </c>
      <c r="G4801">
        <v>-73819373.3653</v>
      </c>
      <c r="H4801">
        <v>-46033773.5</v>
      </c>
      <c r="I4801">
        <v>-240934504.7922</v>
      </c>
      <c r="J4801">
        <v>145317974.7096</v>
      </c>
      <c r="K4801">
        <v>68514475.311299995</v>
      </c>
      <c r="L4801">
        <v>46869113.107100002</v>
      </c>
      <c r="M4801">
        <v>-43262751.3288</v>
      </c>
      <c r="N4801">
        <v>-52296895.034999996</v>
      </c>
      <c r="O4801">
        <v>-18897109.007599998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-111226786.94400001</v>
      </c>
      <c r="G4802">
        <v>-123782201.0605</v>
      </c>
      <c r="H4802">
        <v>-70506098.508000001</v>
      </c>
      <c r="I4802">
        <v>-78853724.996800005</v>
      </c>
      <c r="J4802">
        <v>-85518862.901999995</v>
      </c>
      <c r="K4802">
        <v>-12943421.229699999</v>
      </c>
      <c r="L4802">
        <v>6082765.2665999997</v>
      </c>
      <c r="M4802">
        <v>-40755782.688000001</v>
      </c>
      <c r="N4802">
        <v>-51919762.195</v>
      </c>
      <c r="O4802">
        <v>18596082.646000002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-102166995.25920001</v>
      </c>
      <c r="G4803">
        <v>-236052887.0747</v>
      </c>
      <c r="H4803">
        <v>-134342811.59200001</v>
      </c>
      <c r="I4803">
        <v>-113120996.9496</v>
      </c>
      <c r="J4803">
        <v>-1258619.3004000001</v>
      </c>
      <c r="K4803">
        <v>-41532538.335600004</v>
      </c>
      <c r="L4803">
        <v>-24792580.368799999</v>
      </c>
      <c r="M4803">
        <v>2043601.8936000001</v>
      </c>
      <c r="N4803">
        <v>-21581008.169</v>
      </c>
      <c r="O4803">
        <v>-9008713.3604000006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-254216657.22479999</v>
      </c>
      <c r="G4804">
        <v>45167711.514200002</v>
      </c>
      <c r="H4804">
        <v>55124784.105999999</v>
      </c>
      <c r="I4804">
        <v>-105071703.4196</v>
      </c>
      <c r="J4804">
        <v>-39600269.5308</v>
      </c>
      <c r="K4804">
        <v>-4780146.4636000004</v>
      </c>
      <c r="L4804">
        <v>-200656571.25260001</v>
      </c>
      <c r="M4804">
        <v>-9986018.9663999993</v>
      </c>
      <c r="N4804">
        <v>-62899904.556999996</v>
      </c>
      <c r="O4804">
        <v>-42099861.506399997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62978260.631999999</v>
      </c>
      <c r="G4805">
        <v>-40515608.700300001</v>
      </c>
      <c r="H4805">
        <v>8602126.2589999996</v>
      </c>
      <c r="I4805">
        <v>30437483.239599999</v>
      </c>
      <c r="J4805">
        <v>41155669.064400002</v>
      </c>
      <c r="K4805">
        <v>-30689101.3627</v>
      </c>
      <c r="L4805">
        <v>52222673.9789</v>
      </c>
      <c r="M4805">
        <v>1749701.4624000001</v>
      </c>
      <c r="N4805">
        <v>63137.116000000002</v>
      </c>
      <c r="O4805">
        <v>347815.82880000002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-3438492.9959999998</v>
      </c>
      <c r="G4806">
        <v>-3057569.4328999999</v>
      </c>
      <c r="H4806">
        <v>5477843.7479999997</v>
      </c>
      <c r="I4806">
        <v>-4106012.6543999999</v>
      </c>
      <c r="J4806">
        <v>4525387.2708000001</v>
      </c>
      <c r="K4806">
        <v>1665551.4069999999</v>
      </c>
      <c r="L4806">
        <v>8749315.4112999998</v>
      </c>
      <c r="M4806">
        <v>4834875.8688000003</v>
      </c>
      <c r="N4806">
        <v>3669676.0589999999</v>
      </c>
      <c r="O4806">
        <v>2583855.1264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-4346159.0495999996</v>
      </c>
      <c r="G4807">
        <v>-1607851.7464999999</v>
      </c>
      <c r="H4807">
        <v>-1048321.684</v>
      </c>
      <c r="I4807">
        <v>-2895174.5488</v>
      </c>
      <c r="J4807">
        <v>-6387593.8235999998</v>
      </c>
      <c r="K4807">
        <v>6984283.7764999997</v>
      </c>
      <c r="L4807">
        <v>209262.39369999999</v>
      </c>
      <c r="M4807">
        <v>-5370465.4535999997</v>
      </c>
      <c r="N4807">
        <v>-2253973.5959999999</v>
      </c>
      <c r="O4807">
        <v>-169264.92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-6117635.9232000001</v>
      </c>
      <c r="G4808">
        <v>-4406801.3271000003</v>
      </c>
      <c r="H4808">
        <v>932814.94700000004</v>
      </c>
      <c r="I4808">
        <v>-4014000.5984</v>
      </c>
      <c r="J4808">
        <v>-3444272.3568000002</v>
      </c>
      <c r="K4808">
        <v>4761118.0828999998</v>
      </c>
      <c r="L4808">
        <v>-1585383.827</v>
      </c>
      <c r="M4808">
        <v>-3722481.8903999999</v>
      </c>
      <c r="N4808">
        <v>-10551507.876</v>
      </c>
      <c r="O4808">
        <v>-5949511.0779999997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11493941.706</v>
      </c>
      <c r="G4809">
        <v>-2292990.5273000002</v>
      </c>
      <c r="H4809">
        <v>-5554722.0860000001</v>
      </c>
      <c r="I4809">
        <v>-1285662.0596</v>
      </c>
      <c r="J4809">
        <v>-6753412.3008000003</v>
      </c>
      <c r="K4809">
        <v>-6181591.8216000004</v>
      </c>
      <c r="L4809">
        <v>-8978582.3923000004</v>
      </c>
      <c r="M4809">
        <v>-8302277.6639999999</v>
      </c>
      <c r="N4809">
        <v>-6403723.8020000001</v>
      </c>
      <c r="O4809">
        <v>-4627788.3471999997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1348034.0832</v>
      </c>
      <c r="G4810">
        <v>-6765453.4119999995</v>
      </c>
      <c r="H4810">
        <v>-3892404.0329999998</v>
      </c>
      <c r="I4810">
        <v>4629086.9424000001</v>
      </c>
      <c r="J4810">
        <v>5683702.4112</v>
      </c>
      <c r="K4810">
        <v>9090201.3228999991</v>
      </c>
      <c r="L4810">
        <v>5581143.7194999997</v>
      </c>
      <c r="M4810">
        <v>-3641027.2031999999</v>
      </c>
      <c r="N4810">
        <v>-14907096.582</v>
      </c>
      <c r="O4810">
        <v>11249777.566400001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-1097236.8707999999</v>
      </c>
      <c r="G4811">
        <v>-2601150.7809000001</v>
      </c>
      <c r="H4811">
        <v>-632830.11800000002</v>
      </c>
      <c r="I4811">
        <v>-2704340.3906</v>
      </c>
      <c r="J4811">
        <v>4478645.0675999997</v>
      </c>
      <c r="K4811">
        <v>-11196705.940300001</v>
      </c>
      <c r="L4811">
        <v>4588244.4716999996</v>
      </c>
      <c r="M4811">
        <v>-1275588.9336000001</v>
      </c>
      <c r="N4811">
        <v>-3706108.2659999998</v>
      </c>
      <c r="O4811">
        <v>-6269380.6475999998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-37712361.303599998</v>
      </c>
      <c r="G4812">
        <v>-23710749.1043</v>
      </c>
      <c r="H4812">
        <v>-18632429.140000001</v>
      </c>
      <c r="I4812">
        <v>1445693.7618</v>
      </c>
      <c r="J4812">
        <v>-12987861.5064</v>
      </c>
      <c r="K4812">
        <v>-21745117.275199998</v>
      </c>
      <c r="L4812">
        <v>6354832.2347999997</v>
      </c>
      <c r="M4812">
        <v>-26821375.358399998</v>
      </c>
      <c r="N4812">
        <v>-13038306.148</v>
      </c>
      <c r="O4812">
        <v>-16036485.1724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264356.08799999999</v>
      </c>
      <c r="G4813">
        <v>10877493.6154</v>
      </c>
      <c r="H4813">
        <v>14293380.471999999</v>
      </c>
      <c r="I4813">
        <v>29883703.888999999</v>
      </c>
      <c r="J4813">
        <v>18410422.153200001</v>
      </c>
      <c r="K4813">
        <v>895785.15099999995</v>
      </c>
      <c r="L4813">
        <v>3566265.8986</v>
      </c>
      <c r="M4813">
        <v>14945945.6184</v>
      </c>
      <c r="N4813">
        <v>-11761741.334000001</v>
      </c>
      <c r="O4813">
        <v>53373301.225599997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2986965.0192</v>
      </c>
      <c r="G4814">
        <v>2727604.6372000002</v>
      </c>
      <c r="H4814">
        <v>-5954021.375</v>
      </c>
      <c r="I4814">
        <v>-7938103.2630000003</v>
      </c>
      <c r="J4814">
        <v>-3611530.56</v>
      </c>
      <c r="K4814">
        <v>7261754.2877000002</v>
      </c>
      <c r="L4814">
        <v>828277.43559999997</v>
      </c>
      <c r="M4814">
        <v>310553.03999999998</v>
      </c>
      <c r="N4814">
        <v>-15124736.060000001</v>
      </c>
      <c r="O4814">
        <v>-17251892.256000001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141805628.70719999</v>
      </c>
      <c r="G4815">
        <v>77424777.250699997</v>
      </c>
      <c r="H4815">
        <v>140748231.29800001</v>
      </c>
      <c r="I4815">
        <v>149727569.9034</v>
      </c>
      <c r="J4815">
        <v>47661781.952399999</v>
      </c>
      <c r="K4815">
        <v>88163958.696199998</v>
      </c>
      <c r="L4815">
        <v>124466044.61139999</v>
      </c>
      <c r="M4815">
        <v>159435245.69760001</v>
      </c>
      <c r="N4815">
        <v>119967658.013</v>
      </c>
      <c r="O4815">
        <v>133877197.3612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-10089627.522</v>
      </c>
      <c r="G4816">
        <v>4721329.8426999999</v>
      </c>
      <c r="H4816">
        <v>-15518053.341</v>
      </c>
      <c r="I4816">
        <v>-3501540.7563999998</v>
      </c>
      <c r="J4816">
        <v>-5961307.3871999998</v>
      </c>
      <c r="K4816">
        <v>-8402980.5023999996</v>
      </c>
      <c r="L4816">
        <v>302472.01819999999</v>
      </c>
      <c r="M4816">
        <v>-6232495.1184</v>
      </c>
      <c r="N4816">
        <v>-6016105.5149999997</v>
      </c>
      <c r="O4816">
        <v>3008680.8563999999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-221331473.26199999</v>
      </c>
      <c r="G4817">
        <v>-250993539.57449999</v>
      </c>
      <c r="H4817">
        <v>-230880010.97499999</v>
      </c>
      <c r="I4817">
        <v>-188483535.49520001</v>
      </c>
      <c r="J4817">
        <v>-40253542.045199998</v>
      </c>
      <c r="K4817">
        <v>49434636.521499999</v>
      </c>
      <c r="L4817">
        <v>-22557747.899799999</v>
      </c>
      <c r="M4817">
        <v>-7673517.1824000003</v>
      </c>
      <c r="N4817">
        <v>-101919417.29899999</v>
      </c>
      <c r="O4817">
        <v>-19954986.808800001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65365023.702</v>
      </c>
      <c r="G4818">
        <v>18180496.3585</v>
      </c>
      <c r="H4818">
        <v>42252603.927000001</v>
      </c>
      <c r="I4818">
        <v>16961744.436000001</v>
      </c>
      <c r="J4818">
        <v>45375546.242399998</v>
      </c>
      <c r="K4818">
        <v>28014932.546700001</v>
      </c>
      <c r="L4818">
        <v>4251140.6983000003</v>
      </c>
      <c r="M4818">
        <v>-20114047.327199999</v>
      </c>
      <c r="N4818">
        <v>-21637727.02</v>
      </c>
      <c r="O4818">
        <v>-17907264.143599998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-41985236.374799997</v>
      </c>
      <c r="G4819">
        <v>-31792762.905299999</v>
      </c>
      <c r="H4819">
        <v>4523069.926</v>
      </c>
      <c r="I4819">
        <v>9846641.3851999994</v>
      </c>
      <c r="J4819">
        <v>-51217543.806000002</v>
      </c>
      <c r="K4819">
        <v>-33213564.285500001</v>
      </c>
      <c r="L4819">
        <v>1868057.5606</v>
      </c>
      <c r="M4819">
        <v>-38496030.700800002</v>
      </c>
      <c r="N4819">
        <v>-84894125.827000007</v>
      </c>
      <c r="O4819">
        <v>-62435807.450800002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-106872316.30320001</v>
      </c>
      <c r="G4820">
        <v>-123878446.51279999</v>
      </c>
      <c r="H4820">
        <v>-62648013.880999997</v>
      </c>
      <c r="I4820">
        <v>-175260650.20179999</v>
      </c>
      <c r="J4820">
        <v>-15079501.1928</v>
      </c>
      <c r="K4820">
        <v>-26207865.893800002</v>
      </c>
      <c r="L4820">
        <v>-14421985.105900001</v>
      </c>
      <c r="M4820">
        <v>-13316188.252800001</v>
      </c>
      <c r="N4820">
        <v>-9315948.1520000007</v>
      </c>
      <c r="O4820">
        <v>-6528440.9331999999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1212269.5107</v>
      </c>
      <c r="H4821">
        <v>1734631.3289999999</v>
      </c>
      <c r="I4821">
        <v>-316434.50400000002</v>
      </c>
      <c r="J4821">
        <v>2528842.5491999998</v>
      </c>
      <c r="K4821">
        <v>9830502.4002</v>
      </c>
      <c r="L4821">
        <v>-854600.68099999998</v>
      </c>
      <c r="M4821">
        <v>-17911702.6461</v>
      </c>
      <c r="N4821">
        <v>-18893381.943999998</v>
      </c>
      <c r="O4821">
        <v>-10187418.109999999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-1781396.4410000001</v>
      </c>
      <c r="K4822">
        <v>-200660.23430000001</v>
      </c>
      <c r="L4822">
        <v>215709.30470000001</v>
      </c>
      <c r="M4822">
        <v>-72228.073199999999</v>
      </c>
      <c r="N4822">
        <v>-169291.851</v>
      </c>
      <c r="O4822">
        <v>-176589.0888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211060180.97760001</v>
      </c>
      <c r="G4823">
        <v>-314604998.21179998</v>
      </c>
      <c r="H4823">
        <v>-83682136.025999993</v>
      </c>
      <c r="I4823">
        <v>-318520985.44300002</v>
      </c>
      <c r="J4823">
        <v>100985900.28120001</v>
      </c>
      <c r="K4823">
        <v>27318259.263500001</v>
      </c>
      <c r="L4823">
        <v>-90586594.869599998</v>
      </c>
      <c r="M4823">
        <v>-235223150.18880001</v>
      </c>
      <c r="N4823">
        <v>30116177.965999998</v>
      </c>
      <c r="O4823">
        <v>124022584.50839999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43885358.660400003</v>
      </c>
      <c r="G4824">
        <v>61307720.8134</v>
      </c>
      <c r="H4824">
        <v>194434474.93799999</v>
      </c>
      <c r="I4824">
        <v>95147114.956200004</v>
      </c>
      <c r="J4824">
        <v>46861080.7632</v>
      </c>
      <c r="K4824">
        <v>49194976.9454</v>
      </c>
      <c r="L4824">
        <v>-5153617.7468999997</v>
      </c>
      <c r="M4824">
        <v>73466151.239999995</v>
      </c>
      <c r="N4824">
        <v>23939149.248</v>
      </c>
      <c r="O4824">
        <v>24597753.965999998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-75621440.222399995</v>
      </c>
      <c r="G4825">
        <v>-190283954.32210001</v>
      </c>
      <c r="H4825">
        <v>7783659.7230000002</v>
      </c>
      <c r="I4825">
        <v>39305138.441799998</v>
      </c>
      <c r="J4825">
        <v>60887506.614</v>
      </c>
      <c r="K4825">
        <v>35675982.323100001</v>
      </c>
      <c r="L4825">
        <v>9806993.0616999995</v>
      </c>
      <c r="M4825">
        <v>6449131.4711999996</v>
      </c>
      <c r="N4825">
        <v>10227272.713</v>
      </c>
      <c r="O4825">
        <v>13644352.303200001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4387112.0220999997</v>
      </c>
      <c r="L4826">
        <v>6048004.9698000001</v>
      </c>
      <c r="M4826">
        <v>6905608.2905999999</v>
      </c>
      <c r="N4826">
        <v>6155473.5614</v>
      </c>
      <c r="O4826">
        <v>10838237.8924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333456653.0244</v>
      </c>
      <c r="G4827">
        <v>6332205.9534</v>
      </c>
      <c r="H4827">
        <v>56806256.704999998</v>
      </c>
      <c r="I4827">
        <v>205591234.3818</v>
      </c>
      <c r="J4827">
        <v>211156737.8712</v>
      </c>
      <c r="K4827">
        <v>196713537.77860001</v>
      </c>
      <c r="L4827">
        <v>-12718038.520400001</v>
      </c>
      <c r="M4827">
        <v>41514351.220799997</v>
      </c>
      <c r="N4827">
        <v>-49758510.431000002</v>
      </c>
      <c r="O4827">
        <v>-61237278.266400002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16791143.964000002</v>
      </c>
      <c r="G4828">
        <v>67539076.196099997</v>
      </c>
      <c r="H4828">
        <v>84252895.276999995</v>
      </c>
      <c r="I4828">
        <v>23825540.156599998</v>
      </c>
      <c r="J4828">
        <v>51751827.679200001</v>
      </c>
      <c r="K4828">
        <v>76561744.383100003</v>
      </c>
      <c r="L4828">
        <v>112087981.6496</v>
      </c>
      <c r="M4828">
        <v>140709171.54960001</v>
      </c>
      <c r="N4828">
        <v>85958989.648000002</v>
      </c>
      <c r="O4828">
        <v>36926389.830799997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-956664330</v>
      </c>
      <c r="G4829">
        <v>797875101.20000005</v>
      </c>
      <c r="H4829">
        <v>878859812</v>
      </c>
      <c r="I4829">
        <v>281923925.80000001</v>
      </c>
      <c r="J4829">
        <v>-444028134</v>
      </c>
      <c r="K4829">
        <v>-85761089.485200003</v>
      </c>
      <c r="L4829">
        <v>-1983771.2771999999</v>
      </c>
      <c r="M4829">
        <v>16343467.7448</v>
      </c>
      <c r="N4829">
        <v>-5591253.4019999998</v>
      </c>
      <c r="O4829">
        <v>-364589.5552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30272170.443599999</v>
      </c>
      <c r="G4830">
        <v>293094688.48210001</v>
      </c>
      <c r="H4830">
        <v>180004846.78</v>
      </c>
      <c r="I4830">
        <v>32031655.072799999</v>
      </c>
      <c r="J4830">
        <v>35214948.568800002</v>
      </c>
      <c r="K4830">
        <v>-391751967.74959999</v>
      </c>
      <c r="L4830">
        <v>-204509138.36050001</v>
      </c>
      <c r="M4830">
        <v>-141382762.74959999</v>
      </c>
      <c r="N4830">
        <v>87673565.427000001</v>
      </c>
      <c r="O4830">
        <v>-67866754.429199994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-19686285.849599998</v>
      </c>
      <c r="G4831">
        <v>-32823552.102499999</v>
      </c>
      <c r="H4831">
        <v>-16265340.640000001</v>
      </c>
      <c r="I4831">
        <v>-32231378.969000001</v>
      </c>
      <c r="J4831">
        <v>-33190468.964400001</v>
      </c>
      <c r="K4831">
        <v>-37738225.194899999</v>
      </c>
      <c r="L4831">
        <v>-26193667.654800002</v>
      </c>
      <c r="M4831">
        <v>-40927712.460000001</v>
      </c>
      <c r="N4831">
        <v>-28172676.609000001</v>
      </c>
      <c r="O4831">
        <v>-17270367.842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-3132756.0408000001</v>
      </c>
      <c r="G4832">
        <v>-18112441.188099999</v>
      </c>
      <c r="H4832">
        <v>-8160191.6629999997</v>
      </c>
      <c r="I4832">
        <v>-3615619.1919999998</v>
      </c>
      <c r="J4832">
        <v>7273226.9939999999</v>
      </c>
      <c r="K4832">
        <v>-1828323.5799</v>
      </c>
      <c r="L4832">
        <v>-2321762.8457999998</v>
      </c>
      <c r="M4832">
        <v>-14070809.9496</v>
      </c>
      <c r="N4832">
        <v>-14191803.688999999</v>
      </c>
      <c r="O4832">
        <v>-16832761.094000001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-3809048.2620000001</v>
      </c>
      <c r="G4833">
        <v>-2500124.4454999999</v>
      </c>
      <c r="H4833">
        <v>650827.53</v>
      </c>
      <c r="I4833">
        <v>-1064017.1566000001</v>
      </c>
      <c r="J4833">
        <v>5508.8879999999999</v>
      </c>
      <c r="K4833">
        <v>-1371020.9842999999</v>
      </c>
      <c r="L4833">
        <v>509929.46490000002</v>
      </c>
      <c r="M4833">
        <v>-529294.58640000003</v>
      </c>
      <c r="N4833">
        <v>1041195.694</v>
      </c>
      <c r="O4833">
        <v>-804987.37199999997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98752609.200000003</v>
      </c>
      <c r="G4834">
        <v>-286450006.94999999</v>
      </c>
      <c r="H4834">
        <v>144944667</v>
      </c>
      <c r="I4834">
        <v>-244555943.19999999</v>
      </c>
      <c r="J4834">
        <v>708153903.60000002</v>
      </c>
      <c r="K4834">
        <v>899528464.39999998</v>
      </c>
      <c r="L4834">
        <v>571078617.5</v>
      </c>
      <c r="M4834">
        <v>341555119.19999999</v>
      </c>
      <c r="N4834">
        <v>157025876</v>
      </c>
      <c r="O4834">
        <v>129705934.40000001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-5385644.3975999998</v>
      </c>
      <c r="G4835">
        <v>320472.79989999998</v>
      </c>
      <c r="H4835">
        <v>-3516674.9049999998</v>
      </c>
      <c r="I4835">
        <v>-1760510.834</v>
      </c>
      <c r="J4835">
        <v>-500184.81479999999</v>
      </c>
      <c r="K4835">
        <v>-5252865.7915000003</v>
      </c>
      <c r="L4835">
        <v>-2428798.6224000002</v>
      </c>
      <c r="M4835">
        <v>-2248335.0263999999</v>
      </c>
      <c r="N4835">
        <v>-7736450.2460000003</v>
      </c>
      <c r="O4835">
        <v>-296192.3308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3295790.5128000001</v>
      </c>
      <c r="G4836">
        <v>-52856896.2557</v>
      </c>
      <c r="H4836">
        <v>8912815.2479999997</v>
      </c>
      <c r="I4836">
        <v>3299550.5109999999</v>
      </c>
      <c r="J4836">
        <v>84403346.913599998</v>
      </c>
      <c r="K4836">
        <v>59588123.335900001</v>
      </c>
      <c r="L4836">
        <v>-227660136.69190001</v>
      </c>
      <c r="M4836">
        <v>-116725379.11920001</v>
      </c>
      <c r="N4836">
        <v>-73229841.979000002</v>
      </c>
      <c r="O4836">
        <v>-46298989.897600003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76045479.352300003</v>
      </c>
      <c r="O4837">
        <v>60654881.978699997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-270026213.73790002</v>
      </c>
      <c r="M4838">
        <v>-363682224.12470001</v>
      </c>
      <c r="N4838">
        <v>-212605094.7983</v>
      </c>
      <c r="O4838">
        <v>12756262.2345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-824708.31649999996</v>
      </c>
      <c r="H4839">
        <v>-340076.408</v>
      </c>
      <c r="I4839">
        <v>-8056663.7078</v>
      </c>
      <c r="J4839">
        <v>2143410.4559999998</v>
      </c>
      <c r="K4839">
        <v>-3464552.3037999999</v>
      </c>
      <c r="L4839">
        <v>-6772273.4056000002</v>
      </c>
      <c r="M4839">
        <v>-7135146.0310000004</v>
      </c>
      <c r="N4839">
        <v>-2907431.6713999999</v>
      </c>
      <c r="O4839">
        <v>1753512.449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4534908.7356000002</v>
      </c>
      <c r="G4840">
        <v>26802582.072700001</v>
      </c>
      <c r="H4840">
        <v>3936397.1770000001</v>
      </c>
      <c r="I4840">
        <v>27237323.251200002</v>
      </c>
      <c r="J4840">
        <v>4518821.3267999999</v>
      </c>
      <c r="K4840">
        <v>32055772.600099999</v>
      </c>
      <c r="L4840">
        <v>28368716.8596</v>
      </c>
      <c r="M4840">
        <v>12312646.8696</v>
      </c>
      <c r="N4840">
        <v>11476926.055</v>
      </c>
      <c r="O4840">
        <v>12467721.9564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-2168268.5616000001</v>
      </c>
      <c r="G4841">
        <v>-1862711.3347</v>
      </c>
      <c r="H4841">
        <v>-2213295.6170000001</v>
      </c>
      <c r="I4841">
        <v>-2450368.5299999998</v>
      </c>
      <c r="J4841">
        <v>-7238801.9616</v>
      </c>
      <c r="K4841">
        <v>-8189214.9397</v>
      </c>
      <c r="L4841">
        <v>-15795467.8325</v>
      </c>
      <c r="M4841">
        <v>-10649841.566400001</v>
      </c>
      <c r="N4841">
        <v>739293.00199999998</v>
      </c>
      <c r="O4841">
        <v>-3038553.0419999999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-22925336.6611</v>
      </c>
      <c r="H4842">
        <v>-13938260.577</v>
      </c>
      <c r="I4842">
        <v>-41598743.607199997</v>
      </c>
      <c r="J4842">
        <v>-14061083.4936</v>
      </c>
      <c r="K4842">
        <v>-11719840.4055</v>
      </c>
      <c r="L4842">
        <v>5257681.1854999997</v>
      </c>
      <c r="M4842">
        <v>-10266674.2839</v>
      </c>
      <c r="N4842">
        <v>-31296713.706900001</v>
      </c>
      <c r="O4842">
        <v>5413805.6189000001</v>
      </c>
      <c r="P4842">
        <v>10</v>
      </c>
      <c r="Q4842" t="s">
        <v>10031</v>
      </c>
    </row>
    <row r="4843" spans="1:17" x14ac:dyDescent="0.3">
      <c r="A4843" t="s">
        <v>33</v>
      </c>
      <c r="B4843" t="str">
        <f>"000015"</f>
        <v>000015</v>
      </c>
      <c r="C4843" t="s">
        <v>10032</v>
      </c>
      <c r="J4843">
        <v>-11209968.91</v>
      </c>
      <c r="K4843">
        <v>-28728857.73</v>
      </c>
      <c r="P4843">
        <v>13</v>
      </c>
      <c r="Q4843" t="s">
        <v>10033</v>
      </c>
    </row>
    <row r="4844" spans="1:17" x14ac:dyDescent="0.3">
      <c r="A4844" t="s">
        <v>33</v>
      </c>
      <c r="B4844" t="str">
        <f>"000018"</f>
        <v>000018</v>
      </c>
      <c r="C4844" t="s">
        <v>10034</v>
      </c>
      <c r="G4844">
        <v>-16978433</v>
      </c>
      <c r="H4844">
        <v>24863912</v>
      </c>
      <c r="I4844">
        <v>809676459</v>
      </c>
      <c r="J4844">
        <v>-447147216</v>
      </c>
      <c r="K4844">
        <v>-318972753</v>
      </c>
      <c r="L4844">
        <v>1310984</v>
      </c>
      <c r="M4844">
        <v>1295741</v>
      </c>
      <c r="N4844">
        <v>987246</v>
      </c>
      <c r="O4844">
        <v>571809</v>
      </c>
      <c r="P4844">
        <v>99</v>
      </c>
      <c r="Q4844" t="s">
        <v>10035</v>
      </c>
    </row>
    <row r="4845" spans="1:17" x14ac:dyDescent="0.3">
      <c r="A4845" t="s">
        <v>33</v>
      </c>
      <c r="B4845" t="str">
        <f>"000022"</f>
        <v>000022</v>
      </c>
      <c r="C4845" t="s">
        <v>10036</v>
      </c>
      <c r="I4845">
        <v>105464497</v>
      </c>
      <c r="J4845">
        <v>246485778</v>
      </c>
      <c r="K4845">
        <v>101594145.81</v>
      </c>
      <c r="L4845">
        <v>161160849.19999999</v>
      </c>
      <c r="M4845">
        <v>147151915.58000001</v>
      </c>
      <c r="N4845">
        <v>141992180</v>
      </c>
      <c r="O4845">
        <v>132040260</v>
      </c>
      <c r="P4845">
        <v>83</v>
      </c>
      <c r="Q4845" t="s">
        <v>10037</v>
      </c>
    </row>
    <row r="4846" spans="1:17" x14ac:dyDescent="0.3">
      <c r="A4846" t="s">
        <v>33</v>
      </c>
      <c r="B4846" t="str">
        <f>"000024"</f>
        <v>000024</v>
      </c>
      <c r="C4846" t="s">
        <v>10038</v>
      </c>
      <c r="L4846">
        <v>-6851977379.0699997</v>
      </c>
      <c r="M4846">
        <v>-4330633173.9499998</v>
      </c>
      <c r="N4846">
        <v>790021934.12</v>
      </c>
      <c r="O4846">
        <v>-232454924</v>
      </c>
      <c r="P4846">
        <v>36</v>
      </c>
      <c r="Q4846" t="s">
        <v>10039</v>
      </c>
    </row>
    <row r="4847" spans="1:17" x14ac:dyDescent="0.3">
      <c r="A4847" t="s">
        <v>33</v>
      </c>
      <c r="B4847" t="str">
        <f>"000033"</f>
        <v>000033</v>
      </c>
      <c r="C4847" t="s">
        <v>10040</v>
      </c>
      <c r="J4847">
        <v>-8366364.5499999998</v>
      </c>
      <c r="K4847">
        <v>-29991501.73</v>
      </c>
      <c r="L4847">
        <v>1595599.29</v>
      </c>
      <c r="M4847">
        <v>-5271165.5999999996</v>
      </c>
      <c r="N4847">
        <v>1924006.82</v>
      </c>
      <c r="O4847">
        <v>2746167.2</v>
      </c>
      <c r="P4847">
        <v>7</v>
      </c>
      <c r="Q4847" t="s">
        <v>10041</v>
      </c>
    </row>
    <row r="4848" spans="1:17" x14ac:dyDescent="0.3">
      <c r="A4848" t="s">
        <v>33</v>
      </c>
      <c r="B4848" t="str">
        <f>"000043"</f>
        <v>000043</v>
      </c>
      <c r="C4848" t="s">
        <v>10042</v>
      </c>
      <c r="G4848">
        <v>-816698656</v>
      </c>
      <c r="H4848">
        <v>-686664691</v>
      </c>
      <c r="I4848">
        <v>-151120551</v>
      </c>
      <c r="J4848">
        <v>567050344</v>
      </c>
      <c r="K4848">
        <v>-421304640</v>
      </c>
      <c r="L4848">
        <v>-521109874</v>
      </c>
      <c r="M4848">
        <v>-2122493643</v>
      </c>
      <c r="N4848">
        <v>-553615771</v>
      </c>
      <c r="O4848">
        <v>-474998384</v>
      </c>
      <c r="P4848">
        <v>73</v>
      </c>
      <c r="Q4848" t="s">
        <v>10043</v>
      </c>
    </row>
    <row r="4849" spans="1:17" x14ac:dyDescent="0.3">
      <c r="A4849" t="s">
        <v>33</v>
      </c>
      <c r="B4849" t="str">
        <f>"000047"</f>
        <v>000047</v>
      </c>
      <c r="C4849" t="s">
        <v>10044</v>
      </c>
      <c r="J4849">
        <v>-1074772.49</v>
      </c>
      <c r="K4849">
        <v>-56240844</v>
      </c>
      <c r="L4849">
        <v>-117525.05</v>
      </c>
      <c r="M4849">
        <v>-107822</v>
      </c>
      <c r="N4849">
        <v>-151569.35999999999</v>
      </c>
      <c r="O4849">
        <v>-98676.82</v>
      </c>
      <c r="P4849">
        <v>6</v>
      </c>
      <c r="Q4849" t="s">
        <v>10045</v>
      </c>
    </row>
    <row r="4850" spans="1:17" x14ac:dyDescent="0.3">
      <c r="A4850" t="s">
        <v>33</v>
      </c>
      <c r="B4850" t="str">
        <f>"000418"</f>
        <v>000418</v>
      </c>
      <c r="C4850" t="s">
        <v>10046</v>
      </c>
      <c r="H4850">
        <v>177234177</v>
      </c>
      <c r="I4850">
        <v>284655859</v>
      </c>
      <c r="J4850">
        <v>-168999612</v>
      </c>
      <c r="K4850">
        <v>573548265.89999998</v>
      </c>
      <c r="L4850">
        <v>394282134.54000002</v>
      </c>
      <c r="M4850">
        <v>271964312.52999997</v>
      </c>
      <c r="N4850">
        <v>277826039.48000002</v>
      </c>
      <c r="O4850">
        <v>-1660902.67</v>
      </c>
      <c r="P4850">
        <v>653</v>
      </c>
      <c r="Q4850" t="s">
        <v>10047</v>
      </c>
    </row>
    <row r="4851" spans="1:17" x14ac:dyDescent="0.3">
      <c r="A4851" t="s">
        <v>33</v>
      </c>
      <c r="B4851" t="str">
        <f>"000420"</f>
        <v>000420</v>
      </c>
      <c r="C4851" t="s">
        <v>10048</v>
      </c>
      <c r="D4851" t="s">
        <v>448</v>
      </c>
      <c r="F4851">
        <v>1804776</v>
      </c>
      <c r="G4851">
        <v>2081761</v>
      </c>
      <c r="H4851">
        <v>8257871</v>
      </c>
      <c r="I4851">
        <v>5955386</v>
      </c>
      <c r="J4851">
        <v>6343856</v>
      </c>
      <c r="K4851">
        <v>51940601</v>
      </c>
      <c r="L4851">
        <v>-169114999</v>
      </c>
      <c r="M4851">
        <v>-70336518</v>
      </c>
      <c r="N4851">
        <v>61390569</v>
      </c>
      <c r="O4851">
        <v>45834337</v>
      </c>
      <c r="P4851">
        <v>101</v>
      </c>
      <c r="Q4851" t="s">
        <v>10049</v>
      </c>
    </row>
    <row r="4852" spans="1:17" x14ac:dyDescent="0.3">
      <c r="A4852" t="s">
        <v>33</v>
      </c>
      <c r="B4852" t="str">
        <f>"000511"</f>
        <v>000511</v>
      </c>
      <c r="C4852" t="s">
        <v>10050</v>
      </c>
      <c r="I4852">
        <v>21643433</v>
      </c>
      <c r="J4852">
        <v>-6883748</v>
      </c>
      <c r="K4852">
        <v>-24185718.670000002</v>
      </c>
      <c r="L4852">
        <v>113054342.23999999</v>
      </c>
      <c r="M4852">
        <v>9731410.2200000007</v>
      </c>
      <c r="N4852">
        <v>-36615382.979999997</v>
      </c>
      <c r="O4852">
        <v>20474233.969999999</v>
      </c>
      <c r="P4852">
        <v>14</v>
      </c>
      <c r="Q4852" t="s">
        <v>10051</v>
      </c>
    </row>
    <row r="4853" spans="1:17" x14ac:dyDescent="0.3">
      <c r="A4853" t="s">
        <v>33</v>
      </c>
      <c r="B4853" t="str">
        <f>"000522"</f>
        <v>000522</v>
      </c>
      <c r="C4853" t="s">
        <v>10052</v>
      </c>
      <c r="M4853">
        <v>165475672.44999999</v>
      </c>
      <c r="N4853">
        <v>606861049.02999997</v>
      </c>
      <c r="O4853">
        <v>61134993.369999997</v>
      </c>
      <c r="P4853">
        <v>63</v>
      </c>
      <c r="Q4853" t="s">
        <v>10053</v>
      </c>
    </row>
    <row r="4854" spans="1:17" x14ac:dyDescent="0.3">
      <c r="A4854" t="s">
        <v>33</v>
      </c>
      <c r="B4854" t="str">
        <f>"000527"</f>
        <v>000527</v>
      </c>
      <c r="C4854" t="s">
        <v>10054</v>
      </c>
      <c r="N4854">
        <v>1631867600</v>
      </c>
      <c r="O4854">
        <v>-2321574010</v>
      </c>
      <c r="P4854">
        <v>296</v>
      </c>
      <c r="Q4854" t="s">
        <v>10055</v>
      </c>
    </row>
    <row r="4855" spans="1:17" x14ac:dyDescent="0.3">
      <c r="A4855" t="s">
        <v>33</v>
      </c>
      <c r="B4855" t="str">
        <f>"000556"</f>
        <v>000556</v>
      </c>
      <c r="C4855" t="s">
        <v>10056</v>
      </c>
      <c r="J4855">
        <v>-4966379.63</v>
      </c>
      <c r="K4855">
        <v>2526492.5</v>
      </c>
      <c r="L4855">
        <v>482.5</v>
      </c>
      <c r="M4855">
        <v>-1137.28</v>
      </c>
      <c r="N4855">
        <v>47119.1</v>
      </c>
      <c r="O4855">
        <v>-40114.44</v>
      </c>
      <c r="P4855">
        <v>4</v>
      </c>
      <c r="Q4855" t="s">
        <v>10057</v>
      </c>
    </row>
    <row r="4856" spans="1:17" x14ac:dyDescent="0.3">
      <c r="A4856" t="s">
        <v>33</v>
      </c>
      <c r="B4856" t="str">
        <f>"000562"</f>
        <v>000562</v>
      </c>
      <c r="C4856" t="s">
        <v>10058</v>
      </c>
      <c r="M4856">
        <v>2490744379.75</v>
      </c>
      <c r="N4856">
        <v>750038951.28999996</v>
      </c>
      <c r="O4856">
        <v>-206598233.25</v>
      </c>
      <c r="P4856">
        <v>18</v>
      </c>
      <c r="Q4856" t="s">
        <v>10059</v>
      </c>
    </row>
    <row r="4857" spans="1:17" x14ac:dyDescent="0.3">
      <c r="A4857" t="s">
        <v>33</v>
      </c>
      <c r="B4857" t="str">
        <f>"000578"</f>
        <v>000578</v>
      </c>
      <c r="C4857" t="s">
        <v>10060</v>
      </c>
      <c r="M4857">
        <v>-276240530.13999999</v>
      </c>
      <c r="N4857">
        <v>229923172.37</v>
      </c>
      <c r="O4857">
        <v>270679190.38999999</v>
      </c>
      <c r="P4857">
        <v>12</v>
      </c>
      <c r="Q4857" t="s">
        <v>10061</v>
      </c>
    </row>
    <row r="4858" spans="1:17" x14ac:dyDescent="0.3">
      <c r="A4858" t="s">
        <v>33</v>
      </c>
      <c r="B4858" t="str">
        <f>"000583"</f>
        <v>000583</v>
      </c>
      <c r="C4858" t="s">
        <v>10062</v>
      </c>
      <c r="J4858">
        <v>-13842.3</v>
      </c>
      <c r="L4858">
        <v>500</v>
      </c>
      <c r="M4858">
        <v>-6302.87</v>
      </c>
      <c r="N4858">
        <v>26954.54</v>
      </c>
      <c r="O4858">
        <v>13987.38</v>
      </c>
      <c r="P4858">
        <v>3</v>
      </c>
      <c r="Q4858" t="s">
        <v>10063</v>
      </c>
    </row>
    <row r="4859" spans="1:17" x14ac:dyDescent="0.3">
      <c r="A4859" t="s">
        <v>33</v>
      </c>
      <c r="B4859" t="str">
        <f>"000588"</f>
        <v>000588</v>
      </c>
      <c r="C4859" t="s">
        <v>10064</v>
      </c>
      <c r="J4859">
        <v>-5352841.2</v>
      </c>
      <c r="K4859">
        <v>-17535662.609999999</v>
      </c>
      <c r="L4859">
        <v>-26032497.75</v>
      </c>
      <c r="P4859">
        <v>5</v>
      </c>
      <c r="Q4859" t="s">
        <v>10065</v>
      </c>
    </row>
    <row r="4860" spans="1:17" x14ac:dyDescent="0.3">
      <c r="A4860" t="s">
        <v>33</v>
      </c>
      <c r="B4860" t="str">
        <f>"000594"</f>
        <v>000594</v>
      </c>
      <c r="C4860" t="s">
        <v>10066</v>
      </c>
      <c r="K4860">
        <v>-759152.01</v>
      </c>
      <c r="L4860">
        <v>-282225.65999999997</v>
      </c>
      <c r="M4860">
        <v>-8979579.8900000006</v>
      </c>
      <c r="N4860">
        <v>1145613.82</v>
      </c>
      <c r="O4860">
        <v>-28815677.539999999</v>
      </c>
      <c r="P4860">
        <v>3</v>
      </c>
      <c r="Q4860" t="s">
        <v>10067</v>
      </c>
    </row>
    <row r="4861" spans="1:17" x14ac:dyDescent="0.3">
      <c r="A4861" t="s">
        <v>33</v>
      </c>
      <c r="B4861" t="str">
        <f>"000602"</f>
        <v>000602</v>
      </c>
      <c r="C4861" t="s">
        <v>10068</v>
      </c>
      <c r="N4861">
        <v>500076374.72000003</v>
      </c>
      <c r="O4861">
        <v>466446459.13</v>
      </c>
      <c r="P4861">
        <v>5</v>
      </c>
      <c r="Q4861" t="s">
        <v>10069</v>
      </c>
    </row>
    <row r="4862" spans="1:17" x14ac:dyDescent="0.3">
      <c r="A4862" t="s">
        <v>33</v>
      </c>
      <c r="B4862" t="str">
        <f>"000658"</f>
        <v>000658</v>
      </c>
      <c r="C4862" t="s">
        <v>10070</v>
      </c>
      <c r="J4862">
        <v>-10460123.68</v>
      </c>
      <c r="K4862">
        <v>114065.08</v>
      </c>
      <c r="L4862">
        <v>-38497.660000000003</v>
      </c>
      <c r="M4862">
        <v>-2987.67</v>
      </c>
      <c r="N4862">
        <v>4470.09</v>
      </c>
      <c r="O4862">
        <v>3957.34</v>
      </c>
      <c r="P4862">
        <v>5</v>
      </c>
      <c r="Q4862" t="s">
        <v>10071</v>
      </c>
    </row>
    <row r="4863" spans="1:17" x14ac:dyDescent="0.3">
      <c r="A4863" t="s">
        <v>33</v>
      </c>
      <c r="B4863" t="str">
        <f>"000660"</f>
        <v>000660</v>
      </c>
      <c r="C4863" t="s">
        <v>10072</v>
      </c>
      <c r="M4863">
        <v>144585.49</v>
      </c>
      <c r="O4863">
        <v>491567.7</v>
      </c>
      <c r="P4863">
        <v>6</v>
      </c>
      <c r="Q4863" t="s">
        <v>10073</v>
      </c>
    </row>
    <row r="4864" spans="1:17" x14ac:dyDescent="0.3">
      <c r="A4864" t="s">
        <v>33</v>
      </c>
      <c r="B4864" t="str">
        <f>"000662"</f>
        <v>000662</v>
      </c>
      <c r="C4864" t="s">
        <v>10074</v>
      </c>
      <c r="G4864">
        <v>118166</v>
      </c>
      <c r="H4864">
        <v>-12647746</v>
      </c>
      <c r="I4864">
        <v>-330635226</v>
      </c>
      <c r="J4864">
        <v>-177893796</v>
      </c>
      <c r="K4864">
        <v>-29056322</v>
      </c>
      <c r="L4864">
        <v>-16453510</v>
      </c>
      <c r="M4864">
        <v>-18856119</v>
      </c>
      <c r="N4864">
        <v>-105206799</v>
      </c>
      <c r="O4864">
        <v>24537308</v>
      </c>
      <c r="P4864">
        <v>146</v>
      </c>
      <c r="Q4864" t="s">
        <v>10075</v>
      </c>
    </row>
    <row r="4865" spans="1:17" x14ac:dyDescent="0.3">
      <c r="A4865" t="s">
        <v>33</v>
      </c>
      <c r="B4865" t="str">
        <f>"000675"</f>
        <v>000675</v>
      </c>
      <c r="C4865" t="s">
        <v>10076</v>
      </c>
      <c r="J4865">
        <v>-34293.870000000003</v>
      </c>
      <c r="L4865">
        <v>1621201.75</v>
      </c>
      <c r="M4865">
        <v>-179478.39999999999</v>
      </c>
      <c r="N4865">
        <v>247415.86</v>
      </c>
      <c r="O4865">
        <v>477004.93</v>
      </c>
      <c r="P4865">
        <v>5</v>
      </c>
      <c r="Q4865" t="s">
        <v>10077</v>
      </c>
    </row>
    <row r="4866" spans="1:17" x14ac:dyDescent="0.3">
      <c r="A4866" t="s">
        <v>33</v>
      </c>
      <c r="B4866" t="str">
        <f>"000689"</f>
        <v>000689</v>
      </c>
      <c r="C4866" t="s">
        <v>10078</v>
      </c>
      <c r="P4866">
        <v>5</v>
      </c>
      <c r="Q4866" t="s">
        <v>10079</v>
      </c>
    </row>
    <row r="4867" spans="1:17" x14ac:dyDescent="0.3">
      <c r="A4867" t="s">
        <v>33</v>
      </c>
      <c r="B4867" t="str">
        <f>"000693"</f>
        <v>000693</v>
      </c>
      <c r="C4867" t="s">
        <v>10080</v>
      </c>
      <c r="I4867">
        <v>-4085403</v>
      </c>
      <c r="J4867">
        <v>853114</v>
      </c>
      <c r="K4867">
        <v>-607204322.47000003</v>
      </c>
      <c r="L4867">
        <v>-121688080.23</v>
      </c>
      <c r="M4867">
        <v>153067828.90000001</v>
      </c>
      <c r="N4867">
        <v>-82151306.25</v>
      </c>
      <c r="O4867">
        <v>-69903467.840000004</v>
      </c>
      <c r="P4867">
        <v>17</v>
      </c>
      <c r="Q4867" t="s">
        <v>10081</v>
      </c>
    </row>
    <row r="4868" spans="1:17" x14ac:dyDescent="0.3">
      <c r="A4868" t="s">
        <v>33</v>
      </c>
      <c r="B4868" t="str">
        <f>"000730"</f>
        <v>000730</v>
      </c>
      <c r="C4868" t="s">
        <v>10082</v>
      </c>
      <c r="J4868">
        <v>3111337.66</v>
      </c>
      <c r="K4868">
        <v>-29353016.91</v>
      </c>
      <c r="P4868">
        <v>4</v>
      </c>
      <c r="Q4868" t="s">
        <v>10083</v>
      </c>
    </row>
    <row r="4869" spans="1:17" x14ac:dyDescent="0.3">
      <c r="A4869" t="s">
        <v>33</v>
      </c>
      <c r="B4869" t="str">
        <f>"000748"</f>
        <v>000748</v>
      </c>
      <c r="C4869" t="s">
        <v>10084</v>
      </c>
      <c r="K4869">
        <v>-363020565.54000002</v>
      </c>
      <c r="L4869">
        <v>-210681929.77000001</v>
      </c>
      <c r="M4869">
        <v>-218774465.5</v>
      </c>
      <c r="N4869">
        <v>-191312135.93000001</v>
      </c>
      <c r="O4869">
        <v>-230443041.96000001</v>
      </c>
      <c r="P4869">
        <v>8</v>
      </c>
      <c r="Q4869" t="s">
        <v>10085</v>
      </c>
    </row>
    <row r="4870" spans="1:17" x14ac:dyDescent="0.3">
      <c r="A4870" t="s">
        <v>33</v>
      </c>
      <c r="B4870" t="str">
        <f>"000760"</f>
        <v>000760</v>
      </c>
      <c r="C4870" t="s">
        <v>10086</v>
      </c>
      <c r="F4870">
        <v>290848</v>
      </c>
      <c r="G4870">
        <v>-1446594</v>
      </c>
      <c r="H4870">
        <v>-181444176</v>
      </c>
      <c r="I4870">
        <v>-66514317</v>
      </c>
      <c r="J4870">
        <v>-66077778</v>
      </c>
      <c r="K4870">
        <v>-14943646</v>
      </c>
      <c r="L4870">
        <v>-86956399</v>
      </c>
      <c r="M4870">
        <v>11160675</v>
      </c>
      <c r="N4870">
        <v>-3388130</v>
      </c>
      <c r="O4870">
        <v>-2700559</v>
      </c>
      <c r="P4870">
        <v>59</v>
      </c>
      <c r="Q4870" t="s">
        <v>10087</v>
      </c>
    </row>
    <row r="4871" spans="1:17" x14ac:dyDescent="0.3">
      <c r="A4871" t="s">
        <v>33</v>
      </c>
      <c r="B4871" t="str">
        <f>"000765"</f>
        <v>000765</v>
      </c>
      <c r="C4871" t="s">
        <v>10088</v>
      </c>
      <c r="J4871">
        <v>-84277519.879999995</v>
      </c>
      <c r="K4871">
        <v>-75709566.959999993</v>
      </c>
      <c r="L4871">
        <v>-2821573.09</v>
      </c>
      <c r="M4871">
        <v>-106844.16</v>
      </c>
      <c r="N4871">
        <v>-285413.18</v>
      </c>
      <c r="O4871">
        <v>133428.57</v>
      </c>
      <c r="P4871">
        <v>4</v>
      </c>
      <c r="Q4871" t="s">
        <v>10089</v>
      </c>
    </row>
    <row r="4872" spans="1:17" x14ac:dyDescent="0.3">
      <c r="A4872" t="s">
        <v>33</v>
      </c>
      <c r="B4872" t="str">
        <f>"000780"</f>
        <v>000780</v>
      </c>
      <c r="C4872" t="s">
        <v>10090</v>
      </c>
      <c r="D4872" t="s">
        <v>77</v>
      </c>
      <c r="F4872">
        <v>-71563259</v>
      </c>
      <c r="G4872">
        <v>-42020666</v>
      </c>
      <c r="H4872">
        <v>-115710736</v>
      </c>
      <c r="I4872">
        <v>-592482428</v>
      </c>
      <c r="J4872">
        <v>-257280903</v>
      </c>
      <c r="K4872">
        <v>-259875012</v>
      </c>
      <c r="L4872">
        <v>132283974</v>
      </c>
      <c r="M4872">
        <v>-160537114</v>
      </c>
      <c r="N4872">
        <v>-493582100</v>
      </c>
      <c r="O4872">
        <v>-275246551</v>
      </c>
      <c r="P4872">
        <v>99</v>
      </c>
      <c r="Q4872" t="s">
        <v>10091</v>
      </c>
    </row>
    <row r="4873" spans="1:17" x14ac:dyDescent="0.3">
      <c r="A4873" t="s">
        <v>33</v>
      </c>
      <c r="B4873" t="str">
        <f>"000787"</f>
        <v>000787</v>
      </c>
      <c r="C4873" t="s">
        <v>10092</v>
      </c>
      <c r="J4873">
        <v>-268284520.62</v>
      </c>
      <c r="K4873">
        <v>-151100523.38</v>
      </c>
      <c r="L4873">
        <v>287760837.13999999</v>
      </c>
      <c r="M4873">
        <v>-71371.31</v>
      </c>
      <c r="N4873">
        <v>-638679.02</v>
      </c>
      <c r="O4873">
        <v>-1694952.83</v>
      </c>
      <c r="P4873">
        <v>3</v>
      </c>
      <c r="Q4873" t="s">
        <v>10093</v>
      </c>
    </row>
    <row r="4874" spans="1:17" x14ac:dyDescent="0.3">
      <c r="A4874" t="s">
        <v>33</v>
      </c>
      <c r="B4874" t="str">
        <f>"000805"</f>
        <v>000805</v>
      </c>
      <c r="C4874" t="s">
        <v>10094</v>
      </c>
      <c r="J4874">
        <v>-22245186.98</v>
      </c>
      <c r="K4874">
        <v>-6360745.4299999997</v>
      </c>
      <c r="L4874">
        <v>-429874.87</v>
      </c>
      <c r="M4874">
        <v>-1801897.06</v>
      </c>
      <c r="N4874">
        <v>-2343842.46</v>
      </c>
      <c r="O4874">
        <v>-2445162.9700000002</v>
      </c>
      <c r="P4874">
        <v>3</v>
      </c>
      <c r="Q4874" t="s">
        <v>10095</v>
      </c>
    </row>
    <row r="4875" spans="1:17" x14ac:dyDescent="0.3">
      <c r="A4875" t="s">
        <v>33</v>
      </c>
      <c r="B4875" t="str">
        <f>"000832"</f>
        <v>000832</v>
      </c>
      <c r="C4875" t="s">
        <v>10096</v>
      </c>
      <c r="J4875">
        <v>-234035.38</v>
      </c>
      <c r="K4875">
        <v>-29089.09</v>
      </c>
      <c r="L4875">
        <v>11940.38</v>
      </c>
      <c r="M4875">
        <v>339683.02</v>
      </c>
      <c r="N4875">
        <v>-421211.42</v>
      </c>
      <c r="O4875">
        <v>3390565.66</v>
      </c>
      <c r="P4875">
        <v>6</v>
      </c>
      <c r="Q4875" t="s">
        <v>10097</v>
      </c>
    </row>
    <row r="4876" spans="1:17" x14ac:dyDescent="0.3">
      <c r="A4876" t="s">
        <v>33</v>
      </c>
      <c r="B4876" t="str">
        <f>"000916"</f>
        <v>000916</v>
      </c>
      <c r="C4876" t="s">
        <v>10098</v>
      </c>
      <c r="J4876">
        <v>117829875</v>
      </c>
      <c r="K4876">
        <v>90319925.370000005</v>
      </c>
      <c r="L4876">
        <v>53659936.049999997</v>
      </c>
      <c r="M4876">
        <v>78221462.780000001</v>
      </c>
      <c r="N4876">
        <v>-71891436.969999999</v>
      </c>
      <c r="O4876">
        <v>71065224.230000004</v>
      </c>
      <c r="P4876">
        <v>27</v>
      </c>
      <c r="Q4876" t="s">
        <v>10099</v>
      </c>
    </row>
    <row r="4877" spans="1:17" x14ac:dyDescent="0.3">
      <c r="A4877" t="s">
        <v>33</v>
      </c>
      <c r="B4877" t="str">
        <f>"000939"</f>
        <v>000939</v>
      </c>
      <c r="C4877" t="s">
        <v>10100</v>
      </c>
      <c r="G4877">
        <v>-7160039</v>
      </c>
      <c r="H4877">
        <v>-83270830</v>
      </c>
      <c r="I4877">
        <v>-361706348</v>
      </c>
      <c r="J4877">
        <v>-56372166</v>
      </c>
      <c r="K4877">
        <v>231684508</v>
      </c>
      <c r="L4877">
        <v>21712439</v>
      </c>
      <c r="M4877">
        <v>124363907</v>
      </c>
      <c r="N4877">
        <v>-86143725</v>
      </c>
      <c r="O4877">
        <v>32115921</v>
      </c>
      <c r="P4877">
        <v>61</v>
      </c>
      <c r="Q4877" t="s">
        <v>10101</v>
      </c>
    </row>
    <row r="4878" spans="1:17" x14ac:dyDescent="0.3">
      <c r="A4878" t="s">
        <v>33</v>
      </c>
      <c r="B4878" t="str">
        <f>"000971"</f>
        <v>000971</v>
      </c>
      <c r="C4878" t="s">
        <v>10102</v>
      </c>
      <c r="D4878" t="s">
        <v>1566</v>
      </c>
      <c r="F4878">
        <v>-55873187</v>
      </c>
      <c r="G4878">
        <v>-50615530</v>
      </c>
      <c r="H4878">
        <v>-43864890</v>
      </c>
      <c r="I4878">
        <v>-1600592</v>
      </c>
      <c r="J4878">
        <v>64785616</v>
      </c>
      <c r="K4878">
        <v>-14023469</v>
      </c>
      <c r="L4878">
        <v>-11389530</v>
      </c>
      <c r="M4878">
        <v>-4717434</v>
      </c>
      <c r="N4878">
        <v>-16009564</v>
      </c>
      <c r="O4878">
        <v>-56913779</v>
      </c>
      <c r="P4878">
        <v>74</v>
      </c>
      <c r="Q4878" t="s">
        <v>10103</v>
      </c>
    </row>
    <row r="4879" spans="1:17" x14ac:dyDescent="0.3">
      <c r="A4879" t="s">
        <v>33</v>
      </c>
      <c r="B4879" t="str">
        <f>"000979"</f>
        <v>000979</v>
      </c>
      <c r="C4879" t="s">
        <v>10104</v>
      </c>
      <c r="I4879">
        <v>373046093</v>
      </c>
      <c r="J4879">
        <v>-986125843</v>
      </c>
      <c r="K4879">
        <v>-1710949326.76</v>
      </c>
      <c r="L4879">
        <v>819907031.27999997</v>
      </c>
      <c r="M4879">
        <v>-1566091073.24</v>
      </c>
      <c r="N4879">
        <v>349939804.16000003</v>
      </c>
      <c r="O4879">
        <v>51412130.939999998</v>
      </c>
      <c r="P4879">
        <v>30</v>
      </c>
      <c r="Q4879" t="s">
        <v>10105</v>
      </c>
    </row>
    <row r="4880" spans="1:17" x14ac:dyDescent="0.3">
      <c r="A4880" t="s">
        <v>33</v>
      </c>
      <c r="B4880" t="str">
        <f>"002018"</f>
        <v>002018</v>
      </c>
      <c r="C4880" t="s">
        <v>10106</v>
      </c>
      <c r="G4880">
        <v>12932677</v>
      </c>
      <c r="H4880">
        <v>9389628</v>
      </c>
      <c r="I4880">
        <v>-151348621</v>
      </c>
      <c r="J4880">
        <v>-574991258</v>
      </c>
      <c r="K4880">
        <v>-763794317</v>
      </c>
      <c r="L4880">
        <v>-62013909</v>
      </c>
      <c r="M4880">
        <v>-806984413</v>
      </c>
      <c r="N4880">
        <v>-6808958</v>
      </c>
      <c r="O4880">
        <v>-28734444</v>
      </c>
      <c r="P4880">
        <v>40</v>
      </c>
      <c r="Q4880" t="s">
        <v>10107</v>
      </c>
    </row>
    <row r="4881" spans="1:17" x14ac:dyDescent="0.3">
      <c r="A4881" t="s">
        <v>33</v>
      </c>
      <c r="B4881" t="str">
        <f>"002070"</f>
        <v>002070</v>
      </c>
      <c r="C4881" t="s">
        <v>10108</v>
      </c>
      <c r="H4881">
        <v>-1572288</v>
      </c>
      <c r="I4881">
        <v>9547979</v>
      </c>
      <c r="J4881">
        <v>13916249</v>
      </c>
      <c r="K4881">
        <v>6893156</v>
      </c>
      <c r="L4881">
        <v>-81136091.310000002</v>
      </c>
      <c r="M4881">
        <v>112397104.14</v>
      </c>
      <c r="N4881">
        <v>602511.15</v>
      </c>
      <c r="O4881">
        <v>-1288737.6100000001</v>
      </c>
      <c r="P4881">
        <v>27</v>
      </c>
      <c r="Q4881" t="s">
        <v>10109</v>
      </c>
    </row>
    <row r="4882" spans="1:17" x14ac:dyDescent="0.3">
      <c r="A4882" t="s">
        <v>33</v>
      </c>
      <c r="B4882" t="str">
        <f>"002071"</f>
        <v>002071</v>
      </c>
      <c r="C4882" t="s">
        <v>10110</v>
      </c>
      <c r="F4882">
        <v>25670100</v>
      </c>
      <c r="G4882">
        <v>5520770</v>
      </c>
      <c r="H4882">
        <v>57373259</v>
      </c>
      <c r="I4882">
        <v>72141697</v>
      </c>
      <c r="J4882">
        <v>37722467</v>
      </c>
      <c r="K4882">
        <v>22070139</v>
      </c>
      <c r="L4882">
        <v>-73803752</v>
      </c>
      <c r="M4882">
        <v>16076669</v>
      </c>
      <c r="N4882">
        <v>8198618</v>
      </c>
      <c r="O4882">
        <v>1855096</v>
      </c>
      <c r="P4882">
        <v>97</v>
      </c>
      <c r="Q4882" t="s">
        <v>10111</v>
      </c>
    </row>
    <row r="4883" spans="1:17" x14ac:dyDescent="0.3">
      <c r="A4883" t="s">
        <v>33</v>
      </c>
      <c r="B4883" t="str">
        <f>"002118"</f>
        <v>002118</v>
      </c>
      <c r="C4883" t="s">
        <v>10112</v>
      </c>
      <c r="D4883" t="s">
        <v>533</v>
      </c>
      <c r="F4883">
        <v>-36926534</v>
      </c>
      <c r="G4883">
        <v>2808581</v>
      </c>
      <c r="H4883">
        <v>-477786277</v>
      </c>
      <c r="I4883">
        <v>-41149638</v>
      </c>
      <c r="J4883">
        <v>-113433754</v>
      </c>
      <c r="K4883">
        <v>-221330305</v>
      </c>
      <c r="L4883">
        <v>38198971</v>
      </c>
      <c r="M4883">
        <v>-22196130</v>
      </c>
      <c r="N4883">
        <v>3600357</v>
      </c>
      <c r="O4883">
        <v>-58432598</v>
      </c>
      <c r="P4883">
        <v>226</v>
      </c>
      <c r="Q4883" t="s">
        <v>10113</v>
      </c>
    </row>
    <row r="4884" spans="1:17" x14ac:dyDescent="0.3">
      <c r="A4884" t="s">
        <v>33</v>
      </c>
      <c r="B4884" t="str">
        <f>"002143"</f>
        <v>002143</v>
      </c>
      <c r="C4884" t="s">
        <v>10114</v>
      </c>
      <c r="H4884">
        <v>-46184266</v>
      </c>
      <c r="I4884">
        <v>-201426248</v>
      </c>
      <c r="J4884">
        <v>-70922637</v>
      </c>
      <c r="K4884">
        <v>-52952012</v>
      </c>
      <c r="L4884">
        <v>28836162</v>
      </c>
      <c r="M4884">
        <v>4574285</v>
      </c>
      <c r="N4884">
        <v>-36876643</v>
      </c>
      <c r="O4884">
        <v>-69046498</v>
      </c>
      <c r="P4884">
        <v>59</v>
      </c>
      <c r="Q4884" t="s">
        <v>10115</v>
      </c>
    </row>
    <row r="4885" spans="1:17" x14ac:dyDescent="0.3">
      <c r="A4885" t="s">
        <v>33</v>
      </c>
      <c r="B4885" t="str">
        <f>"002220"</f>
        <v>002220</v>
      </c>
      <c r="C4885" t="s">
        <v>10116</v>
      </c>
      <c r="G4885">
        <v>-1770716</v>
      </c>
      <c r="H4885">
        <v>-4068381</v>
      </c>
      <c r="I4885">
        <v>29733719</v>
      </c>
      <c r="J4885">
        <v>22914874</v>
      </c>
      <c r="K4885">
        <v>171395263</v>
      </c>
      <c r="L4885">
        <v>67973168</v>
      </c>
      <c r="M4885">
        <v>14588475</v>
      </c>
      <c r="N4885">
        <v>15784000</v>
      </c>
      <c r="O4885">
        <v>144884063</v>
      </c>
      <c r="P4885">
        <v>51</v>
      </c>
      <c r="Q4885" t="s">
        <v>10117</v>
      </c>
    </row>
    <row r="4886" spans="1:17" x14ac:dyDescent="0.3">
      <c r="A4886" t="s">
        <v>33</v>
      </c>
      <c r="B4886" t="str">
        <f>"002359"</f>
        <v>002359</v>
      </c>
      <c r="C4886" t="s">
        <v>10118</v>
      </c>
      <c r="F4886">
        <v>-10932955</v>
      </c>
      <c r="G4886">
        <v>3851545</v>
      </c>
      <c r="H4886">
        <v>11585544</v>
      </c>
      <c r="I4886">
        <v>647426</v>
      </c>
      <c r="J4886">
        <v>-27193588</v>
      </c>
      <c r="K4886">
        <v>595747</v>
      </c>
      <c r="L4886">
        <v>-27723016</v>
      </c>
      <c r="M4886">
        <v>-37851658</v>
      </c>
      <c r="N4886">
        <v>-108173939</v>
      </c>
      <c r="O4886">
        <v>-22195122</v>
      </c>
      <c r="P4886">
        <v>68</v>
      </c>
      <c r="Q4886" t="s">
        <v>10119</v>
      </c>
    </row>
    <row r="4887" spans="1:17" x14ac:dyDescent="0.3">
      <c r="A4887" t="s">
        <v>33</v>
      </c>
      <c r="B4887" t="str">
        <f>"002411"</f>
        <v>002411</v>
      </c>
      <c r="C4887" t="s">
        <v>10120</v>
      </c>
      <c r="D4887" t="s">
        <v>415</v>
      </c>
      <c r="F4887">
        <v>172878769</v>
      </c>
      <c r="G4887">
        <v>-48575113</v>
      </c>
      <c r="H4887">
        <v>57267141</v>
      </c>
      <c r="I4887">
        <v>765766988</v>
      </c>
      <c r="J4887">
        <v>168483889</v>
      </c>
      <c r="K4887">
        <v>347327330</v>
      </c>
      <c r="L4887">
        <v>-32789740</v>
      </c>
      <c r="M4887">
        <v>10233564</v>
      </c>
      <c r="N4887">
        <v>31626575</v>
      </c>
      <c r="O4887">
        <v>29525413</v>
      </c>
      <c r="P4887">
        <v>244</v>
      </c>
      <c r="Q4887" t="s">
        <v>10121</v>
      </c>
    </row>
    <row r="4888" spans="1:17" x14ac:dyDescent="0.3">
      <c r="A4888" t="s">
        <v>33</v>
      </c>
      <c r="B4888" t="str">
        <f>"002433"</f>
        <v>002433</v>
      </c>
      <c r="C4888" t="s">
        <v>10122</v>
      </c>
      <c r="D4888" t="s">
        <v>533</v>
      </c>
      <c r="F4888">
        <v>212283757</v>
      </c>
      <c r="G4888">
        <v>-187228456</v>
      </c>
      <c r="H4888">
        <v>7301257</v>
      </c>
      <c r="I4888">
        <v>-43663536</v>
      </c>
      <c r="J4888">
        <v>65555611</v>
      </c>
      <c r="K4888">
        <v>-142369866</v>
      </c>
      <c r="L4888">
        <v>-114261784</v>
      </c>
      <c r="M4888">
        <v>-18191192</v>
      </c>
      <c r="N4888">
        <v>-22002843</v>
      </c>
      <c r="O4888">
        <v>31220600</v>
      </c>
      <c r="P4888">
        <v>235</v>
      </c>
      <c r="Q4888" t="s">
        <v>10123</v>
      </c>
    </row>
    <row r="4889" spans="1:17" x14ac:dyDescent="0.3">
      <c r="A4889" t="s">
        <v>33</v>
      </c>
      <c r="B4889" t="str">
        <f>"002450"</f>
        <v>002450</v>
      </c>
      <c r="C4889" t="s">
        <v>10124</v>
      </c>
      <c r="F4889">
        <v>-8066008</v>
      </c>
      <c r="G4889">
        <v>-71136671</v>
      </c>
      <c r="H4889">
        <v>8814722</v>
      </c>
      <c r="I4889">
        <v>300428948</v>
      </c>
      <c r="J4889">
        <v>1141384862</v>
      </c>
      <c r="K4889">
        <v>222761061</v>
      </c>
      <c r="L4889">
        <v>139161454</v>
      </c>
      <c r="M4889">
        <v>103475605</v>
      </c>
      <c r="N4889">
        <v>69957359</v>
      </c>
      <c r="O4889">
        <v>53866496</v>
      </c>
      <c r="P4889">
        <v>1520</v>
      </c>
      <c r="Q4889" t="s">
        <v>10125</v>
      </c>
    </row>
    <row r="4890" spans="1:17" x14ac:dyDescent="0.3">
      <c r="A4890" t="s">
        <v>33</v>
      </c>
      <c r="B4890" t="str">
        <f>"002464"</f>
        <v>002464</v>
      </c>
      <c r="C4890" t="s">
        <v>10126</v>
      </c>
      <c r="D4890" t="s">
        <v>751</v>
      </c>
      <c r="F4890">
        <v>33450236</v>
      </c>
      <c r="G4890">
        <v>17873166</v>
      </c>
      <c r="H4890">
        <v>125403521</v>
      </c>
      <c r="I4890">
        <v>28977485</v>
      </c>
      <c r="J4890">
        <v>85194389</v>
      </c>
      <c r="K4890">
        <v>2621563</v>
      </c>
      <c r="L4890">
        <v>15156840</v>
      </c>
      <c r="M4890">
        <v>-14891306</v>
      </c>
      <c r="N4890">
        <v>33066226</v>
      </c>
      <c r="O4890">
        <v>25979837</v>
      </c>
      <c r="P4890">
        <v>110</v>
      </c>
      <c r="Q4890" t="s">
        <v>10127</v>
      </c>
    </row>
    <row r="4891" spans="1:17" x14ac:dyDescent="0.3">
      <c r="A4891" t="s">
        <v>33</v>
      </c>
      <c r="B4891" t="str">
        <f>"002477"</f>
        <v>002477</v>
      </c>
      <c r="C4891" t="s">
        <v>10128</v>
      </c>
      <c r="H4891">
        <v>46626236</v>
      </c>
      <c r="I4891">
        <v>1092853288</v>
      </c>
      <c r="J4891">
        <v>104691067</v>
      </c>
      <c r="K4891">
        <v>-214802374</v>
      </c>
      <c r="L4891">
        <v>219324214</v>
      </c>
      <c r="M4891">
        <v>-249412533</v>
      </c>
      <c r="N4891">
        <v>32871754</v>
      </c>
      <c r="O4891">
        <v>-92493898</v>
      </c>
      <c r="P4891">
        <v>126</v>
      </c>
      <c r="Q4891" t="s">
        <v>10129</v>
      </c>
    </row>
    <row r="4892" spans="1:17" x14ac:dyDescent="0.3">
      <c r="A4892" t="s">
        <v>33</v>
      </c>
      <c r="B4892" t="str">
        <f>"002509"</f>
        <v>002509</v>
      </c>
      <c r="C4892" t="s">
        <v>10130</v>
      </c>
      <c r="G4892">
        <v>-42289914</v>
      </c>
      <c r="H4892">
        <v>-78262032</v>
      </c>
      <c r="I4892">
        <v>-320787649</v>
      </c>
      <c r="J4892">
        <v>-238627286</v>
      </c>
      <c r="K4892">
        <v>-103929702</v>
      </c>
      <c r="L4892">
        <v>-31668390</v>
      </c>
      <c r="M4892">
        <v>-83790170</v>
      </c>
      <c r="N4892">
        <v>-10611093</v>
      </c>
      <c r="O4892">
        <v>-14532312</v>
      </c>
      <c r="P4892">
        <v>60</v>
      </c>
      <c r="Q4892" t="s">
        <v>10131</v>
      </c>
    </row>
    <row r="4893" spans="1:17" x14ac:dyDescent="0.3">
      <c r="A4893" t="s">
        <v>33</v>
      </c>
      <c r="B4893" t="str">
        <f>"002604"</f>
        <v>002604</v>
      </c>
      <c r="C4893" t="s">
        <v>10132</v>
      </c>
      <c r="G4893">
        <v>9623013</v>
      </c>
      <c r="H4893">
        <v>-7979861</v>
      </c>
      <c r="I4893">
        <v>115788840</v>
      </c>
      <c r="J4893">
        <v>61245412</v>
      </c>
      <c r="K4893">
        <v>25151965</v>
      </c>
      <c r="L4893">
        <v>36394374</v>
      </c>
      <c r="M4893">
        <v>41461705</v>
      </c>
      <c r="N4893">
        <v>14071077</v>
      </c>
      <c r="O4893">
        <v>40683871</v>
      </c>
      <c r="P4893">
        <v>49</v>
      </c>
      <c r="Q4893" t="s">
        <v>10133</v>
      </c>
    </row>
    <row r="4894" spans="1:17" x14ac:dyDescent="0.3">
      <c r="A4894" t="s">
        <v>33</v>
      </c>
      <c r="B4894" t="str">
        <f>"002619"</f>
        <v>002619</v>
      </c>
      <c r="C4894" t="s">
        <v>10134</v>
      </c>
      <c r="D4894" t="s">
        <v>751</v>
      </c>
      <c r="F4894">
        <v>153072148</v>
      </c>
      <c r="G4894">
        <v>-44231340</v>
      </c>
      <c r="H4894">
        <v>-58968319</v>
      </c>
      <c r="I4894">
        <v>21754718</v>
      </c>
      <c r="J4894">
        <v>80786827</v>
      </c>
      <c r="K4894">
        <v>65197364</v>
      </c>
      <c r="L4894">
        <v>33616156</v>
      </c>
      <c r="M4894">
        <v>-20937996</v>
      </c>
      <c r="N4894">
        <v>13750558</v>
      </c>
      <c r="O4894">
        <v>-36121214</v>
      </c>
      <c r="P4894">
        <v>124</v>
      </c>
      <c r="Q4894" t="s">
        <v>10135</v>
      </c>
    </row>
    <row r="4895" spans="1:17" x14ac:dyDescent="0.3">
      <c r="A4895" t="s">
        <v>33</v>
      </c>
      <c r="B4895" t="str">
        <f>"002680"</f>
        <v>002680</v>
      </c>
      <c r="C4895" t="s">
        <v>10136</v>
      </c>
      <c r="I4895">
        <v>87380521</v>
      </c>
      <c r="J4895">
        <v>-28254995</v>
      </c>
      <c r="K4895">
        <v>-3306303</v>
      </c>
      <c r="L4895">
        <v>-7966476</v>
      </c>
      <c r="M4895">
        <v>-2360537</v>
      </c>
      <c r="N4895">
        <v>-2609440</v>
      </c>
      <c r="O4895">
        <v>27300417</v>
      </c>
      <c r="P4895">
        <v>221</v>
      </c>
      <c r="Q4895" t="s">
        <v>10137</v>
      </c>
    </row>
    <row r="4896" spans="1:17" x14ac:dyDescent="0.3">
      <c r="A4896" t="s">
        <v>33</v>
      </c>
      <c r="B4896" t="str">
        <f>"002711"</f>
        <v>002711</v>
      </c>
      <c r="C4896" t="s">
        <v>10138</v>
      </c>
      <c r="F4896">
        <v>2585114</v>
      </c>
      <c r="G4896">
        <v>-50894333</v>
      </c>
      <c r="H4896">
        <v>10384563</v>
      </c>
      <c r="I4896">
        <v>-102196329</v>
      </c>
      <c r="J4896">
        <v>-133650351</v>
      </c>
      <c r="K4896">
        <v>-180920588</v>
      </c>
      <c r="L4896">
        <v>101285515</v>
      </c>
      <c r="M4896">
        <v>-77012452</v>
      </c>
      <c r="N4896">
        <v>-88036515</v>
      </c>
      <c r="P4896">
        <v>74</v>
      </c>
      <c r="Q4896" t="s">
        <v>10139</v>
      </c>
    </row>
    <row r="4897" spans="1:17" x14ac:dyDescent="0.3">
      <c r="A4897" t="s">
        <v>33</v>
      </c>
      <c r="B4897" t="str">
        <f>"002776"</f>
        <v>002776</v>
      </c>
      <c r="C4897" t="s">
        <v>10140</v>
      </c>
      <c r="D4897" t="s">
        <v>581</v>
      </c>
      <c r="F4897">
        <v>-40520214</v>
      </c>
      <c r="G4897">
        <v>60210641</v>
      </c>
      <c r="H4897">
        <v>69189800</v>
      </c>
      <c r="I4897">
        <v>-135537043</v>
      </c>
      <c r="J4897">
        <v>-1036155</v>
      </c>
      <c r="K4897">
        <v>55548444</v>
      </c>
      <c r="L4897">
        <v>46402714</v>
      </c>
      <c r="M4897">
        <v>48539655</v>
      </c>
      <c r="P4897">
        <v>125</v>
      </c>
      <c r="Q4897" t="s">
        <v>10141</v>
      </c>
    </row>
    <row r="4898" spans="1:17" x14ac:dyDescent="0.3">
      <c r="A4898" t="s">
        <v>33</v>
      </c>
      <c r="B4898" t="str">
        <f>"200002"</f>
        <v>200002</v>
      </c>
      <c r="C4898" t="s">
        <v>10142</v>
      </c>
      <c r="J4898">
        <v>-10744905008.053499</v>
      </c>
      <c r="K4898">
        <v>-12885298927.208599</v>
      </c>
      <c r="L4898">
        <v>-19180526815.012501</v>
      </c>
      <c r="M4898">
        <v>-6964986526.6240997</v>
      </c>
      <c r="N4898">
        <v>-2978599310.8084002</v>
      </c>
      <c r="O4898">
        <v>1578388762.1282001</v>
      </c>
      <c r="P4898">
        <v>22</v>
      </c>
      <c r="Q4898" t="s">
        <v>10143</v>
      </c>
    </row>
    <row r="4899" spans="1:17" x14ac:dyDescent="0.3">
      <c r="A4899" t="s">
        <v>33</v>
      </c>
      <c r="B4899" t="str">
        <f>"200015"</f>
        <v>200015</v>
      </c>
      <c r="C4899" t="s">
        <v>10144</v>
      </c>
      <c r="J4899">
        <v>-12647086.9243</v>
      </c>
      <c r="K4899">
        <v>-34511976.791000001</v>
      </c>
      <c r="P4899">
        <v>0</v>
      </c>
      <c r="Q4899" t="s">
        <v>10145</v>
      </c>
    </row>
    <row r="4900" spans="1:17" x14ac:dyDescent="0.3">
      <c r="A4900" t="s">
        <v>33</v>
      </c>
      <c r="B4900" t="str">
        <f>"200018"</f>
        <v>200018</v>
      </c>
      <c r="C4900" t="s">
        <v>10146</v>
      </c>
      <c r="G4900">
        <v>-18555729.425700001</v>
      </c>
      <c r="H4900">
        <v>29068399.519200001</v>
      </c>
      <c r="I4900">
        <v>1012500411.9795001</v>
      </c>
      <c r="J4900">
        <v>-504471489.09119999</v>
      </c>
      <c r="K4900">
        <v>-383181968.19090003</v>
      </c>
      <c r="L4900">
        <v>1638730</v>
      </c>
      <c r="M4900">
        <v>1617603.0644</v>
      </c>
      <c r="N4900">
        <v>1233860.0508000001</v>
      </c>
      <c r="O4900">
        <v>705040.49699999997</v>
      </c>
      <c r="P4900">
        <v>13</v>
      </c>
      <c r="Q4900" t="s">
        <v>10147</v>
      </c>
    </row>
    <row r="4901" spans="1:17" x14ac:dyDescent="0.3">
      <c r="A4901" t="s">
        <v>33</v>
      </c>
      <c r="B4901" t="str">
        <f>"200022"</f>
        <v>200022</v>
      </c>
      <c r="C4901" t="s">
        <v>10148</v>
      </c>
      <c r="I4901">
        <v>131883353.4985</v>
      </c>
      <c r="J4901">
        <v>278085254.7396</v>
      </c>
      <c r="K4901">
        <v>122045047.3616</v>
      </c>
      <c r="L4901">
        <v>201451061.5</v>
      </c>
      <c r="M4901">
        <v>183704451.41010001</v>
      </c>
      <c r="N4901">
        <v>177461826.56400001</v>
      </c>
      <c r="O4901">
        <v>162805640.58000001</v>
      </c>
      <c r="P4901">
        <v>41</v>
      </c>
      <c r="Q4901" t="s">
        <v>10149</v>
      </c>
    </row>
    <row r="4902" spans="1:17" x14ac:dyDescent="0.3">
      <c r="A4902" t="s">
        <v>33</v>
      </c>
      <c r="B4902" t="str">
        <f>"200024"</f>
        <v>200024</v>
      </c>
      <c r="C4902" t="s">
        <v>10150</v>
      </c>
      <c r="L4902">
        <v>-8564971723.8374996</v>
      </c>
      <c r="M4902">
        <v>-5406362454.3591995</v>
      </c>
      <c r="N4902">
        <v>987369413.26320004</v>
      </c>
      <c r="O4902">
        <v>-286616921.292</v>
      </c>
      <c r="P4902">
        <v>0</v>
      </c>
      <c r="Q4902" t="s">
        <v>10151</v>
      </c>
    </row>
    <row r="4903" spans="1:17" x14ac:dyDescent="0.3">
      <c r="A4903" t="s">
        <v>33</v>
      </c>
      <c r="B4903" t="str">
        <f>"200030"</f>
        <v>200030</v>
      </c>
      <c r="C4903" t="s">
        <v>10152</v>
      </c>
      <c r="F4903">
        <v>282007335.38499999</v>
      </c>
      <c r="G4903">
        <v>177410537.87459999</v>
      </c>
      <c r="H4903">
        <v>-164460611.3985</v>
      </c>
      <c r="I4903">
        <v>206748905.2455</v>
      </c>
      <c r="J4903">
        <v>102265470.1292</v>
      </c>
      <c r="K4903">
        <v>48054332.924599998</v>
      </c>
      <c r="L4903">
        <v>107049856.25</v>
      </c>
      <c r="M4903">
        <v>219078512.6056</v>
      </c>
      <c r="N4903">
        <v>-132767755.0098</v>
      </c>
      <c r="O4903">
        <v>-581586.37199999997</v>
      </c>
      <c r="P4903">
        <v>132</v>
      </c>
      <c r="Q4903" t="s">
        <v>10153</v>
      </c>
    </row>
    <row r="4904" spans="1:17" x14ac:dyDescent="0.3">
      <c r="A4904" t="s">
        <v>33</v>
      </c>
      <c r="B4904" t="str">
        <f>"200037"</f>
        <v>200037</v>
      </c>
      <c r="C4904" t="s">
        <v>10154</v>
      </c>
      <c r="F4904">
        <v>-46057618.277500004</v>
      </c>
      <c r="G4904">
        <v>24069618.669599999</v>
      </c>
      <c r="H4904">
        <v>-5725848.4605</v>
      </c>
      <c r="I4904">
        <v>-86610387.803000003</v>
      </c>
      <c r="J4904">
        <v>-240480161.15979999</v>
      </c>
      <c r="K4904">
        <v>-64316508.817000002</v>
      </c>
      <c r="L4904">
        <v>-100321502.5</v>
      </c>
      <c r="M4904">
        <v>318421133.57920003</v>
      </c>
      <c r="N4904">
        <v>390853929.61379999</v>
      </c>
      <c r="O4904">
        <v>371163821.301</v>
      </c>
      <c r="P4904">
        <v>9</v>
      </c>
      <c r="Q4904" t="s">
        <v>10155</v>
      </c>
    </row>
    <row r="4905" spans="1:17" x14ac:dyDescent="0.3">
      <c r="A4905" t="s">
        <v>33</v>
      </c>
      <c r="B4905" t="str">
        <f>"200039"</f>
        <v>200039</v>
      </c>
      <c r="C4905" t="s">
        <v>10156</v>
      </c>
      <c r="J4905">
        <v>107695715.59999999</v>
      </c>
      <c r="K4905">
        <v>263685350</v>
      </c>
      <c r="L4905">
        <v>187982500</v>
      </c>
      <c r="M4905">
        <v>-3074096363.5999999</v>
      </c>
      <c r="N4905">
        <v>-2733221364.5999999</v>
      </c>
      <c r="O4905">
        <v>648403875</v>
      </c>
      <c r="P4905">
        <v>0</v>
      </c>
      <c r="Q4905" t="s">
        <v>10157</v>
      </c>
    </row>
    <row r="4906" spans="1:17" x14ac:dyDescent="0.3">
      <c r="A4906" t="s">
        <v>33</v>
      </c>
      <c r="B4906" t="str">
        <f>"200053"</f>
        <v>200053</v>
      </c>
      <c r="C4906" t="s">
        <v>10158</v>
      </c>
      <c r="I4906">
        <v>131537138.818</v>
      </c>
      <c r="J4906">
        <v>70094183.747600004</v>
      </c>
      <c r="K4906">
        <v>89553195.606999993</v>
      </c>
      <c r="L4906">
        <v>97529669.137500003</v>
      </c>
      <c r="M4906">
        <v>84054376.694100007</v>
      </c>
      <c r="N4906">
        <v>110111267.12800001</v>
      </c>
      <c r="O4906">
        <v>70854773.282600001</v>
      </c>
      <c r="P4906">
        <v>15</v>
      </c>
      <c r="Q4906" t="s">
        <v>10159</v>
      </c>
    </row>
    <row r="4907" spans="1:17" x14ac:dyDescent="0.3">
      <c r="A4907" t="s">
        <v>33</v>
      </c>
      <c r="B4907" t="str">
        <f>"200055"</f>
        <v>200055</v>
      </c>
      <c r="C4907" t="s">
        <v>10160</v>
      </c>
      <c r="F4907">
        <v>-501394661.60799998</v>
      </c>
      <c r="G4907">
        <v>-370607905.86629999</v>
      </c>
      <c r="H4907">
        <v>-346331537.15759999</v>
      </c>
      <c r="I4907">
        <v>-50799853.066500001</v>
      </c>
      <c r="J4907">
        <v>-5467795.3514</v>
      </c>
      <c r="K4907">
        <v>-71736610.962099999</v>
      </c>
      <c r="L4907">
        <v>-294620211.25</v>
      </c>
      <c r="M4907">
        <v>-169822343.8064</v>
      </c>
      <c r="N4907">
        <v>-52265578.669200003</v>
      </c>
      <c r="O4907">
        <v>-52390779.101999998</v>
      </c>
      <c r="P4907">
        <v>71</v>
      </c>
      <c r="Q4907" t="s">
        <v>10161</v>
      </c>
    </row>
    <row r="4908" spans="1:17" x14ac:dyDescent="0.3">
      <c r="A4908" t="s">
        <v>33</v>
      </c>
      <c r="B4908" t="str">
        <f>"200056"</f>
        <v>200056</v>
      </c>
      <c r="C4908" t="s">
        <v>10162</v>
      </c>
      <c r="F4908">
        <v>29854097.727000002</v>
      </c>
      <c r="G4908">
        <v>7732727.6108999997</v>
      </c>
      <c r="H4908">
        <v>175755475.89269999</v>
      </c>
      <c r="I4908">
        <v>359892601.98100001</v>
      </c>
      <c r="J4908">
        <v>-49715736.172200002</v>
      </c>
      <c r="K4908">
        <v>447790611.53250003</v>
      </c>
      <c r="L4908">
        <v>-3199143.75</v>
      </c>
      <c r="M4908">
        <v>-301445812.33840001</v>
      </c>
      <c r="N4908">
        <v>-68088961.522799999</v>
      </c>
      <c r="O4908">
        <v>26952875.703000002</v>
      </c>
      <c r="P4908">
        <v>13</v>
      </c>
      <c r="Q4908" t="s">
        <v>10163</v>
      </c>
    </row>
    <row r="4909" spans="1:17" x14ac:dyDescent="0.3">
      <c r="A4909" t="s">
        <v>33</v>
      </c>
      <c r="B4909" t="str">
        <f>"200160"</f>
        <v>200160</v>
      </c>
      <c r="C4909" t="s">
        <v>10164</v>
      </c>
      <c r="G4909">
        <v>-22009685.776799999</v>
      </c>
      <c r="H4909">
        <v>21519088.2522</v>
      </c>
      <c r="I4909">
        <v>17348675.445500001</v>
      </c>
      <c r="J4909">
        <v>30527382.776999999</v>
      </c>
      <c r="K4909">
        <v>36888408.032200001</v>
      </c>
      <c r="L4909">
        <v>-16417798.550000001</v>
      </c>
      <c r="M4909">
        <v>-70326000.886600003</v>
      </c>
      <c r="N4909">
        <v>-1178503.3343</v>
      </c>
      <c r="O4909">
        <v>3870074.4221999999</v>
      </c>
      <c r="P4909">
        <v>3</v>
      </c>
      <c r="Q4909" t="s">
        <v>10165</v>
      </c>
    </row>
    <row r="4910" spans="1:17" x14ac:dyDescent="0.3">
      <c r="A4910" t="s">
        <v>33</v>
      </c>
      <c r="B4910" t="str">
        <f>"200168"</f>
        <v>200168</v>
      </c>
      <c r="C4910" t="s">
        <v>10166</v>
      </c>
      <c r="F4910">
        <v>-802860.02249999996</v>
      </c>
      <c r="G4910">
        <v>17659012.625999998</v>
      </c>
      <c r="H4910">
        <v>-981991.39049999998</v>
      </c>
      <c r="I4910">
        <v>-1001826.8205</v>
      </c>
      <c r="J4910">
        <v>4240057.6500000004</v>
      </c>
      <c r="K4910">
        <v>-768610.9608</v>
      </c>
      <c r="L4910">
        <v>104951548.75</v>
      </c>
      <c r="M4910">
        <v>-63007640.605999999</v>
      </c>
      <c r="N4910">
        <v>-20497734.8376</v>
      </c>
      <c r="O4910">
        <v>6045898.3650000002</v>
      </c>
      <c r="P4910">
        <v>3</v>
      </c>
      <c r="Q4910" t="s">
        <v>10167</v>
      </c>
    </row>
    <row r="4911" spans="1:17" x14ac:dyDescent="0.3">
      <c r="A4911" t="s">
        <v>33</v>
      </c>
      <c r="B4911" t="str">
        <f>"200413"</f>
        <v>200413</v>
      </c>
      <c r="C4911" t="s">
        <v>10168</v>
      </c>
      <c r="F4911">
        <v>446569583.98699999</v>
      </c>
      <c r="G4911">
        <v>173799822.50490001</v>
      </c>
      <c r="H4911">
        <v>746685030.66390002</v>
      </c>
      <c r="I4911">
        <v>-1409489180.244</v>
      </c>
      <c r="J4911">
        <v>-939072079.88139999</v>
      </c>
      <c r="K4911">
        <v>-1122998598.0771999</v>
      </c>
      <c r="L4911">
        <v>-205916207.5</v>
      </c>
      <c r="M4911">
        <v>-871672429.31200004</v>
      </c>
      <c r="N4911">
        <v>-210814515.5298</v>
      </c>
      <c r="O4911">
        <v>-35830534.887000002</v>
      </c>
      <c r="P4911">
        <v>44</v>
      </c>
      <c r="Q4911" t="s">
        <v>10169</v>
      </c>
    </row>
    <row r="4912" spans="1:17" x14ac:dyDescent="0.3">
      <c r="A4912" t="s">
        <v>33</v>
      </c>
      <c r="B4912" t="str">
        <f>"200418"</f>
        <v>200418</v>
      </c>
      <c r="C4912" t="s">
        <v>10170</v>
      </c>
      <c r="H4912">
        <v>207204476.33070001</v>
      </c>
      <c r="I4912">
        <v>355962151.67949998</v>
      </c>
      <c r="J4912">
        <v>-190665362.25839999</v>
      </c>
      <c r="K4912">
        <v>689003531.82570004</v>
      </c>
      <c r="L4912">
        <v>492852668.17500001</v>
      </c>
      <c r="M4912">
        <v>339520247.76249999</v>
      </c>
      <c r="N4912">
        <v>347226984.14209998</v>
      </c>
      <c r="O4912">
        <v>-2047892.9920999999</v>
      </c>
      <c r="P4912">
        <v>89</v>
      </c>
      <c r="Q4912" t="s">
        <v>10171</v>
      </c>
    </row>
    <row r="4913" spans="1:17" x14ac:dyDescent="0.3">
      <c r="A4913" t="s">
        <v>33</v>
      </c>
      <c r="B4913" t="str">
        <f>"200429"</f>
        <v>200429</v>
      </c>
      <c r="C4913" t="s">
        <v>10172</v>
      </c>
      <c r="F4913">
        <v>1005664829.63</v>
      </c>
      <c r="G4913">
        <v>155534776.06380001</v>
      </c>
      <c r="H4913">
        <v>605988496.34370005</v>
      </c>
      <c r="I4913">
        <v>416388401.26499999</v>
      </c>
      <c r="J4913">
        <v>541360810.84759998</v>
      </c>
      <c r="K4913">
        <v>330289473.9849</v>
      </c>
      <c r="L4913">
        <v>300814175</v>
      </c>
      <c r="M4913">
        <v>276345214.78079998</v>
      </c>
      <c r="N4913">
        <v>175180800.33660001</v>
      </c>
      <c r="O4913">
        <v>201862319.96700001</v>
      </c>
      <c r="P4913">
        <v>453</v>
      </c>
      <c r="Q4913" t="s">
        <v>10173</v>
      </c>
    </row>
    <row r="4914" spans="1:17" x14ac:dyDescent="0.3">
      <c r="A4914" t="s">
        <v>33</v>
      </c>
      <c r="B4914" t="str">
        <f>"200488"</f>
        <v>200488</v>
      </c>
      <c r="C4914" t="s">
        <v>10174</v>
      </c>
      <c r="F4914">
        <v>4011771467.9590001</v>
      </c>
      <c r="G4914">
        <v>716485045.39380002</v>
      </c>
      <c r="H4914">
        <v>1665599288.4477</v>
      </c>
      <c r="I4914">
        <v>1585235031.7265</v>
      </c>
      <c r="J4914">
        <v>-2030685263.5192001</v>
      </c>
      <c r="K4914">
        <v>-4729387035.7673998</v>
      </c>
      <c r="L4914">
        <v>-656117181.25</v>
      </c>
      <c r="M4914">
        <v>788794206.89839995</v>
      </c>
      <c r="N4914">
        <v>350928449.96280003</v>
      </c>
      <c r="O4914">
        <v>-347359903.065</v>
      </c>
      <c r="P4914">
        <v>268</v>
      </c>
      <c r="Q4914" t="s">
        <v>10175</v>
      </c>
    </row>
    <row r="4915" spans="1:17" x14ac:dyDescent="0.3">
      <c r="A4915" t="s">
        <v>33</v>
      </c>
      <c r="B4915" t="str">
        <f>"200513"</f>
        <v>200513</v>
      </c>
      <c r="C4915" t="s">
        <v>10176</v>
      </c>
      <c r="J4915">
        <v>290740223.33679998</v>
      </c>
      <c r="K4915">
        <v>166120596.85389999</v>
      </c>
      <c r="L4915">
        <v>94771835.950000003</v>
      </c>
      <c r="M4915">
        <v>212290922.50600001</v>
      </c>
      <c r="N4915">
        <v>60804177.962200001</v>
      </c>
      <c r="O4915">
        <v>165197286.21650001</v>
      </c>
      <c r="P4915">
        <v>1</v>
      </c>
      <c r="Q4915" t="s">
        <v>10177</v>
      </c>
    </row>
    <row r="4916" spans="1:17" x14ac:dyDescent="0.3">
      <c r="A4916" t="s">
        <v>33</v>
      </c>
      <c r="B4916" t="str">
        <f>"200539"</f>
        <v>200539</v>
      </c>
      <c r="C4916" t="s">
        <v>10178</v>
      </c>
      <c r="F4916">
        <v>830048664.75150001</v>
      </c>
      <c r="G4916">
        <v>1279320700.5576</v>
      </c>
      <c r="H4916">
        <v>2110337333.7678001</v>
      </c>
      <c r="I4916">
        <v>1925824716.878</v>
      </c>
      <c r="J4916">
        <v>536747674.38059998</v>
      </c>
      <c r="K4916">
        <v>2446299418.6062002</v>
      </c>
      <c r="L4916">
        <v>3315411163.75</v>
      </c>
      <c r="M4916">
        <v>3082510949.1264</v>
      </c>
      <c r="N4916">
        <v>2693765357.3214002</v>
      </c>
      <c r="O4916">
        <v>952227820.52100003</v>
      </c>
      <c r="P4916">
        <v>185</v>
      </c>
      <c r="Q4916" t="s">
        <v>10179</v>
      </c>
    </row>
    <row r="4917" spans="1:17" x14ac:dyDescent="0.3">
      <c r="A4917" t="s">
        <v>33</v>
      </c>
      <c r="B4917" t="str">
        <f>"200550"</f>
        <v>200550</v>
      </c>
      <c r="C4917" t="s">
        <v>10180</v>
      </c>
      <c r="F4917">
        <v>-2383903310.2989998</v>
      </c>
      <c r="G4917">
        <v>-3507291746.5163999</v>
      </c>
      <c r="H4917">
        <v>-223626075.80669999</v>
      </c>
      <c r="I4917">
        <v>-1747219609.6505001</v>
      </c>
      <c r="J4917">
        <v>-992101201.8132</v>
      </c>
      <c r="K4917">
        <v>-171153640.19310001</v>
      </c>
      <c r="L4917">
        <v>-105231363.75</v>
      </c>
      <c r="M4917">
        <v>771049492.99240005</v>
      </c>
      <c r="N4917">
        <v>1114244582.3376</v>
      </c>
      <c r="O4917">
        <v>920849377.37399995</v>
      </c>
      <c r="P4917">
        <v>154</v>
      </c>
      <c r="Q4917" t="s">
        <v>10181</v>
      </c>
    </row>
    <row r="4918" spans="1:17" x14ac:dyDescent="0.3">
      <c r="A4918" t="s">
        <v>33</v>
      </c>
      <c r="B4918" t="str">
        <f>"200581"</f>
        <v>200581</v>
      </c>
      <c r="C4918" t="s">
        <v>10182</v>
      </c>
      <c r="F4918">
        <v>-271891610.625</v>
      </c>
      <c r="G4918">
        <v>348858936.84899998</v>
      </c>
      <c r="H4918">
        <v>169998422.98410001</v>
      </c>
      <c r="I4918">
        <v>108064089.60250001</v>
      </c>
      <c r="J4918">
        <v>103927780.3168</v>
      </c>
      <c r="K4918">
        <v>51453794.489299998</v>
      </c>
      <c r="L4918">
        <v>260483877.5</v>
      </c>
      <c r="M4918">
        <v>173112616.8592</v>
      </c>
      <c r="N4918">
        <v>116618001.8838</v>
      </c>
      <c r="O4918">
        <v>167558880.24000001</v>
      </c>
      <c r="P4918">
        <v>448</v>
      </c>
      <c r="Q4918" t="s">
        <v>10183</v>
      </c>
    </row>
    <row r="4919" spans="1:17" x14ac:dyDescent="0.3">
      <c r="A4919" t="s">
        <v>33</v>
      </c>
      <c r="B4919" t="str">
        <f>"200770"</f>
        <v>200770</v>
      </c>
      <c r="C4919" t="s">
        <v>10184</v>
      </c>
      <c r="J4919">
        <v>232708962.19850001</v>
      </c>
      <c r="K4919">
        <v>61141193.158299997</v>
      </c>
      <c r="L4919">
        <v>169312236.47499999</v>
      </c>
      <c r="M4919">
        <v>203732346.97299999</v>
      </c>
      <c r="N4919">
        <v>-106884089.5465</v>
      </c>
      <c r="O4919">
        <v>-69687557.321899995</v>
      </c>
      <c r="P4919">
        <v>0</v>
      </c>
      <c r="Q4919" t="s">
        <v>10185</v>
      </c>
    </row>
    <row r="4920" spans="1:17" x14ac:dyDescent="0.3">
      <c r="A4920" t="s">
        <v>33</v>
      </c>
      <c r="B4920" t="str">
        <f>"200986"</f>
        <v>200986</v>
      </c>
      <c r="C4920" t="s">
        <v>10186</v>
      </c>
      <c r="F4920">
        <v>70038619.130500004</v>
      </c>
      <c r="G4920">
        <v>244069032.38069999</v>
      </c>
      <c r="H4920">
        <v>239297497.7166</v>
      </c>
      <c r="I4920">
        <v>32491215.039500002</v>
      </c>
      <c r="J4920">
        <v>-752657913.99160004</v>
      </c>
      <c r="K4920">
        <v>-492022249.28549999</v>
      </c>
      <c r="L4920">
        <v>138650211.25</v>
      </c>
      <c r="M4920">
        <v>-117576893.6912</v>
      </c>
      <c r="N4920">
        <v>248281914.78659999</v>
      </c>
      <c r="O4920">
        <v>-474319812.03299999</v>
      </c>
      <c r="P4920">
        <v>8</v>
      </c>
      <c r="Q4920" t="s">
        <v>10187</v>
      </c>
    </row>
    <row r="4921" spans="1:17" x14ac:dyDescent="0.3">
      <c r="A4921" t="s">
        <v>33</v>
      </c>
      <c r="B4921" t="str">
        <f>"300028"</f>
        <v>300028</v>
      </c>
      <c r="C4921" t="s">
        <v>10188</v>
      </c>
      <c r="G4921">
        <v>-466634</v>
      </c>
      <c r="H4921">
        <v>-1512170</v>
      </c>
      <c r="I4921">
        <v>-326841</v>
      </c>
      <c r="J4921">
        <v>-10709690</v>
      </c>
      <c r="K4921">
        <v>-197299280</v>
      </c>
      <c r="L4921">
        <v>-14670292</v>
      </c>
      <c r="M4921">
        <v>9579348</v>
      </c>
      <c r="N4921">
        <v>-58776436</v>
      </c>
      <c r="O4921">
        <v>26755771</v>
      </c>
      <c r="P4921">
        <v>31</v>
      </c>
      <c r="Q4921" t="s">
        <v>10189</v>
      </c>
    </row>
    <row r="4922" spans="1:17" x14ac:dyDescent="0.3">
      <c r="A4922" t="s">
        <v>33</v>
      </c>
      <c r="B4922" t="str">
        <f>"300090"</f>
        <v>300090</v>
      </c>
      <c r="C4922" t="s">
        <v>10190</v>
      </c>
      <c r="G4922">
        <v>29277275</v>
      </c>
      <c r="H4922">
        <v>55933396</v>
      </c>
      <c r="I4922">
        <v>-102223826</v>
      </c>
      <c r="J4922">
        <v>-136154545</v>
      </c>
      <c r="K4922">
        <v>-50536077</v>
      </c>
      <c r="L4922">
        <v>-50508853</v>
      </c>
      <c r="M4922">
        <v>12935151</v>
      </c>
      <c r="N4922">
        <v>-88908972</v>
      </c>
      <c r="O4922">
        <v>2130482</v>
      </c>
      <c r="P4922">
        <v>72</v>
      </c>
      <c r="Q4922" t="s">
        <v>10191</v>
      </c>
    </row>
    <row r="4923" spans="1:17" x14ac:dyDescent="0.3">
      <c r="A4923" t="s">
        <v>33</v>
      </c>
      <c r="B4923" t="str">
        <f>"300104"</f>
        <v>300104</v>
      </c>
      <c r="C4923" t="s">
        <v>10192</v>
      </c>
      <c r="G4923">
        <v>-14685174</v>
      </c>
      <c r="H4923">
        <v>-56803837</v>
      </c>
      <c r="I4923">
        <v>-655518267</v>
      </c>
      <c r="J4923">
        <v>-741173905</v>
      </c>
      <c r="K4923">
        <v>64572457.719999999</v>
      </c>
      <c r="L4923">
        <v>-280250436.31999999</v>
      </c>
      <c r="M4923">
        <v>146987158.5</v>
      </c>
      <c r="N4923">
        <v>88847203.170000002</v>
      </c>
      <c r="O4923">
        <v>97492162.609999999</v>
      </c>
      <c r="P4923">
        <v>205</v>
      </c>
      <c r="Q4923" t="s">
        <v>10193</v>
      </c>
    </row>
    <row r="4924" spans="1:17" x14ac:dyDescent="0.3">
      <c r="A4924" t="s">
        <v>33</v>
      </c>
      <c r="B4924" t="str">
        <f>"300108"</f>
        <v>300108</v>
      </c>
      <c r="C4924" t="s">
        <v>10194</v>
      </c>
      <c r="D4924" t="s">
        <v>533</v>
      </c>
      <c r="F4924">
        <v>20078181</v>
      </c>
      <c r="G4924">
        <v>-76683122</v>
      </c>
      <c r="H4924">
        <v>184559902</v>
      </c>
      <c r="I4924">
        <v>-28245964</v>
      </c>
      <c r="J4924">
        <v>-56019604</v>
      </c>
      <c r="K4924">
        <v>-68880881</v>
      </c>
      <c r="L4924">
        <v>-76527815</v>
      </c>
      <c r="M4924">
        <v>-25603240</v>
      </c>
      <c r="N4924">
        <v>-21696628</v>
      </c>
      <c r="O4924">
        <v>5025950</v>
      </c>
      <c r="P4924">
        <v>121</v>
      </c>
      <c r="Q4924" t="s">
        <v>10195</v>
      </c>
    </row>
    <row r="4925" spans="1:17" x14ac:dyDescent="0.3">
      <c r="A4925" t="s">
        <v>33</v>
      </c>
      <c r="B4925" t="str">
        <f>"300156"</f>
        <v>300156</v>
      </c>
      <c r="C4925" t="s">
        <v>10196</v>
      </c>
      <c r="H4925">
        <v>-6575123</v>
      </c>
      <c r="I4925">
        <v>-404612556</v>
      </c>
      <c r="J4925">
        <v>-115647701</v>
      </c>
      <c r="K4925">
        <v>-84309344</v>
      </c>
      <c r="L4925">
        <v>-21749386</v>
      </c>
      <c r="M4925">
        <v>58157561</v>
      </c>
      <c r="N4925">
        <v>-45515783</v>
      </c>
      <c r="O4925">
        <v>-10973720</v>
      </c>
      <c r="P4925">
        <v>300</v>
      </c>
      <c r="Q4925" t="s">
        <v>10197</v>
      </c>
    </row>
    <row r="4926" spans="1:17" x14ac:dyDescent="0.3">
      <c r="A4926" t="s">
        <v>33</v>
      </c>
      <c r="B4926" t="str">
        <f>"300186"</f>
        <v>300186</v>
      </c>
      <c r="C4926" t="s">
        <v>10198</v>
      </c>
      <c r="L4926">
        <v>-53026871.539999999</v>
      </c>
      <c r="M4926">
        <v>-69734930.340000004</v>
      </c>
      <c r="N4926">
        <v>-21845269.59</v>
      </c>
      <c r="O4926">
        <v>-79008514.319999993</v>
      </c>
      <c r="P4926">
        <v>5</v>
      </c>
      <c r="Q4926" t="s">
        <v>10199</v>
      </c>
    </row>
    <row r="4927" spans="1:17" x14ac:dyDescent="0.3">
      <c r="A4927" t="s">
        <v>33</v>
      </c>
      <c r="B4927" t="str">
        <f>"300201"</f>
        <v>300201</v>
      </c>
      <c r="C4927" t="s">
        <v>10200</v>
      </c>
      <c r="D4927" t="s">
        <v>320</v>
      </c>
      <c r="F4927">
        <v>-297610206</v>
      </c>
      <c r="G4927">
        <v>-85963637</v>
      </c>
      <c r="H4927">
        <v>-8722582</v>
      </c>
      <c r="I4927">
        <v>-29711817</v>
      </c>
      <c r="J4927">
        <v>-32722603</v>
      </c>
      <c r="K4927">
        <v>-87222056</v>
      </c>
      <c r="L4927">
        <v>-57709639</v>
      </c>
      <c r="M4927">
        <v>-52261599</v>
      </c>
      <c r="N4927">
        <v>-47126607</v>
      </c>
      <c r="O4927">
        <v>-54031404</v>
      </c>
      <c r="P4927">
        <v>77</v>
      </c>
      <c r="Q4927" t="s">
        <v>10201</v>
      </c>
    </row>
    <row r="4928" spans="1:17" x14ac:dyDescent="0.3">
      <c r="A4928" t="s">
        <v>33</v>
      </c>
      <c r="B4928" t="str">
        <f>"300216"</f>
        <v>300216</v>
      </c>
      <c r="C4928" t="s">
        <v>10202</v>
      </c>
      <c r="G4928">
        <v>1968526</v>
      </c>
      <c r="H4928">
        <v>-1059412</v>
      </c>
      <c r="I4928">
        <v>84946652</v>
      </c>
      <c r="J4928">
        <v>-454968125</v>
      </c>
      <c r="K4928">
        <v>-150978227</v>
      </c>
      <c r="L4928">
        <v>-48944437</v>
      </c>
      <c r="M4928">
        <v>-2508228</v>
      </c>
      <c r="N4928">
        <v>-12234554</v>
      </c>
      <c r="O4928">
        <v>-69473567</v>
      </c>
      <c r="P4928">
        <v>53</v>
      </c>
      <c r="Q4928" t="s">
        <v>10203</v>
      </c>
    </row>
    <row r="4929" spans="1:17" x14ac:dyDescent="0.3">
      <c r="A4929" t="s">
        <v>33</v>
      </c>
      <c r="B4929" t="str">
        <f>"300312"</f>
        <v>300312</v>
      </c>
      <c r="C4929" t="s">
        <v>10204</v>
      </c>
      <c r="D4929" t="s">
        <v>461</v>
      </c>
      <c r="F4929">
        <v>-2792523</v>
      </c>
      <c r="G4929">
        <v>-12492939</v>
      </c>
      <c r="H4929">
        <v>10855227</v>
      </c>
      <c r="I4929">
        <v>14677631</v>
      </c>
      <c r="J4929">
        <v>-66616185</v>
      </c>
      <c r="K4929">
        <v>-44647058</v>
      </c>
      <c r="L4929">
        <v>-113489850</v>
      </c>
      <c r="M4929">
        <v>-107250360</v>
      </c>
      <c r="N4929">
        <v>-120892525</v>
      </c>
      <c r="O4929">
        <v>-103916926</v>
      </c>
      <c r="P4929">
        <v>134</v>
      </c>
      <c r="Q4929" t="s">
        <v>10205</v>
      </c>
    </row>
    <row r="4930" spans="1:17" x14ac:dyDescent="0.3">
      <c r="A4930" t="s">
        <v>33</v>
      </c>
      <c r="B4930" t="str">
        <f>"300362"</f>
        <v>300362</v>
      </c>
      <c r="C4930" t="s">
        <v>10206</v>
      </c>
      <c r="F4930">
        <v>-6057827</v>
      </c>
      <c r="G4930">
        <v>-9933135</v>
      </c>
      <c r="H4930">
        <v>-18245916</v>
      </c>
      <c r="I4930">
        <v>-13824073</v>
      </c>
      <c r="J4930">
        <v>1607160</v>
      </c>
      <c r="K4930">
        <v>-78415422</v>
      </c>
      <c r="L4930">
        <v>-17539299</v>
      </c>
      <c r="M4930">
        <v>-20310257</v>
      </c>
      <c r="N4930">
        <v>-21453929.699999999</v>
      </c>
      <c r="O4930">
        <v>-36083756.990000002</v>
      </c>
      <c r="P4930">
        <v>87</v>
      </c>
      <c r="Q4930" t="s">
        <v>10207</v>
      </c>
    </row>
    <row r="4931" spans="1:17" x14ac:dyDescent="0.3">
      <c r="A4931" t="s">
        <v>33</v>
      </c>
      <c r="B4931" t="str">
        <f>"300372"</f>
        <v>300372</v>
      </c>
      <c r="C4931" t="s">
        <v>10208</v>
      </c>
      <c r="J4931">
        <v>3281000</v>
      </c>
      <c r="K4931">
        <v>22312273.370000001</v>
      </c>
      <c r="L4931">
        <v>-5100675.3899999997</v>
      </c>
      <c r="M4931">
        <v>-141911901.28999999</v>
      </c>
      <c r="N4931">
        <v>-48437704.969999999</v>
      </c>
      <c r="P4931">
        <v>5</v>
      </c>
      <c r="Q4931" t="s">
        <v>10209</v>
      </c>
    </row>
    <row r="4932" spans="1:17" x14ac:dyDescent="0.3">
      <c r="A4932" t="s">
        <v>33</v>
      </c>
      <c r="B4932" t="str">
        <f>"300431"</f>
        <v>300431</v>
      </c>
      <c r="C4932" t="s">
        <v>10210</v>
      </c>
      <c r="H4932">
        <v>2500197</v>
      </c>
      <c r="I4932">
        <v>-29368251</v>
      </c>
      <c r="J4932">
        <v>-30511566</v>
      </c>
      <c r="K4932">
        <v>8876369</v>
      </c>
      <c r="L4932">
        <v>24853958</v>
      </c>
      <c r="M4932">
        <v>20329115</v>
      </c>
      <c r="P4932">
        <v>145</v>
      </c>
      <c r="Q4932" t="s">
        <v>10211</v>
      </c>
    </row>
    <row r="4933" spans="1:17" x14ac:dyDescent="0.3">
      <c r="A4933" t="s">
        <v>33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筛选器_大陆_20220502_021400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2022-05-01T18:14:14Z</dcterms:created>
  <dcterms:modified xsi:type="dcterms:W3CDTF">2022-05-01T18:14:14Z</dcterms:modified>
</cp:coreProperties>
</file>